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A88F0FC4-4BDB-A64F-B926-F36EA665164B}"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F8" i="1"/>
  <c r="BT8" i="1"/>
  <c r="BF9"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F29" i="1"/>
  <c r="BT29" i="1"/>
  <c r="BF30" i="1"/>
  <c r="BT30" i="1"/>
  <c r="BF31" i="1"/>
  <c r="BT31" i="1"/>
  <c r="BF32" i="1"/>
  <c r="BT32" i="1"/>
  <c r="BF33" i="1"/>
  <c r="BT33" i="1"/>
  <c r="BF34" i="1"/>
  <c r="BT34" i="1"/>
  <c r="BF35" i="1"/>
  <c r="BT35" i="1"/>
  <c r="BF36" i="1"/>
  <c r="BT36" i="1"/>
  <c r="BF37" i="1"/>
  <c r="BT37" i="1"/>
  <c r="BF38" i="1"/>
  <c r="BT38" i="1"/>
  <c r="BF39" i="1"/>
  <c r="BT39" i="1"/>
  <c r="BF40" i="1"/>
  <c r="BT40" i="1"/>
  <c r="BF41" i="1"/>
  <c r="BT41" i="1"/>
  <c r="BF42" i="1"/>
  <c r="BT42" i="1"/>
  <c r="BF43" i="1"/>
  <c r="BT43" i="1"/>
  <c r="BF44" i="1"/>
  <c r="BT44" i="1"/>
  <c r="BF45" i="1"/>
  <c r="BT45" i="1"/>
  <c r="BF46" i="1"/>
  <c r="BT46" i="1"/>
  <c r="BF47"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F65" i="1"/>
  <c r="BT65" i="1"/>
  <c r="BF66"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F115" i="1"/>
  <c r="BT115" i="1"/>
  <c r="BF116" i="1"/>
  <c r="BT116" i="1"/>
  <c r="BF117" i="1"/>
  <c r="BT117" i="1"/>
  <c r="BF118" i="1"/>
  <c r="BT118" i="1"/>
  <c r="BF119" i="1"/>
  <c r="BT119" i="1"/>
  <c r="BF120" i="1"/>
  <c r="BT120" i="1"/>
  <c r="BF121" i="1"/>
  <c r="BT121" i="1"/>
  <c r="BF122" i="1"/>
  <c r="BT122" i="1"/>
  <c r="BF123" i="1"/>
  <c r="BT123" i="1"/>
  <c r="BF124" i="1"/>
  <c r="BT124" i="1"/>
  <c r="BF125" i="1"/>
  <c r="BT125" i="1"/>
  <c r="BF126" i="1"/>
  <c r="BT126" i="1"/>
  <c r="BF127" i="1"/>
  <c r="BT127" i="1"/>
  <c r="BF128"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F151" i="1"/>
  <c r="BT151" i="1"/>
  <c r="BF152" i="1"/>
  <c r="BT152" i="1"/>
  <c r="BF153" i="1"/>
  <c r="BT153" i="1"/>
  <c r="BF154" i="1"/>
  <c r="BT154" i="1"/>
  <c r="BF155" i="1"/>
  <c r="BT155" i="1"/>
  <c r="BF156" i="1"/>
  <c r="BT156" i="1"/>
  <c r="BF157" i="1"/>
  <c r="BT157" i="1"/>
  <c r="BF158" i="1"/>
  <c r="BT158" i="1"/>
  <c r="BF159" i="1"/>
  <c r="BT159" i="1"/>
  <c r="BF160" i="1"/>
  <c r="BT160" i="1"/>
  <c r="BF161" i="1"/>
  <c r="BT161" i="1"/>
  <c r="BF162" i="1"/>
  <c r="BT162" i="1"/>
  <c r="BF163" i="1"/>
  <c r="BT163" i="1"/>
  <c r="BF164" i="1"/>
  <c r="BT164" i="1"/>
  <c r="BF165" i="1"/>
  <c r="BT165" i="1"/>
  <c r="BF166" i="1"/>
  <c r="BT166" i="1"/>
  <c r="BF167" i="1"/>
  <c r="BT167" i="1"/>
  <c r="BF168" i="1"/>
  <c r="BT168" i="1"/>
  <c r="BF169" i="1"/>
  <c r="BT169" i="1"/>
  <c r="BF170" i="1"/>
  <c r="BT170" i="1"/>
  <c r="BF171" i="1"/>
  <c r="BT171" i="1"/>
  <c r="BF172" i="1"/>
  <c r="BT172" i="1"/>
  <c r="BF173" i="1"/>
  <c r="BT173" i="1"/>
  <c r="BF174" i="1"/>
  <c r="BT174" i="1"/>
  <c r="BF175" i="1"/>
  <c r="BT175" i="1"/>
  <c r="BF176" i="1"/>
  <c r="BT176" i="1"/>
  <c r="BF177" i="1"/>
  <c r="BT177" i="1"/>
  <c r="BF178" i="1"/>
  <c r="BT178" i="1"/>
  <c r="BF179" i="1"/>
  <c r="BT179" i="1"/>
  <c r="BF180" i="1"/>
  <c r="BT180" i="1"/>
  <c r="BF181" i="1"/>
  <c r="BT181" i="1"/>
  <c r="BF182" i="1"/>
  <c r="BT182" i="1"/>
  <c r="BF183" i="1"/>
  <c r="BT183" i="1"/>
  <c r="BF184" i="1"/>
  <c r="BT184" i="1"/>
  <c r="BF185" i="1"/>
  <c r="BT185" i="1"/>
  <c r="BF186" i="1"/>
  <c r="BT186" i="1"/>
  <c r="BF187" i="1"/>
  <c r="BT187" i="1"/>
  <c r="BF188" i="1"/>
  <c r="BT188" i="1"/>
  <c r="BF189" i="1"/>
  <c r="BT189" i="1"/>
  <c r="BF190" i="1"/>
  <c r="BT190" i="1"/>
  <c r="BF191" i="1"/>
  <c r="BT191" i="1"/>
  <c r="BF192" i="1"/>
  <c r="BT192" i="1"/>
  <c r="BF193" i="1"/>
  <c r="BT193" i="1"/>
  <c r="BF194" i="1"/>
  <c r="BT194" i="1"/>
  <c r="BF195" i="1"/>
  <c r="BT195" i="1"/>
  <c r="BF196" i="1"/>
  <c r="BT196" i="1"/>
  <c r="BF197" i="1"/>
  <c r="BT197" i="1"/>
  <c r="BF198" i="1"/>
  <c r="BT198" i="1"/>
  <c r="BF199"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T222" i="1"/>
  <c r="BF223" i="1"/>
  <c r="BT223" i="1"/>
  <c r="BF224" i="1"/>
  <c r="BT224" i="1"/>
  <c r="BF225" i="1"/>
  <c r="BT225" i="1"/>
  <c r="BF226"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F253" i="1"/>
  <c r="BT253" i="1"/>
  <c r="BF254" i="1"/>
  <c r="BT254" i="1"/>
  <c r="BT255" i="1"/>
  <c r="BF256" i="1"/>
  <c r="BT256" i="1"/>
  <c r="BF257"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F296" i="1"/>
  <c r="BT296" i="1"/>
  <c r="BF297" i="1"/>
  <c r="BT297" i="1"/>
  <c r="BF298" i="1"/>
  <c r="BT298" i="1"/>
  <c r="BF299" i="1"/>
  <c r="BT299" i="1"/>
  <c r="BF300" i="1"/>
  <c r="BT300" i="1"/>
  <c r="BF301" i="1"/>
  <c r="BT301" i="1"/>
  <c r="BF302" i="1"/>
  <c r="BT302" i="1"/>
  <c r="BF303" i="1"/>
  <c r="BT303" i="1"/>
  <c r="BF304" i="1"/>
  <c r="BT304" i="1"/>
  <c r="BF305" i="1"/>
  <c r="BT305" i="1"/>
  <c r="BF306" i="1"/>
  <c r="BT306" i="1"/>
  <c r="BF307" i="1"/>
  <c r="BT307" i="1"/>
  <c r="BF308" i="1"/>
  <c r="BT308" i="1"/>
  <c r="BF309" i="1"/>
  <c r="BT309" i="1"/>
  <c r="BF310" i="1"/>
  <c r="BT310" i="1"/>
  <c r="BF311" i="1"/>
  <c r="BT311" i="1"/>
  <c r="BF312" i="1"/>
  <c r="BT312" i="1"/>
  <c r="BF313" i="1"/>
  <c r="BT313" i="1"/>
  <c r="BF314" i="1"/>
  <c r="BT314" i="1"/>
  <c r="BF315" i="1"/>
  <c r="BT315" i="1"/>
  <c r="BF316" i="1"/>
  <c r="BT316" i="1"/>
  <c r="BF317" i="1"/>
  <c r="BT317" i="1"/>
  <c r="BF318" i="1"/>
  <c r="BT318" i="1"/>
  <c r="BF319" i="1"/>
  <c r="BT319" i="1"/>
  <c r="BF320" i="1"/>
  <c r="BT320" i="1"/>
  <c r="BF321" i="1"/>
  <c r="BT321" i="1"/>
  <c r="BF322" i="1"/>
  <c r="BT322" i="1"/>
  <c r="BF323" i="1"/>
  <c r="BT323" i="1"/>
  <c r="BF324" i="1"/>
  <c r="BT324" i="1"/>
  <c r="BF325" i="1"/>
  <c r="BT325" i="1"/>
  <c r="BF326" i="1"/>
  <c r="BT326" i="1"/>
  <c r="BF327" i="1"/>
  <c r="BT327" i="1"/>
  <c r="BF328" i="1"/>
  <c r="BT328" i="1"/>
  <c r="BF329" i="1"/>
  <c r="BT329" i="1"/>
  <c r="BF330" i="1"/>
  <c r="BT330" i="1"/>
  <c r="BF331" i="1"/>
  <c r="BT331" i="1"/>
  <c r="BF332" i="1"/>
  <c r="BT332" i="1"/>
  <c r="BF333" i="1"/>
  <c r="BT333" i="1"/>
  <c r="BF334" i="1"/>
  <c r="BT334" i="1"/>
  <c r="BF335" i="1"/>
  <c r="BT335" i="1"/>
  <c r="BF336"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F353" i="1"/>
  <c r="BT353" i="1"/>
  <c r="BF354"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F368" i="1"/>
  <c r="BT368" i="1"/>
  <c r="BF369" i="1"/>
  <c r="BT369" i="1"/>
  <c r="BF370" i="1"/>
  <c r="BT370" i="1"/>
  <c r="BF371" i="1"/>
  <c r="BT371" i="1"/>
  <c r="BF372" i="1"/>
  <c r="BT372" i="1"/>
  <c r="BF373" i="1"/>
  <c r="BT373" i="1"/>
  <c r="BF374" i="1"/>
  <c r="BT374" i="1"/>
  <c r="BF375" i="1"/>
  <c r="BT375" i="1"/>
  <c r="BF376" i="1"/>
  <c r="BT376" i="1"/>
  <c r="BF377" i="1"/>
  <c r="BT377" i="1"/>
  <c r="BF378" i="1"/>
  <c r="BT378" i="1"/>
  <c r="BF379" i="1"/>
  <c r="BT379" i="1"/>
  <c r="BF380" i="1"/>
  <c r="BT380" i="1"/>
  <c r="BF381" i="1"/>
  <c r="BT381" i="1"/>
  <c r="BT382" i="1"/>
  <c r="BF383" i="1"/>
  <c r="BT383" i="1"/>
  <c r="BF384" i="1"/>
  <c r="BT384" i="1"/>
  <c r="BF385" i="1"/>
  <c r="BT385" i="1"/>
  <c r="BF386" i="1"/>
  <c r="BT386" i="1"/>
  <c r="BF387" i="1"/>
  <c r="BT387" i="1"/>
  <c r="BF388" i="1"/>
  <c r="BT388" i="1"/>
  <c r="BF389" i="1"/>
  <c r="BT389" i="1"/>
  <c r="BF390" i="1"/>
  <c r="BT390" i="1"/>
  <c r="BF391" i="1"/>
  <c r="BT391" i="1"/>
  <c r="BF392" i="1"/>
  <c r="BT392" i="1"/>
  <c r="BF393" i="1"/>
  <c r="BT393" i="1"/>
  <c r="BF394" i="1"/>
  <c r="BT394" i="1"/>
  <c r="BT395" i="1"/>
  <c r="BT396" i="1"/>
  <c r="BF397" i="1"/>
  <c r="BT397" i="1"/>
  <c r="BF398" i="1"/>
  <c r="BT398" i="1"/>
  <c r="BF399" i="1"/>
  <c r="BT399" i="1"/>
  <c r="BF400" i="1"/>
  <c r="BT400" i="1"/>
  <c r="BF401" i="1"/>
  <c r="BT401" i="1"/>
  <c r="BF402" i="1"/>
  <c r="BT402" i="1"/>
  <c r="BF403" i="1"/>
  <c r="BT403" i="1"/>
  <c r="BF404" i="1"/>
  <c r="BT404" i="1"/>
  <c r="BF405" i="1"/>
  <c r="BT405" i="1"/>
  <c r="BF406" i="1"/>
  <c r="BT406" i="1"/>
  <c r="BF407" i="1"/>
  <c r="BT407" i="1"/>
  <c r="BF408" i="1"/>
  <c r="BT408" i="1"/>
  <c r="BF409" i="1"/>
  <c r="BT409" i="1"/>
  <c r="BF410" i="1"/>
  <c r="BT410" i="1"/>
  <c r="BF411" i="1"/>
  <c r="BT411" i="1"/>
  <c r="BF412" i="1"/>
  <c r="BT412" i="1"/>
  <c r="BF413" i="1"/>
  <c r="BT413" i="1"/>
  <c r="BF414" i="1"/>
  <c r="BT414" i="1"/>
  <c r="BF415" i="1"/>
  <c r="BT415" i="1"/>
  <c r="BT416" i="1"/>
  <c r="BF417" i="1"/>
  <c r="BT417" i="1"/>
  <c r="BF418" i="1"/>
  <c r="BT418" i="1"/>
  <c r="BF419" i="1"/>
  <c r="BT419" i="1"/>
  <c r="BF420" i="1"/>
  <c r="BT420" i="1"/>
  <c r="BF421" i="1"/>
  <c r="BT421" i="1"/>
  <c r="BF422" i="1"/>
  <c r="BT422" i="1"/>
  <c r="BF423" i="1"/>
  <c r="BT423" i="1"/>
  <c r="BF424" i="1"/>
  <c r="BT424" i="1"/>
  <c r="BF425" i="1"/>
  <c r="BT425" i="1"/>
  <c r="BF426" i="1"/>
  <c r="BT426" i="1"/>
  <c r="BF427" i="1"/>
  <c r="BT427" i="1"/>
  <c r="BT428" i="1"/>
  <c r="BF429" i="1"/>
  <c r="BT429" i="1"/>
  <c r="BF430" i="1"/>
  <c r="BT430" i="1"/>
  <c r="BF431" i="1"/>
  <c r="BT431" i="1"/>
  <c r="BF432" i="1"/>
  <c r="BT432" i="1"/>
  <c r="BF433" i="1"/>
  <c r="BT433" i="1"/>
  <c r="BF434" i="1"/>
  <c r="BT434" i="1"/>
  <c r="BF435" i="1"/>
  <c r="BT435" i="1"/>
  <c r="BF436" i="1"/>
  <c r="BT436" i="1"/>
  <c r="BF437" i="1"/>
  <c r="BT437" i="1"/>
  <c r="BF438" i="1"/>
  <c r="BT438" i="1"/>
  <c r="BF439" i="1"/>
  <c r="BT439" i="1"/>
  <c r="BF440" i="1"/>
  <c r="BT440" i="1"/>
  <c r="BF441" i="1"/>
  <c r="BT441" i="1"/>
  <c r="BF442" i="1"/>
  <c r="BT442" i="1"/>
  <c r="BF443" i="1"/>
  <c r="BT443" i="1"/>
  <c r="BF444" i="1"/>
  <c r="BT444" i="1"/>
  <c r="BF445" i="1"/>
  <c r="BT445" i="1"/>
  <c r="BF446" i="1"/>
  <c r="BT446" i="1"/>
  <c r="BF447" i="1"/>
  <c r="BT447" i="1"/>
  <c r="BF448" i="1"/>
  <c r="BT448" i="1"/>
  <c r="BF449" i="1"/>
  <c r="BT449" i="1"/>
  <c r="BF450" i="1"/>
  <c r="BT450" i="1"/>
  <c r="BF451" i="1"/>
  <c r="BT451" i="1"/>
  <c r="BF452" i="1"/>
  <c r="BT452" i="1"/>
  <c r="BF453" i="1"/>
  <c r="BT453" i="1"/>
  <c r="BF454" i="1"/>
  <c r="BT454" i="1"/>
  <c r="BF455" i="1"/>
  <c r="BT455" i="1"/>
  <c r="BF456" i="1"/>
  <c r="BT456" i="1"/>
  <c r="BT457" i="1"/>
  <c r="BF458" i="1"/>
  <c r="BT458" i="1"/>
  <c r="BF459" i="1"/>
  <c r="BT459" i="1"/>
  <c r="BF460" i="1"/>
  <c r="BT460" i="1"/>
  <c r="BF461" i="1"/>
  <c r="BT461" i="1"/>
  <c r="BF462" i="1"/>
  <c r="BT462" i="1"/>
  <c r="BF463" i="1"/>
  <c r="BT463" i="1"/>
  <c r="BF464" i="1"/>
  <c r="BT464" i="1"/>
  <c r="BF465" i="1"/>
  <c r="BT465" i="1"/>
  <c r="BF466" i="1"/>
  <c r="BT466" i="1"/>
  <c r="BF467" i="1"/>
  <c r="BT467" i="1"/>
  <c r="BF468" i="1"/>
  <c r="BT468" i="1"/>
  <c r="BF469"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F487" i="1"/>
  <c r="BT487" i="1"/>
  <c r="BF488" i="1"/>
  <c r="BT488" i="1"/>
  <c r="BF489" i="1"/>
  <c r="BT489" i="1"/>
  <c r="BF490" i="1"/>
  <c r="BT490" i="1"/>
  <c r="BF491" i="1"/>
  <c r="BT491" i="1"/>
  <c r="BF492" i="1"/>
  <c r="BT492" i="1"/>
  <c r="BF493" i="1"/>
  <c r="BT493" i="1"/>
  <c r="BF494" i="1"/>
  <c r="BT494" i="1"/>
  <c r="BF495" i="1"/>
  <c r="BT495" i="1"/>
  <c r="BF496" i="1"/>
  <c r="BT496" i="1"/>
  <c r="BF497" i="1"/>
  <c r="BT497" i="1"/>
  <c r="BF498"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F521" i="1"/>
  <c r="BT521" i="1"/>
  <c r="BF522" i="1"/>
  <c r="BT522" i="1"/>
  <c r="BF523" i="1"/>
  <c r="BT523" i="1"/>
  <c r="BF524" i="1"/>
  <c r="BT524" i="1"/>
  <c r="BF525" i="1"/>
  <c r="BT525" i="1"/>
  <c r="BF526" i="1"/>
  <c r="BT526" i="1"/>
  <c r="BF527" i="1"/>
  <c r="BT527" i="1"/>
  <c r="BF528" i="1"/>
  <c r="BT528" i="1"/>
  <c r="BF529" i="1"/>
  <c r="BT529" i="1"/>
  <c r="BF530" i="1"/>
  <c r="BT530" i="1"/>
  <c r="BF531" i="1"/>
  <c r="BT531" i="1"/>
  <c r="BF532" i="1"/>
  <c r="BT532" i="1"/>
  <c r="BF533" i="1"/>
  <c r="BT533" i="1"/>
  <c r="BF534" i="1"/>
  <c r="BT534" i="1"/>
  <c r="BF535" i="1"/>
  <c r="BT535" i="1"/>
  <c r="BF536" i="1"/>
  <c r="BT536" i="1"/>
  <c r="BF537" i="1"/>
  <c r="BT537" i="1"/>
  <c r="BF538" i="1"/>
  <c r="BT538" i="1"/>
  <c r="BF539" i="1"/>
  <c r="BT539" i="1"/>
  <c r="BF540" i="1"/>
  <c r="BT540" i="1"/>
  <c r="BT541" i="1"/>
  <c r="BF542" i="1"/>
  <c r="BT542" i="1"/>
  <c r="BF543" i="1"/>
  <c r="BT543" i="1"/>
  <c r="BF544" i="1"/>
  <c r="BT544" i="1"/>
  <c r="BF545" i="1"/>
  <c r="BT545" i="1"/>
  <c r="BF546" i="1"/>
  <c r="BT546" i="1"/>
  <c r="BF547" i="1"/>
  <c r="BT547" i="1"/>
  <c r="BF548" i="1"/>
  <c r="BT548" i="1"/>
  <c r="BF549"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F575" i="1"/>
  <c r="BT575" i="1"/>
  <c r="BF576" i="1"/>
  <c r="BT576" i="1"/>
  <c r="BF577" i="1"/>
  <c r="BT577" i="1"/>
  <c r="BF578" i="1"/>
  <c r="BT578" i="1"/>
  <c r="BT579" i="1"/>
  <c r="BF580" i="1"/>
  <c r="BT580" i="1"/>
  <c r="BF581" i="1"/>
  <c r="BT581" i="1"/>
  <c r="BF582" i="1"/>
  <c r="BT582" i="1"/>
  <c r="BF583" i="1"/>
  <c r="BT583" i="1"/>
  <c r="BF584" i="1"/>
  <c r="BT584" i="1"/>
  <c r="BF585" i="1"/>
  <c r="BT585" i="1"/>
  <c r="BF586" i="1"/>
  <c r="BT586" i="1"/>
  <c r="BF587" i="1"/>
  <c r="BT587" i="1"/>
  <c r="BF588" i="1"/>
  <c r="BT588" i="1"/>
  <c r="BF589" i="1"/>
  <c r="BT589" i="1"/>
  <c r="BF590" i="1"/>
  <c r="BT590" i="1"/>
  <c r="BF591" i="1"/>
  <c r="BT591" i="1"/>
  <c r="BF592" i="1"/>
  <c r="BT592" i="1"/>
  <c r="BF593" i="1"/>
  <c r="BT593" i="1"/>
  <c r="BF594" i="1"/>
  <c r="BT594" i="1"/>
  <c r="BF595" i="1"/>
  <c r="BT595" i="1"/>
  <c r="BF596" i="1"/>
  <c r="BT596" i="1"/>
  <c r="BF597" i="1"/>
  <c r="BT597" i="1"/>
  <c r="BF598" i="1"/>
  <c r="BT598" i="1"/>
  <c r="BF599" i="1"/>
  <c r="BT599" i="1"/>
  <c r="BF600" i="1"/>
  <c r="BT600" i="1"/>
  <c r="BF601" i="1"/>
  <c r="BT601" i="1"/>
  <c r="BF602" i="1"/>
  <c r="BT602" i="1"/>
  <c r="BF603" i="1"/>
  <c r="BT603" i="1"/>
  <c r="BF604" i="1"/>
  <c r="BT604" i="1"/>
  <c r="BF605" i="1"/>
  <c r="BT605" i="1"/>
  <c r="BF606" i="1"/>
  <c r="BT606" i="1"/>
  <c r="BF607"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F631"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F644" i="1"/>
  <c r="BT644" i="1"/>
  <c r="BF645" i="1"/>
  <c r="BT645" i="1"/>
  <c r="BF646" i="1"/>
  <c r="BT646" i="1"/>
  <c r="BF647" i="1"/>
  <c r="BT647" i="1"/>
  <c r="BF648" i="1"/>
  <c r="BT648" i="1"/>
  <c r="BF649" i="1"/>
  <c r="BT649" i="1"/>
  <c r="BF650" i="1"/>
  <c r="BT650" i="1"/>
  <c r="BF651" i="1"/>
  <c r="BT651" i="1"/>
  <c r="BF652" i="1"/>
  <c r="BT652" i="1"/>
  <c r="BF653" i="1"/>
  <c r="BT653" i="1"/>
  <c r="BT654"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F669" i="1"/>
  <c r="BT669" i="1"/>
  <c r="BF670" i="1"/>
  <c r="BT670" i="1"/>
  <c r="BF671" i="1"/>
  <c r="BT671" i="1"/>
  <c r="BF672" i="1"/>
  <c r="BT672" i="1"/>
  <c r="BF673"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T690" i="1"/>
  <c r="BT691" i="1"/>
  <c r="BT692" i="1"/>
  <c r="BT693" i="1"/>
  <c r="BT694" i="1"/>
  <c r="BT695" i="1"/>
  <c r="BF696" i="1"/>
  <c r="BT696" i="1"/>
  <c r="BF697" i="1"/>
  <c r="BT697" i="1"/>
  <c r="BF698" i="1"/>
  <c r="BT698" i="1"/>
  <c r="BF699" i="1"/>
  <c r="BT699" i="1"/>
  <c r="BF700" i="1"/>
  <c r="BT700" i="1"/>
  <c r="BF701" i="1"/>
  <c r="BT701" i="1"/>
  <c r="BF702"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T717" i="1"/>
  <c r="BF718" i="1"/>
  <c r="BT718" i="1"/>
  <c r="BF719" i="1"/>
  <c r="BT719" i="1"/>
  <c r="BF720" i="1"/>
  <c r="BT720" i="1"/>
  <c r="BF721" i="1"/>
  <c r="BT721" i="1"/>
  <c r="BF722" i="1"/>
  <c r="BT722" i="1"/>
  <c r="BF723" i="1"/>
  <c r="BT723" i="1"/>
  <c r="BF724" i="1"/>
  <c r="BT724" i="1"/>
  <c r="BF725" i="1"/>
  <c r="BT725" i="1"/>
  <c r="BF726" i="1"/>
  <c r="BT726" i="1"/>
  <c r="BF727" i="1"/>
  <c r="BT727" i="1"/>
  <c r="BF728" i="1"/>
  <c r="BT728" i="1"/>
  <c r="BF729" i="1"/>
  <c r="BT729" i="1"/>
  <c r="BF730" i="1"/>
  <c r="BT730" i="1"/>
  <c r="BF731" i="1"/>
  <c r="BT731" i="1"/>
  <c r="BF732" i="1"/>
  <c r="BT732" i="1"/>
  <c r="BF733"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F769" i="1"/>
  <c r="BT769" i="1"/>
  <c r="BF770" i="1"/>
  <c r="BT770" i="1"/>
  <c r="BF771" i="1"/>
  <c r="BT771" i="1"/>
  <c r="BF772" i="1"/>
  <c r="BT772" i="1"/>
  <c r="BF773" i="1"/>
  <c r="BT773" i="1"/>
  <c r="BF774" i="1"/>
  <c r="BT774" i="1"/>
  <c r="BF775" i="1"/>
  <c r="BT775" i="1"/>
  <c r="BF776" i="1"/>
  <c r="BT776" i="1"/>
  <c r="BF777" i="1"/>
  <c r="BT777" i="1"/>
  <c r="BF778" i="1"/>
  <c r="BT778" i="1"/>
  <c r="BF779" i="1"/>
  <c r="BT779" i="1"/>
  <c r="BF780" i="1"/>
  <c r="BT780" i="1"/>
  <c r="BF781" i="1"/>
  <c r="BT781" i="1"/>
  <c r="BF782" i="1"/>
  <c r="BT782" i="1"/>
  <c r="BF783" i="1"/>
  <c r="BT783" i="1"/>
  <c r="BF784" i="1"/>
  <c r="BT784" i="1"/>
  <c r="BF785" i="1"/>
  <c r="BT785" i="1"/>
  <c r="BF786" i="1"/>
  <c r="BT786"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F799" i="1"/>
  <c r="BT799" i="1"/>
  <c r="BF800" i="1"/>
  <c r="BT800" i="1"/>
  <c r="BF801" i="1"/>
  <c r="BT801" i="1"/>
  <c r="BF802" i="1"/>
  <c r="BT802" i="1"/>
  <c r="BF803" i="1"/>
  <c r="BT803" i="1"/>
  <c r="BF804" i="1"/>
  <c r="BT804" i="1"/>
  <c r="BF805" i="1"/>
  <c r="BT805" i="1"/>
  <c r="BF806"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F868"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F900"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F913" i="1"/>
  <c r="BT913" i="1"/>
  <c r="BF914" i="1"/>
  <c r="BT914" i="1"/>
  <c r="BF915" i="1"/>
  <c r="BT915" i="1"/>
  <c r="BF916"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F929" i="1"/>
  <c r="BT929" i="1"/>
  <c r="BF930" i="1"/>
  <c r="BT930" i="1"/>
  <c r="BF931" i="1"/>
  <c r="BT931" i="1"/>
  <c r="BF932" i="1"/>
  <c r="BT932" i="1"/>
  <c r="BF933" i="1"/>
  <c r="BT933" i="1"/>
  <c r="BF934" i="1"/>
  <c r="BT934" i="1"/>
  <c r="BF935" i="1"/>
  <c r="BT935" i="1"/>
  <c r="BF936" i="1"/>
  <c r="BT936" i="1"/>
  <c r="BF937" i="1"/>
  <c r="BT937" i="1"/>
  <c r="BF938" i="1"/>
  <c r="BT938" i="1"/>
  <c r="BF939"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F955"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F978"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F1000" i="1"/>
  <c r="BT1000" i="1"/>
  <c r="BF1001" i="1"/>
  <c r="BT1001" i="1"/>
</calcChain>
</file>

<file path=xl/sharedStrings.xml><?xml version="1.0" encoding="utf-8"?>
<sst xmlns="http://schemas.openxmlformats.org/spreadsheetml/2006/main" count="59493" uniqueCount="19071">
  <si>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</si>
  <si>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</si>
  <si>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</si>
  <si>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</si>
  <si>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</si>
  <si>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</si>
  <si>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</si>
  <si>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</si>
  <si>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</si>
  <si>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</si>
  <si>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</si>
  <si>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</si>
  <si>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</si>
  <si>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</si>
  <si>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</si>
  <si>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</si>
  <si>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</si>
  <si>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</si>
  <si>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</si>
  <si>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</si>
  <si>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</si>
  <si>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</si>
  <si>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</si>
  <si>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</si>
  <si>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</si>
  <si>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</si>
  <si>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</si>
  <si>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</si>
  <si>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</si>
  <si>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</si>
  <si>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</si>
  <si>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</si>
  <si>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</si>
  <si>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</si>
  <si>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</si>
  <si>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</si>
  <si>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</si>
  <si>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</si>
  <si>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</si>
  <si>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</si>
  <si>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</si>
  <si>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</si>
  <si>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</si>
  <si>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</si>
  <si>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</si>
  <si>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</si>
  <si>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</si>
  <si>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</si>
  <si>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</si>
  <si>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</si>
  <si>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</si>
  <si>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</si>
  <si>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</si>
  <si>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</si>
  <si>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</si>
  <si>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</si>
  <si>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</si>
  <si>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</si>
  <si>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</si>
  <si>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</si>
  <si>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</si>
  <si>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</si>
  <si>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</si>
  <si>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</si>
  <si>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</si>
  <si>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</si>
  <si>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</si>
  <si>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</si>
  <si>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</si>
  <si>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</si>
  <si>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</si>
  <si>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</si>
  <si>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</si>
  <si>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Thatje, S; Steventon, E; Heilmayer, O</t>
  </si>
  <si>
    <t/>
  </si>
  <si>
    <t>Thatje, Sven; Steventon, Emma; Heilmayer, Olaf</t>
  </si>
  <si>
    <t>Energetic changes throughout early ontogeny of the brooding Antarctic sea star Rhopiella hirsuta (Koehler, 1920)</t>
  </si>
  <si>
    <t>POLAR BIOLOGY</t>
  </si>
  <si>
    <t>English</t>
  </si>
  <si>
    <t>Article</t>
  </si>
  <si>
    <t>Echinodermata; Asteroidea; Reproduction; Brood protection; Cold adaptation; Southern Ocean</t>
  </si>
  <si>
    <t>AMINO-ACID-TRANSPORT; BENTHIC INVERTEBRATES; ELEMENTAL COMPOSITION; MARINE-INVERTEBRATES; MCMURDO SOUND; BIOCHEMICAL-COMPOSITION; LARVAL DEVELOPMENT; CALORIC CONTENT; EGG SIZE; REPRODUCTION</t>
  </si>
  <si>
    <t>An unusually high proportion of Antarctic echinoderms brood their young. Protection, reproductive constraints, low temperatures and limited food supply are all suggested motives for this reproductive pattern. This study looks at the reproductive energetics of the Antarctic asteroid Rhopiella hirsuta, and to establish the dynamics of feeding and elemental composition throughout its early juvenile development. Brooding females were analysed in terms of adult size, brood size and juvenile size with non-significant trends occurring with depth. Four brooding females were frozen straight after sampling and enabled the study of changes in elemental composition throughout embryo and early juvenile development with regard to their feeding mode. Morphological and elemental analyses indicate aseasonality of reproduction and lecithotrophic early ontogeny in this species. The most advanced juveniles found were significantly different from all earlier stages, with an increase in dry weight (DW) to 5.87 (+/- 1.08) mg suggesting growth, but a high C:N ratio of 8.60 (+/- 0.59) that would indicate lecithotrophy. However, as the increase in DW was attributed to an increase in carbon, but not to an increase in nitrogen, it was not possible for the food source to be of organic origin.</t>
  </si>
  <si>
    <t>[Thatje, Sven; Steventon, Emma; Heilmayer, Olaf] Univ Southampton, Natl Oceanog Ctr Southampton, Sch Ocean &amp; Earth Sci, European Way, Southampton SO14 3ZH, Hants, England; [Heilmayer, Olaf] German Aerosp Ctr, DLR, D-53227 Bonn, Germany</t>
  </si>
  <si>
    <t>University of Southampton; NERC National Oceanography Centre; Helmholtz Association; German Aerospace Centre (DLR)</t>
  </si>
  <si>
    <t>Thatje, S (corresponding author), Univ Southampton, Natl Oceanog Ctr Southampton, Sch Ocean &amp; Earth Sci, European Way, Southampton SO14 3ZH, Hants, England.</t>
  </si>
  <si>
    <t>svth@noc.soton.ac.uk</t>
  </si>
  <si>
    <t>Heilmayer, Olaf/0000-0003-1849-1381</t>
  </si>
  <si>
    <t>European Commission through the Marine Biodiversity and Ecosystem Functioning Network of Excellence MarBEF of the FP6 [GOCE-CT-2003-505446]</t>
  </si>
  <si>
    <t>European Commission through the Marine Biodiversity and Ecosystem Functioning Network of Excellence MarBEF of the FP6</t>
  </si>
  <si>
    <t>This work was supported by the European Commission through the Marine Biodiversity and Ecosystem Functioning Network of Excellence MarBEF of the FP6 (Contract No. GOCE-CT-2003-505446).</t>
  </si>
  <si>
    <t>SPRINGER</t>
  </si>
  <si>
    <t>NEW YORK</t>
  </si>
  <si>
    <t>233 SPRING ST, NEW YORK, NY 10013 USA</t>
  </si>
  <si>
    <t>0722-4060</t>
  </si>
  <si>
    <t>1432-2056</t>
  </si>
  <si>
    <t>POLAR BIOL</t>
  </si>
  <si>
    <t>Polar Biol.</t>
  </si>
  <si>
    <t>JUN</t>
  </si>
  <si>
    <t>10.1007/s00300-018-2285-6</t>
  </si>
  <si>
    <t>Biodiversity Conservation; Ecology</t>
  </si>
  <si>
    <t>Science Citation Index Expanded (SCI-EXPANDED)</t>
  </si>
  <si>
    <t>Biodiversity &amp; Conservation; Environmental Sciences &amp; Ecology</t>
  </si>
  <si>
    <t>GI3EH</t>
  </si>
  <si>
    <t>Green Accepted, hybrid</t>
  </si>
  <si>
    <t>2024-04-21</t>
  </si>
  <si>
    <t>WOS:000434253800019</t>
  </si>
  <si>
    <t>Niu, HW; Kang, SC; Lu, XX; Shi, XF</t>
  </si>
  <si>
    <t>Niu, Hewen; Kang, Shichang; Lu, Xixi; Shi, Xiaofei</t>
  </si>
  <si>
    <t>Distributions and light absorption property of water soluble organic carbon in a typical temperate glacier, southeastern Tibetan Plateau</t>
  </si>
  <si>
    <t>TELLUS SERIES B-CHEMICAL AND PHYSICAL METEOROLOGY</t>
  </si>
  <si>
    <t>flux; glacier; Mt; Yulong; Tibetan Plateau; WSOC</t>
  </si>
  <si>
    <t>ALPINE ICE CORES; BLACK CARBON; CHEMICAL-COMPOSITION; ABSORBING IMPURITIES; OPTICAL-PROPERTIES; ELEMENTAL CARBON; ANTARCTIC SNOW; MT. YULONG; AEROSOLS; MATTER</t>
  </si>
  <si>
    <t>Water-soluble organic carbon (WSOC) widely stored in glaciers from local and distant sources, and then released it to downstream environments under a warming climate. Climatic driven changes to glacial run-off are larger and represent an important flux of organic carbon. However, very few WSOC data are currently available to fully characterize WSOC variation in the temperate glacierized regions of the Tibetan Plateau (TP). This study first systematically evaluated the concentration characteristics and light absorbing property of WSOC, and insoluble particulate carbon (IPC) in snow and ice of a typical temperate glacier on Mt. Yulong. Average concentrations of WSOC were 0.610.21mg L-1 in Baishui glacier on Mt. Yulong. WSOC concentrations in surface aged snow were dramatically decreased with the time extension during the entire monsoon season due to extensive glacial melting and scavenging effects by meltwater.The MAC values of WSOC calculated at 365nm was 6.31 +/- 0.34 m(2) g(-1) on Mt. Yulong, and there exists distinct spectral dependence of MAC(wsoc) within the wavelength range (260-700nm). The low AAE(330-400) values suggest the light absorption of WSOC is more spectrally neutral. The flux of WSOC in Baishui glacier was 0.99 gC m(-2)yr(-1), while the IPC flux was 4.77 gC m(-2)yr(-1). Total WSOC storage in the Baishui glacier was estimated to be 1.5 tone C and total IPC storage was 7.25 tone C (1 tone =10(6)g). Moreover, glacial melting was reinforced by the soluble and insoluble light absorbing impurities (ILAIs) in glaciers, Baishui glacier can be considered as a fraction of carbon source under the scenario of a warming climate, more importantly, WSOC in snow and ice needs to be taken into account in calculating the radiative forcing of ILAIs and accelerating glacial melting.</t>
  </si>
  <si>
    <t>[Niu, Hewen; Kang, Shichang] Chinese Acad Sci, Northwest Inst Ecoenvironm &amp; Resources, State Key Lab Cryospher Sci, Yulong Snow Mt Glacier Environm Observat &amp; Res St, Lanzhou, Gansu, Peoples R China; [Niu, Hewen] Nanjing Univ Informat Sci &amp; Technol, Jiangsu Key Lab Atmospher Environm Monitoring &amp; P, Nanjing, Jiangsu, Peoples R China; [Kang, Shichang] CAS Ctr Excellence Tibetan Plateau Earth Sci, Beijing, Peoples R China; [Kang, Shichang] Univ Chinese Acad Sci, Beijing, Peoples R China; [Lu, Xixi] Natl Univ Singapore, Dept Geog, Singapore, Singapore; [Shi, Xiaofei] Lanzhou Univ, Coll Earth Environm Sci, Lanzhou, Gansu, Peoples R China</t>
  </si>
  <si>
    <t>Chinese Academy of Sciences; Nanjing University of Information Science &amp; Technology; Chinese Academy of Sciences; University of Chinese Academy of Sciences, CAS; National University of Singapore; Lanzhou University</t>
  </si>
  <si>
    <t>Niu, HW; Kang, SC (corresponding author), Chinese Acad Sci, Northwest Inst Ecoenvironm &amp; Resources, State Key Lab Cryospher Sci, Yulong Snow Mt Glacier Environm Observat &amp; Res St, Lanzhou, Gansu, Peoples R China.;Niu, HW (corresponding author), Nanjing Univ Informat Sci &amp; Technol, Jiangsu Key Lab Atmospher Environm Monitoring &amp; P, Nanjing, Jiangsu, Peoples R China.;Kang, SC (corresponding author), CAS Ctr Excellence Tibetan Plateau Earth Sci, Beijing, Peoples R China.;Kang, SC (corresponding author), Univ Chinese Acad Sci, Beijing, Peoples R China.</t>
  </si>
  <si>
    <t>niuhw@lzb.ac.cn; shichang.kang@lzb.ac.cn</t>
  </si>
  <si>
    <t>Niu, Hewen/AHC-3884-2022; Kang, Shichang/I-6830-2018; Lu, Xi Xi/C-5609-2008</t>
  </si>
  <si>
    <t>Kang, Shichang/0000-0003-2115-9005; Lu, Xi Xi/0000-0002-2528-4631; Niu, Hewen/0000-0001-7804-217X</t>
  </si>
  <si>
    <t>National Natural Science Foundation of China [41601071, 41721091, 41630754]; Key Research Program for Frontier Sciences of Chinese Academy of Sciences [QYZDJ-SSW-DQC039]; SKLCS [SKLCS-ZZ-2017]; Light of West China Program [Y62992]; Jiangsu Key Laboratory of Atmospheric Environment Monitoring and Pollution Control [KFK1509]; China postdoctoral science foundation [2015M582725, 2016T90963]</t>
  </si>
  <si>
    <t>National Natural Science Foundation of China(National Natural Science Foundation of China (NSFC)); Key Research Program for Frontier Sciences of Chinese Academy of Sciences; SKLCS; Light of West China Program; Jiangsu Key Laboratory of Atmospheric Environment Monitoring and Pollution Control; China postdoctoral science foundation(China Postdoctoral Science Foundation)</t>
  </si>
  <si>
    <t>This work was supported by the National Natural Science Foundation of China [41601071, 41721091, 41630754], and Key Research Program for Frontier Sciences of Chinese Academy of Sciences [QYZDJ-SSW-DQC039]. The independent program of SKLCS [No.: SKLCS-ZZ-2017], and Light of West China Program [Y62992], Jiangsu Key Laboratory of Atmospheric Environment Monitoring and Pollution Control [KFK1509], China postdoctoral science foundation [2015M582725, 2016T90963].</t>
  </si>
  <si>
    <t>TAYLOR &amp; FRANCIS LTD</t>
  </si>
  <si>
    <t>ABINGDON</t>
  </si>
  <si>
    <t>2-4 PARK SQUARE, MILTON PARK, ABINGDON OR14 4RN, OXON, ENGLAND</t>
  </si>
  <si>
    <t>1600-0889</t>
  </si>
  <si>
    <t>TELLUS B</t>
  </si>
  <si>
    <t>Tellus Ser. B-Chem. Phys. Meteorol.</t>
  </si>
  <si>
    <t>JUN 1</t>
  </si>
  <si>
    <t>10.1080/16000889.2018.1468705</t>
  </si>
  <si>
    <t>Meteorology &amp; Atmospheric Sciences</t>
  </si>
  <si>
    <t>GH9OH</t>
  </si>
  <si>
    <t>gold</t>
  </si>
  <si>
    <t>WOS:000433998200001</t>
  </si>
  <si>
    <t>Yang, ZK; Sun, LG; Zhou, X; Wang, YH</t>
  </si>
  <si>
    <t>Yang, Zhongkang; Sun, Liguang; Zhou, Xin; Wang, Yuhong</t>
  </si>
  <si>
    <t>Mid-to-late Holocene climate change record in palaeo-notch sediment from London Island, Svalbard</t>
  </si>
  <si>
    <t>JOURNAL OF EARTH SYSTEM SCIENCE</t>
  </si>
  <si>
    <t>Palaeo-notch sediment; mid-to-late Holocene; climate change; weathering indices; TOC and TN; Svalbard</t>
  </si>
  <si>
    <t>NORTH-ATLANTIC CLIMATE; LAST GLACIAL MAXIMUM; LAKE ELGYGYTGYN; EAST GREENLAND; ORGANIC-MATTER; FRAM STRAIT; VARIABILITY; SPITSBERGEN; PROXY; RECONSTRUCTION</t>
  </si>
  <si>
    <t>The Arctic region is very sensitive to climate change and important in the Earth's climate system. However, proxy datasets for Arctic climate are unevenly distributed and especially scarce for Svalbard because glaciers during the Little Ice Age, the most extensive in the Holocene, destroyed large quantities of sediment records in Svalbard. Fortunately, palaeo-notch sediments could withstand glaciers and be well-preserved after deposition. In this study, we reconstructed a mid-to-late Holocene record of climate changes in a palaeo-notch sediment sequence from London Island. Multiple weathering indices were determined, they all showed consistent weathering conditions in the study area, and they were closely linked to climate changes. Total organic carbon (TOC) and total nitrogen (TN) were also determined, and their variation profiles were similar to those of weathering indices. The climate change record in our sediment sequence is consistent with ice rafting record from North Atlantic and glacier activity from Greenland, Iceland and Svalbard, and four cold periods are clearly present. Our study provides a relatively long-term climate change record for climate conditions from mid-to-late Holocene in Svalbard.</t>
  </si>
  <si>
    <t>[Yang, Zhongkang; Sun, Liguang] Univ Sci &amp; Technol China, Anhui Prov Key Lab Polar Environm &amp; Global Change, Sch Earth &amp; Space Sci, Hefei 230026, Anhui, Peoples R China; [Yang, Zhongkang; Sun, Liguang; Zhou, Xin; Wang, Yuhong] Univ Sci &amp; Technol China, Inst Polar Environm, Sch Earth &amp; Space Sci, Hefei 230026, Anhui, Peoples R China</t>
  </si>
  <si>
    <t>Chinese Academy of Sciences; University of Science &amp; Technology of China, CAS; Chinese Academy of Sciences; University of Science &amp; Technology of China, CAS</t>
  </si>
  <si>
    <t>Sun, LG (corresponding author), Univ Sci &amp; Technol China, Anhui Prov Key Lab Polar Environm &amp; Global Change, Sch Earth &amp; Space Sci, Hefei 230026, Anhui, Peoples R China.;Sun, LG (corresponding author), Univ Sci &amp; Technol China, Inst Polar Environm, Sch Earth &amp; Space Sci, Hefei 230026, Anhui, Peoples R China.</t>
  </si>
  <si>
    <t>slg@ustc.edu.cn</t>
  </si>
  <si>
    <t>Zhou, Xin/AIE-7442-2022</t>
  </si>
  <si>
    <t>Zhou, Xin/0000-0003-2640-6431</t>
  </si>
  <si>
    <t>Chinese Polar Environment Comprehensive Investigation and Assessment Programmes [CHINARE2017-02-01, CHINARE2017-04-04, CHINARE2017-04-03]</t>
  </si>
  <si>
    <t>Chinese Polar Environment Comprehensive Investigation and Assessment Programmes</t>
  </si>
  <si>
    <t>The research was supported by Chinese Polar Environment Comprehensive Investigation and Assessment Programmes (CHINARE2017-02-01, CHINARE2017-04-04 and CHINARE2017-04-03). Sample information and data were issued by the Resource-sharing Platform of Polar Samples (http://birds.chinare.org.cn) maintained by Polar Research Institute of China (PRIC) and Chinese National Arctic and Antarctic Data Center (CN-NADC). We thank the Chinese Arctic and Antarctic Administration and PRIC for the logistic support in field.</t>
  </si>
  <si>
    <t>INDIAN ACAD SCIENCES</t>
  </si>
  <si>
    <t>BANGALORE</t>
  </si>
  <si>
    <t>C V RAMAN AVENUE, SADASHIVANAGAR, P B #8005, BANGALORE 560 080, INDIA</t>
  </si>
  <si>
    <t>0253-4126</t>
  </si>
  <si>
    <t>0973-774X</t>
  </si>
  <si>
    <t>J EARTH SYST SCI</t>
  </si>
  <si>
    <t>J. Earth Syst. Sci.</t>
  </si>
  <si>
    <t>10.1007/s12040-018-0956-x</t>
  </si>
  <si>
    <t>Geosciences, Multidisciplinary; Multidisciplinary Sciences</t>
  </si>
  <si>
    <t>Geology; Science &amp; Technology - Other Topics</t>
  </si>
  <si>
    <t>GH7KL</t>
  </si>
  <si>
    <t>Bronze</t>
  </si>
  <si>
    <t>WOS:000433621800001</t>
  </si>
  <si>
    <t>Pacelli, C; Bryan, RA; Onofri, S; Selbmann, L; Zucconi, L; Shuryak, I; Dadachova, E</t>
  </si>
  <si>
    <t>Pacelli, Claudia; Bryan, Ruth A.; Onofri, Silvano; Selbmann, Laura; Zucconi, Laura; Shuryak, Igor; Dadachova, Ekaterina</t>
  </si>
  <si>
    <t>The effect of protracted X-ray exposure on cell survival and metabolic activity of fast and slow growing fungi capable of melanogenesis</t>
  </si>
  <si>
    <t>ENVIRONMENTAL MICROBIOLOGY REPORTS</t>
  </si>
  <si>
    <t>IONIZING-RADIATION; DEINOCOCCUS-RADIODURANS; MELANIN; RESISTANCE; SPACE; REDUCTION; BACTERIA; MODEL; HABITABILITY; PROTECTION</t>
  </si>
  <si>
    <t>The aim of this study was to analyse how protracted exposure to X-rays delivered at low dose rates of 0.0032-0.052 kGyh(-1) affects the survival and metabolic activity of two microfungi capable of melanogenesis: fast-growing Cryptococcus neoformans (CN) and slow-growing Cryomyces antarcticus (CA). Melanized CN and CA cells survived the protracted exposure better than non-melanized ones, which was consistent with previous reports on the radioprotective role of melanin in these fungi after high dose rate exposures. The survival data were described by the linear quadratic dose response model. The XTT metabolic profiles were practically identical for melanized CN and CA with activity dose-dependent increasing: no changes in the activity of the non-melanized CN and CA were recorded by this assay. In contrast, the MTT assay, which measures the intracellular energy-related processes, recorded an increase in activity of non-melanized CN and CA cells, but not in their melanized counterparts. This could reflect intensive repair processes initiated by the non-melanized cells post exposure. This study suggests that differences in radiation responses between melanized and non-melanized fungal cells occur over a wide range of radiation dose rates.</t>
  </si>
  <si>
    <t>[Pacelli, Claudia; Onofri, Silvano; Selbmann, Laura; Zucconi, Laura] Univ Tuscia, Dept Ecol &amp; Biol Sci, Viterbo, Italy; [Pacelli, Claudia; Bryan, Ruth A.] Albert Einstein Coll Med, Dept Radiol, Bronx, NY 10467 USA; [Shuryak, Igor] Columbia Univ, Ctr Radiol Res, New York, NY 10032 USA; [Dadachova, Ekaterina] Univ Saskatchewan, Coll Pharm &amp; Nutr, Saskatoon, SK, Canada</t>
  </si>
  <si>
    <t>Tuscia University; Yeshiva University; Albert Einstein College of Medicine; Columbia University; University of Saskatchewan</t>
  </si>
  <si>
    <t>Dadachova, E (corresponding author), Univ Saskatchewan, Coll Pharm &amp; Nutr, Saskatoon, SK, Canada.</t>
  </si>
  <si>
    <t>ekaterina.dadachova@usask.ca</t>
  </si>
  <si>
    <t>Dadachova, Ekaterina/I-7838-2013; Selbmann, Laura/L-3056-2013; Pacelli, Claudia/AAI-2677-2020; Zucconi, L./U-9781-2018</t>
  </si>
  <si>
    <t>Selbmann, Laura/0000-0002-8967-3329; Pacelli, Claudia/0000-0001-5113-4293; Zucconi, L./0000-0001-9793-2303; ONOFRI, Silvano/0000-0001-8872-1440</t>
  </si>
  <si>
    <t>Defense Threat Reduction Agency (DTRA) [HDTRA1-17-1-0013]; ASI (Italian Space Agency); Italian National Antarctic Museum 'Felice Ippolito'</t>
  </si>
  <si>
    <t>Defense Threat Reduction Agency (DTRA)(United States Department of DefenseDefense Threat Reduction Agency); ASI (Italian Space Agency)(Agenzia Spaziale Italiana (ASI)); Italian National Antarctic Museum 'Felice Ippolito'</t>
  </si>
  <si>
    <t>E.D., R.B and I.S. thank the Defense Threat Reduction Agency (DTRA) grant HDTRA1-17-1-0013 for supporting research. C.P., S.O., L.S. and L.Z. acknowledge the ASI (Italian Space Agency) for funding BIOMEX-MCF (Experiment on the ISS to identify biosignatures on Mars and Lunar analogues), PNRA (Italian National Program for Antarctic Research) for supporting sample collection in Antarctica and the Italian National Antarctic Museum 'Felice Ippolito', for funding CCFEE (Culture Collection of Fungi from Extreme Environments).</t>
  </si>
  <si>
    <t>WILEY</t>
  </si>
  <si>
    <t>HOBOKEN</t>
  </si>
  <si>
    <t>111 RIVER ST, HOBOKEN 07030-5774, NJ USA</t>
  </si>
  <si>
    <t>1758-2229</t>
  </si>
  <si>
    <t>ENV MICROBIOL REP</t>
  </si>
  <si>
    <t>Environ. Microbiol. Rep.</t>
  </si>
  <si>
    <t>10.1111/1758-2229.12632</t>
  </si>
  <si>
    <t>Environmental Sciences; Microbiology</t>
  </si>
  <si>
    <t>Environmental Sciences &amp; Ecology; Microbiology</t>
  </si>
  <si>
    <t>GH6RQ</t>
  </si>
  <si>
    <t>WOS:000433572100004</t>
  </si>
  <si>
    <t>Yoon, M; Jo, MR; Kim, PH; Choi, WS; Kang, SI; Choi, SG; Lee, JH; Lee, HC; Son, KT; Mok, JS</t>
  </si>
  <si>
    <t>Yoon, Minchul; Jo, Mi Ra; Kim, Poong Ho; Choi, Woo Seok; Kang, Sang In; Choi, Seok Gwan; Lee, Jong Hee; Lee, Hee Chung; Son, Kwang Tae; Mok, Jong Soo</t>
  </si>
  <si>
    <t>Total and Methyl Mercury Concentrations in Antarctic Toothfish (Dissostichus mawsoni): Health Risk Assessment</t>
  </si>
  <si>
    <t>BULLETIN OF ENVIRONMENTAL CONTAMINATION AND TOXICOLOGY</t>
  </si>
  <si>
    <t>Antarctic toothfish; Dissostichus mawsoni; Total mercury; Methylmercury; International guidelines</t>
  </si>
  <si>
    <t>MACQUARIE ISLAND; FISH; ELEGINOIDES; WATER; METALLOTHIONEIN; SEDIMENT; GROWTH; ORGAN; SEA</t>
  </si>
  <si>
    <t>The concentrations of total mercury (THg) in different organs of the Antarctic toothfish (Dissostichus mawsoni) collected from CCAMLR research blocks in Subarea 88.3 and Division 58.4.1 off the coast of Antarctica were determined. The results revealed THg concentrations of 0.165 +/- 0.095 mg/kg (0.023-0.454 mg/kg, wet weight) in the Antarctic toothfish. In muscle, methyl mercury (MeHg) accounted for approximately 40% of the THg. In a comparison analysis, muscle and liver tended to bioaccumulate the highest levels of THg, and both THg and MeHg contents showed correlations with fish length and weight. Compared with international guidelines, fish contained 2.5-6.4% and 4.0-10.3% of the provisional tolerable weekly intake for THg recommended by the Joint FAO/WHO Expert Committee on Food Additives and the tolerable weekly intake for MeHg proposed by the European Food Safety Authority, respectively. These results suggest that consumption of the Antarctic toothfish presents no health risk to humans.</t>
  </si>
  <si>
    <t>[Yoon, Minchul; Jo, Mi Ra; Kim, Poong Ho; Choi, Woo Seok; Lee, Hee Chung; Mok, Jong Soo] Natl Inst Fisheries Sci, Food Safety &amp; Proc Res Div, Busan 46083, South Korea; [Son, Kwang Tae] Natl Inst Fisheries Sci, South East Sea Fisheries Res Inst, Tongyeong 53085, South Korea; [Kang, Sang In] Gyeongsang Natl Univ, Inst Marine Ind, Dept Seafood &amp; Aquaculture Sci, Tongyeong 53063, South Korea; [Choi, Seok Gwan; Lee, Jong Hee] Natl Inst Fisheries Sci, Distant Water Fisheries Resources Div, Busan 46083, South Korea</t>
  </si>
  <si>
    <t>National Institute of Fisheries Science; National Institute of Fisheries Science; Gyeongsang National University; National Institute of Fisheries Science</t>
  </si>
  <si>
    <t>Mok, JS (corresponding author), Natl Inst Fisheries Sci, Food Safety &amp; Proc Res Div, Busan 46083, South Korea.</t>
  </si>
  <si>
    <t>mjs0620@korea.kr</t>
  </si>
  <si>
    <t>Mok, Jong Soo/0000-0003-2066-0826</t>
  </si>
  <si>
    <t>National Institute of Fisheries Science in Korea [R2018056]</t>
  </si>
  <si>
    <t>National Institute of Fisheries Science in Korea</t>
  </si>
  <si>
    <t>This work was supported by a grant from the National Institute of Fisheries Science in Korea (R2018056).</t>
  </si>
  <si>
    <t>ONE NEW YORK PLAZA, SUITE 4600, NEW YORK, NY, UNITED STATES</t>
  </si>
  <si>
    <t>0007-4861</t>
  </si>
  <si>
    <t>1432-0800</t>
  </si>
  <si>
    <t>B ENVIRON CONTAM TOX</t>
  </si>
  <si>
    <t>Bull. Environ. Contam. Toxicol.</t>
  </si>
  <si>
    <t>10.1007/s00128-018-2326-4</t>
  </si>
  <si>
    <t>Environmental Sciences; Toxicology</t>
  </si>
  <si>
    <t>Environmental Sciences &amp; Ecology; Toxicology</t>
  </si>
  <si>
    <t>GH3SL</t>
  </si>
  <si>
    <t>WOS:000433322400002</t>
  </si>
  <si>
    <t>Hinojosa, VS; Asenjo, J; Leiva, S</t>
  </si>
  <si>
    <t>Sanchez Hinojosa, Veronica; Asenjo, Joel; Leiva, Sergio</t>
  </si>
  <si>
    <t>Agarolytic culturable bacteria associated with three antarctic subtidal macroalgae</t>
  </si>
  <si>
    <t>WORLD JOURNAL OF MICROBIOLOGY &amp; BIOTECHNOLOGY</t>
  </si>
  <si>
    <t>Agar-degrading bacteria; Agarase; Antarctica; Epiphytic bacteria; Macroalgae</t>
  </si>
  <si>
    <t>ET-AL. 2005; BETA-AGARASE; SP-NOV.; MARINE BACTERIUM; BIOCHEMICAL-CHARACTERIZATION; EXTRACELLULAR AGARASE; PHYLOGENETIC ANALYSIS; EMENDED DESCRIPTION; BALTIC SEA; PURIFICATION</t>
  </si>
  <si>
    <t>Bacterial communities of Antarctic marine macroalgae remain largely underexplored in terms of diversity and biotechnological applications. In this study, three Antarctic subtidal macroalgae (Himantothallus grandifolius, Pantoneura plocamioides and Plocamium cartilagineum), two of them endemic of Antarctica, were investigated as a source for isolation of agar-degrading bacteria. A total of 21 epiphytic isolates showed agarolytic activity at low temperature on agar plates containing agar as the sole carbon source. 16S rRNA identification showed that the agar-degrading bacteria belonged to the genera Cellulophaga, Colwellia, Lacinutrix, Olleya, Paraglaciecola, Pseudoalteromonas and Winogradskyella. The agarase enzyme from a potential new species of the genus Olleya was selected for further purification. The enzyme was purified from the culture supernatant of Olleya sp. HG G5.3 by ammonium sulfate precipitation and ion-exchange chromatography. Molecular weight of the agarase was estimated to be 38 kDa by sodium dodecyl sulfate-polyacrylamide gel electrophoresis (SDS-PAGE). The purified enzyme exhibited activity at 4 A degrees C, retaining &gt; 50% of its maximum activity at this temperature. This is the first study reporting the phylogeny of agar-degrading bacteria isolated from Antarctic subtidal macroalgae and the results suggest the huge potential of Antarctic algae-associated bacteria as a source of cold-active hydrolytic enzymes of biotechnological interest.</t>
  </si>
  <si>
    <t>[Sanchez Hinojosa, Veronica; Asenjo, Joel; Leiva, Sergio] Univ Austral Chile, Fac Ciencias, Inst Bioquim &amp; Microbiol, Casilla 567, Valdivia, Chile</t>
  </si>
  <si>
    <t>Universidad Austral de Chile</t>
  </si>
  <si>
    <t>Leiva, S (corresponding author), Univ Austral Chile, Fac Ciencias, Inst Bioquim &amp; Microbiol, Casilla 567, Valdivia, Chile.</t>
  </si>
  <si>
    <t>sleiva@uach.cl</t>
  </si>
  <si>
    <t>Secretaria de Educacion Superior, Ciencia, Tecnologia e Innovacion (SENESCYT) of Ecuador; Instituto Antartico Chileno (INACH) [RT_06-13]</t>
  </si>
  <si>
    <t>Secretaria de Educacion Superior, Ciencia, Tecnologia e Innovacion (SENESCYT) of Ecuador; Instituto Antartico Chileno (INACH)</t>
  </si>
  <si>
    <t>We thank the INACH staff at Station Prof. Julio Escudero for logistic support. Special thanks to Dr. Ivan Gomez and his group (Project Anillo ART1101) for its valuable support during the field work. Veronica Sanchez Hinojosa was supported by a scholarship of the Secretaria de Educacion Superior, Ciencia, Tecnologia e Innovacion (SENESCYT) of Ecuador. This study was supported by Grant RT_06-13 from the Instituto Antartico Chileno (INACH).</t>
  </si>
  <si>
    <t>0959-3993</t>
  </si>
  <si>
    <t>1573-0972</t>
  </si>
  <si>
    <t>WORLD J MICROB BIOT</t>
  </si>
  <si>
    <t>World J. Microbiol. Biotechnol.</t>
  </si>
  <si>
    <t>10.1007/s11274-018-2456-1</t>
  </si>
  <si>
    <t>Biotechnology &amp; Applied Microbiology</t>
  </si>
  <si>
    <t>GH1MF</t>
  </si>
  <si>
    <t>WOS:000433166300006</t>
  </si>
  <si>
    <t>Shi, YR; Hou, CY; Anderson, JL; Yang, TS; Ma, YM; Bian, WW; Jin, JJ</t>
  </si>
  <si>
    <t>Shi, Yuruo; Hou, Chenyang; Anderson, J. Lawford; Yang, Tianshui; Ma, Yiming; Bian, Weiwei; Jin, Jingjie</t>
  </si>
  <si>
    <t>Zircon SHRIMP U-Pb age of Late Jurassic OIB-type volcanic rocks from the Tethyan Himalaya: constraints on the initial activity time of the Kerguelen mantle plume</t>
  </si>
  <si>
    <t>ACTA GEOCHIMICA</t>
  </si>
  <si>
    <t>Volcanic rocks; Late Jurassic; Zircon SHRIMP U-Pb age; Kerguelen mantle plume; Tethyan Himalaya; Lakang Formation</t>
  </si>
  <si>
    <t>LARGE IGNEOUS PROVINCE; INDIA-ASIA COLLISION; SOUTHWESTERN AUSTRALIA; SOUTHEASTERN TIBET; SANGXIU FORMATION; EASTERN GONDWANA; INTRUSIVE ROCKS; CENTRAL SEGMENT; SOUTHERN TIBET; PETROGENESIS</t>
  </si>
  <si>
    <t>This work presents zircon U-Pb age and whole-rock geochemical data for the volcanic rocks from the Lakang Formation in the southeastern Tethyan Himalaya and represents the initial activity of the Kerguelen mantle plume. SHRIMP U-Pb dating of zircons from the volcanic rocks yielded a 206Pb/238U age of 147 +/- 2 Ma that reflects the time of Late Jurassic magmatism. Whole rock analyses of major and trace elements show that the volcanic rocks are characterized by high content of TiO2 (2.62 wt%-4.25 wt%) and P2O5 (0.38 wt%-0.68 wt%), highly fractionated in LREE/HREE [(La/Yb)(N) = 5.35-8.31] with no obvious anomaly of Eu, and HFSE enrichment with no obvious anomaly of Nb and Ta, which are similar to those of ocean island basalts and tholeiitic basaltic andesites indicating a mantle plume origin. The Kerguelen mantle plume produced a massive amount of magmatic rocks from Early Cretaceous to the present, which widely dispersed from their original localities of emplacement due to the changing motions of the Antarctic, Australian, and Indian plates. However, our new geochronological and geochemical results indicate that the Kerguelen mantle plume started from the Late Jurassic. Furthermore, we suggest that the Kerguelen mantle plume may played a significant role in the breakup of eastern Gondwanaland according to the available geochronological, geochemical and paleomagnetic data.</t>
  </si>
  <si>
    <t>[Shi, Yuruo; Hou, Chenyang] Chinese Acad Geol Sci, Beijing SHRIMP Ctr, Inst Geol, Beijing 100037, Peoples R China; [Hou, Chenyang; Yang, Tianshui; Ma, Yiming; Bian, Weiwei; Jin, Jingjie] China Univ Geosci, Beijing 100083, Peoples R China; [Anderson, J. Lawford] Boston Univ, Dept Earth &amp; Environm, Boston, MA 02215 USA</t>
  </si>
  <si>
    <t>China Geological Survey; Institute of Geology, Chinese Academy of Geological Sciences; Chinese Academy of Geological Sciences; China University of Geosciences; Boston University</t>
  </si>
  <si>
    <t>Shi, YR (corresponding author), Chinese Acad Geol Sci, Beijing SHRIMP Ctr, Inst Geol, Beijing 100037, Peoples R China.</t>
  </si>
  <si>
    <t>shiyuruo@bjshrimp.cn</t>
  </si>
  <si>
    <t>Yang, Tianshui/0000-0001-5530-0025; Shi, Yuruo/0000-0002-3406-8172</t>
  </si>
  <si>
    <t>National Natural Science Foundation of China [41173065, 41572205]; Geological Survey of China [DD20160345]; Ministry of Science and Technology [2012FY120100]</t>
  </si>
  <si>
    <t>National Natural Science Foundation of China(National Natural Science Foundation of China (NSFC)); Geological Survey of China(China Geological Survey); Ministry of Science and Technology(Spanish Government)</t>
  </si>
  <si>
    <t>We appreciate the editorial patience of Binbin Wang and Congqiang Liu. The comments of the anonymous reviewers are gratefully acknowledged. This study was financially supported by the National Natural Science Foundation of China (Nos. 41173065, 41572205), the Geological Survey of China (Grant no. DD20160345), and Ministry of Science and Technology (No. 2012FY120100). We thank members of the Beijing SHRIMP Center for their help of zircon SHRIMP analysis and cathodoluminescence image.</t>
  </si>
  <si>
    <t>SPRINGER INTERNATIONAL PUBLISHING AG</t>
  </si>
  <si>
    <t>CHAM</t>
  </si>
  <si>
    <t>GEWERBESTRASSE 11, CHAM, CH-6330, SWITZERLAND</t>
  </si>
  <si>
    <t>2096-0956</t>
  </si>
  <si>
    <t>2365-7499</t>
  </si>
  <si>
    <t>ACTA GEOCHIM</t>
  </si>
  <si>
    <t>ACTA GEOCHIM.</t>
  </si>
  <si>
    <t>10.1007/s11631-017-0239-2</t>
  </si>
  <si>
    <t>Geochemistry &amp; Geophysics</t>
  </si>
  <si>
    <t>Emerging Sources Citation Index (ESCI)</t>
  </si>
  <si>
    <t>GG9DG</t>
  </si>
  <si>
    <t>WOS:000433000300009</t>
  </si>
  <si>
    <t>Zumkehr, A; Hilton, TW; Whelan, M; Smith, S; Kuai, L; Worden, J; Campbell, JE</t>
  </si>
  <si>
    <t>Zumkehr, Andrew; Hilton, Tim W.; Whelan, Mary; Smith, Steve; Kuai, Le; Worden, John; Campbell, J. Elliott</t>
  </si>
  <si>
    <t>Global gridded anthropogenic emissions inventory of carbonyl sulfide</t>
  </si>
  <si>
    <t>ATMOSPHERIC ENVIRONMENT</t>
  </si>
  <si>
    <t>Carbonyl sulfide; Anthropogenic; Global; Atmospheric sources</t>
  </si>
  <si>
    <t>ATMOSPHERIC TRANSPORT; DIMETHYL SULFIDE; SINKS; OCS; MODEL; CYCLE; DISULFIDE; CO2; FEEDBACKS; OXIDATION</t>
  </si>
  <si>
    <t>Atmospheric carbonyl sulfide (COS or OCS) is the most abundant sulfur containing gas in the troposphere and is an atmospheric tracer for the carbon cycle. Gridded inventories of global anthropogenic COS are used for interpreting global COS measurements. However, previous gridded anthropogenic data are a climatological estimate based on input data that is over three decades old and are not representative of current conditions. Here we develop a new gridded data set of global anthropogenic COS sources that includes more source sectors than previously available and uses the most current emissions factors and industry activity data as input. Additionally, the inventory is provided as annually varying estimates from years 1980-2012 and employs a source specific spatial scaling procedure. We estimate a global source in year 2012 of 406GgS y(-1) (range of 223-586 Gg S y(_1)), which is highly concentrated in China and is twice as large as the previous gridded inventory. Our large upward revision in the bottom-up estimate of the source is consistent with a recent top-down estimate based on air-monitoring and Antarctic firn data. Furthermore, our inventory time trends, including a decline in the 1990's and growth after the year 2000, are qualitatively consistent with trends in atmospheric data. Finally, similarities between the spatial distribution in this inventory and remote sensing data suggest that the anthropogenic source could potentially play a role in explaining a missing source in the global COS budget.</t>
  </si>
  <si>
    <t>[Zumkehr, Andrew] Univ Calif Merced, Sierra Nevada Res Inst, Merced, CA 95340 USA; [Hilton, Tim W.; Campbell, J. Elliott] Univ Calif Santa Cruz, Dept Environm Studies, Santa Cruz, CA 95064 USA; [Whelan, Mary] PNNL, Joint Global Change Res Inst, College Pk, MD 20740 USA; [Smith, Steve] Univ Calif Los Angeles, Dept Atmospher &amp; Ocean Sci, Los Angeles, CA USA; [Kuai, Le; Worden, John] CALTECH, JPL Earth Sci, Pasadena, CA 91125 USA</t>
  </si>
  <si>
    <t>University of California System; University of California Merced; University of California System; University of California Santa Cruz; United States Department of Energy (DOE); Pacific Northwest National Laboratory; University of California System; University of California Los Angeles; California Institute of Technology</t>
  </si>
  <si>
    <t>Zumkehr, A (corresponding author), Univ Calif Merced, Sierra Nevada Res Inst, Merced, CA 95340 USA.;Campbell, JE (corresponding author), Univ Calif Santa Cruz, Dept Environm Studies, Santa Cruz, CA 95064 USA.</t>
  </si>
  <si>
    <t>azumkehr@ucmerced.edu; elliott.campbell@ucsc.edu</t>
  </si>
  <si>
    <t>Smith, Steven/F-4502-2010; Worden, John R/AAY-1002-2021; Kuai, Le/IAN-6637-2023</t>
  </si>
  <si>
    <t>Smith, Steven/0000-0003-3248-5607; Whelan, Mary/0000-0002-2067-1835</t>
  </si>
  <si>
    <t>PERGAMON-ELSEVIER SCIENCE LTD</t>
  </si>
  <si>
    <t>OXFORD</t>
  </si>
  <si>
    <t>THE BOULEVARD, LANGFORD LANE, KIDLINGTON, OXFORD OX5 1GB, ENGLAND</t>
  </si>
  <si>
    <t>1352-2310</t>
  </si>
  <si>
    <t>1873-2844</t>
  </si>
  <si>
    <t>ATMOS ENVIRON</t>
  </si>
  <si>
    <t>Atmos. Environ.</t>
  </si>
  <si>
    <t>10.1016/j.atmosenv.2018.03.063</t>
  </si>
  <si>
    <t>Environmental Sciences; Meteorology &amp; Atmospheric Sciences</t>
  </si>
  <si>
    <t>Environmental Sciences &amp; Ecology; Meteorology &amp; Atmospheric Sciences</t>
  </si>
  <si>
    <t>GG5UQ</t>
  </si>
  <si>
    <t>Green Submitted</t>
  </si>
  <si>
    <t>WOS:000432761600002</t>
  </si>
  <si>
    <t>Williams, LK; Shaw, JD; Sindel, BM; Wilson, SC; Kristiansen, P</t>
  </si>
  <si>
    <t>Williams, Laura K.; Shaw, Justine D.; Sindel, Brian M.; Wilson, Susan C.; Kristiansen, Paul</t>
  </si>
  <si>
    <t>Longevity, growth and community ecology of invasive Poa annua across environmental gradients in the subantarctic</t>
  </si>
  <si>
    <t>BASIC AND APPLIED ECOLOGY</t>
  </si>
  <si>
    <t>Alien; Antarctic region; Wintergrass; Weed; Perenniality</t>
  </si>
  <si>
    <t>PHENOTYPIC PLASTICITY; MACQUARIE ISLAND; ANNUAL BLUEGRASS; COASTAL SLOPES; CLIMATE-CHANGE; POPULATIONS; VEGETATION; KERGUELEN; BIOLOGY; CROZET</t>
  </si>
  <si>
    <t>Poa annua is a cosmopolitan weed in turf grass. It is a widespread non-native species in the subantarctic and also occurs in the Antarctic Peninsula. It has highly variable morphology, longevity and reproductive capacity across both its invaded and native range. Little is known about the ecology of P. annua in the subantarctic, particularly its longevity, morphological variation across small spatial scales and competitive ability. We monitored individual P. annua plants on subantarctic Macquarie Island to assess their longevity; quantified morphology and biomass allocation across environmental gradients; and assessed community diversity indices in areas of varying P. annua density. We show that P. annua plants on Macquarie Island are perennial, and their morphology varies with elevation, animal disturbance and soil properties. At low altitude, coastal sites with high animal disturbance and deep, sandy soils, P. annua plants are larger and native plant diversity is low. Conversely, at high altitude sites P. annua plants are smaller and the diversity of native species is not reduced. This new information informs why P. annua is the most successful plant invader in the subantarctic and quantifies some key characteristics enabling an invasive species to function well beyond its natural range. Community ecology theory can also explain patterns in the ecology of P. annua on Macquarie Island. (C) 2018 Published by Elsevier GmbH on behalf of Gesellschaft fur Okologie.</t>
  </si>
  <si>
    <t>[Williams, Laura K.; Sindel, Brian M.; Wilson, Susan C.; Kristiansen, Paul] Univ New England, Sch Environm &amp; Rural Sci, Armidale, NSW 2350, Australia; [Shaw, Justine D.] Univ Queensland, Sch Biol Sci, Ctr Biodivers &amp; Conservat Sci, St Lucia, Qld 4072, Australia</t>
  </si>
  <si>
    <t>University of New England; University of Queensland</t>
  </si>
  <si>
    <t>Williams, LK (corresponding author), Univ New England, Sch Environm &amp; Rural Sci, Armidale, NSW 2350, Australia.</t>
  </si>
  <si>
    <t>laura.williams20@gmail.com</t>
  </si>
  <si>
    <t>Kristiansen, Paul/X-6638-2019; Kristiansen, Paul/JDV-9957-2023</t>
  </si>
  <si>
    <t>Kristiansen, Paul/0000-0003-2116-0663; wilson, susan/0000-0002-3409-0847; Sindel, Brian/0000-0002-4100-218X; Shaw, Justine/0000-0002-9603-2271</t>
  </si>
  <si>
    <t>Australian Antarctic Science Foundation [AAS 4158]; University of New England (Australian Postgraduate Award)</t>
  </si>
  <si>
    <t>Australian Antarctic Science Foundation; University of New England (Australian Postgraduate Award)</t>
  </si>
  <si>
    <t>This work was supported by the Australian Antarctic Science Foundation (project AAS 4158) and the University of New England (Australian Postgraduate Award).</t>
  </si>
  <si>
    <t>ELSEVIER GMBH</t>
  </si>
  <si>
    <t>MUNICH</t>
  </si>
  <si>
    <t>HACKERBRUCKE 6, 80335 MUNICH, GERMANY</t>
  </si>
  <si>
    <t>1439-1791</t>
  </si>
  <si>
    <t>1618-0089</t>
  </si>
  <si>
    <t>BASIC APPL ECOL</t>
  </si>
  <si>
    <t>Basic Appl. Ecol.</t>
  </si>
  <si>
    <t>10.1016/j.baae.2018.02.003</t>
  </si>
  <si>
    <t>Ecology</t>
  </si>
  <si>
    <t>Environmental Sciences &amp; Ecology</t>
  </si>
  <si>
    <t>GG2BC</t>
  </si>
  <si>
    <t>WOS:000432493500003</t>
  </si>
  <si>
    <t>Umling, NE; Thunell, RC</t>
  </si>
  <si>
    <t>Umling, Natalie E.; Thunell, Robert C.</t>
  </si>
  <si>
    <t>Mid-depth respired carbon storage and oxygenation of the eastern equatorial Pacific over the last 25,000 years</t>
  </si>
  <si>
    <t>QUATERNARY SCIENCE REVIEWS</t>
  </si>
  <si>
    <t>Paleoceanography; Equatorial Pacific; Micropaleontology; Foraminifera; Stable isotopes; Holocene; Quaternary; Pleistocene; B/Ca; U/Ca</t>
  </si>
  <si>
    <t>ANTARCTIC SEA-ICE; ATMOSPHERIC CO2 CONCENTRATIONS; GLACIAL OCEAN CIRCULATION; WATER MASS STRUCTURE; DEEP-SEA; SOUTHERN-OCEAN; NORTH-ATLANTIC; AUTHIGENIC URANIUM; ISOTOPIC COMPOSITION; BOTTOM WATER</t>
  </si>
  <si>
    <t>A growing body of evidence suggests that respired carbon was stored in mid-depth waters (1-3 km) during the last glacial maximum (LGM) and released to the atmosphere from upwelling regions during deglaciation. Decreased ventilation, enhanced productivity, and enhanced carbonate dissolution are among the mechanisms that have been cited as possible drivers of glacial CO2 drawdown. However, the relative importance of each of these mechanisms is poorly understood. New approaches to quantitatively constrain bottom water carbonate chemistry and oxygenation provide methods for estimating historic changes in respired carbon storage. While increased CO2 drawdown during the LGM should have resulted in decreased oxygenation and a shift in dissolved inorganic carbon (DIC) speciation towards lower carbonate ion concentrations, this is complicated by the interplay of carbonate compensation, export productivity, and circulation. To disentangle these processes, we use a multiproxy approach that includes boron to calcium (B/Ca) ratios of the benthic foraminifera Cibicidoides wuellerstorfi to reconstruct deep-water carbonate ion concentrations ([CO32-]) and the uranium to calcium (U/Ca) ratio of foraminiferal coatings in combination with benthic foraminiferal carbon isotopes to reconstruct changes in bottom water oxygen concentrations ([O-2)) and organic carbon export. Our records indicate that LGM [CO32-] and [O-2] was reduced at mid water depths of the eastern equatorial Pacific (EEP), consistent with increased respired carbon storage. Furthermore, our results suggest enhanced mixing of lower Circumpolar Deep Water (LCDW) to EEP mid water depths and provide evidence for the importance of circulation for oceanic-atmospheric CO2 exchange. (C) 2018 Elsevier Ltd. All rights reserved.</t>
  </si>
  <si>
    <t>[Umling, Natalie E.; Thunell, Robert C.] Univ South Carolina, Sch Earth Ocean &amp; Environm, 701 Sumter St,EWS 617, Columbia, SC 29208 USA; [Umling, Natalie E.] Woods Hole Oceanog Inst, Woods Hole, MA 02543 USA</t>
  </si>
  <si>
    <t>University of South Carolina System; University of South Carolina Columbia; Woods Hole Oceanographic Institution</t>
  </si>
  <si>
    <t>Umling, NE (corresponding author), Univ South Carolina, Sch Earth Ocean &amp; Environm, 701 Sumter St,EWS 617, Columbia, SC 29208 USA.;Umling, NE (corresponding author), Woods Hole Oceanog Inst, Woods Hole, MA 02543 USA.</t>
  </si>
  <si>
    <t>numling@whoi.edu</t>
  </si>
  <si>
    <t>Umling, Natalie/0000-0001-9999-1737</t>
  </si>
  <si>
    <t>National Science Foundation [OCE-0956368]; University of South Carolina SPARC Graduate Research Grant</t>
  </si>
  <si>
    <t>National Science Foundation(National Science Foundation (NSF)); University of South Carolina SPARC Graduate Research Grant</t>
  </si>
  <si>
    <t>We thank E. Tappa, B. Bair, W. Buckley, and C. Chartier for laboratory assistance. We are grateful to J. Southon and the staff at the UC Irvine W.M. Keck Carbon Cycle AMC facility for providing AMS results. We thank S. Carey from the University of Rhode Island Core Repository for providing the samples used in this study. Support for this curating facility is provided by the National Science Foundation through Grant OCE-0956368. Partial support for this research was provided by a University of South Carolina SPARC Graduate Research Grant to N.E.U.</t>
  </si>
  <si>
    <t>0277-3791</t>
  </si>
  <si>
    <t>1873-457X</t>
  </si>
  <si>
    <t>QUATERNARY SCI REV</t>
  </si>
  <si>
    <t>Quat. Sci. Rev.</t>
  </si>
  <si>
    <t>10.1016/j.quascirev.2018.04.002</t>
  </si>
  <si>
    <t>Geography, Physical; Geosciences, Multidisciplinary</t>
  </si>
  <si>
    <t>Physical Geography; Geology</t>
  </si>
  <si>
    <t>GG5TL</t>
  </si>
  <si>
    <t>hybrid</t>
  </si>
  <si>
    <t>WOS:000432758500003</t>
  </si>
  <si>
    <t>Zhu, GP; Zhang, HT; Song, Q; Yang, Y; Wang, SQ; Yang, QY</t>
  </si>
  <si>
    <t>Zhu Guoping; Zhang Haiting; Song Qi; Yang Yang; Wang Shaoqin; Yang Qingyuan</t>
  </si>
  <si>
    <t>Inferring trophic variation for Antarctic krill (Euphausia superba) in the Antarctic Peninsula from the austral fall to early winter using stable isotope analysis</t>
  </si>
  <si>
    <t>ACTA OCEANOLOGICA SINICA</t>
  </si>
  <si>
    <t>Euphausia superba; stable isotope; trophic variation; Antarctic Peninsula; feeding habit</t>
  </si>
  <si>
    <t>FOOD-WEB; SCOTIA SEA; DELTA-N-15; DELTA-C-13; C-13; FRACTIONATION; POSITION; BIOMASS; SUMMER; VALUES</t>
  </si>
  <si>
    <t>The Antarctic krill (Euphausia superba) is a key species in the Southern Ocean ecosystem and an important link in the food web of the Antarctic ecosystem. The trophic information for this species during the transition from the austral fall to the winter is important to understand its poorly known overwintering mechanisms. However, the few studies on the topic differ in their results, in terms of both spatial and temporal variables. We investigated the size dependence and monthly and regional variation in delta C-13 and delta N-15 values of adult krill in the Antarctic Peninsula, in the austral fall (April to May) and the early winter (June). We aimed to examine the trophic variations of krill occurred during this period, and the relationship between krill and their feeding environment in the Antarctic marine ecosystem. The following results were obtained: (1) no significant relationship was observed between size and the delta C-13 value of krill, but the delta N-15 value of krill presented a remarkable association with size; (2) the delta C-13 values of krill increased during the austral fall, but no remarkable variation existed at the onset of winter, and the delta N-15 values were not significant different during this period; (3) mean delta N-15 values of krill differed significantly between the Bransfield Strait and the South Shetland Islands. Our data imply that adult krill present size-, season-, and region-dependent trophic variation during the transition from austral fall to early winter in the Antarctic Peninsula.</t>
  </si>
  <si>
    <t>[Zhu Guoping; Zhang Haiting; Song Qi; Yang Yang; Wang Shaoqin; Yang Qingyuan] Shanghai Ocean Univ, Coll Marine Sci, Shanghai 201306, Peoples R China; [Zhu Guoping; Wang Shaoqin] Natl Engn Res Ctr Ocean Fisheries, Shanghai 201306, Peoples R China; [Zhu Guoping] Shanghai Ocean Univ, Minist Educ, Key Lab Sustainable Exploitat Ocean Fisheries Res, Polar Marine Ecosyst Grp, Shanghai 201306, Peoples R China</t>
  </si>
  <si>
    <t>Shanghai Ocean University; National Engineering Research Center for Oceanic Fisheries; Shanghai Ocean University</t>
  </si>
  <si>
    <t>Zhu, GP (corresponding author), Shanghai Ocean Univ, Coll Marine Sci, Shanghai 201306, Peoples R China.;Zhu, GP (corresponding author), Natl Engn Res Ctr Ocean Fisheries, Shanghai 201306, Peoples R China.;Zhu, GP (corresponding author), Shanghai Ocean Univ, Minist Educ, Key Lab Sustainable Exploitat Ocean Fisheries Res, Polar Marine Ecosyst Grp, Shanghai 201306, Peoples R China.</t>
  </si>
  <si>
    <t>gpzhu@shou.edu.cn</t>
  </si>
  <si>
    <t>ZHU, Guo-ping/D-1002-2010</t>
  </si>
  <si>
    <t>Zhu, Guoping/0000-0001-6081-7811; Zhang, Haiting/0000-0002-4938-0900</t>
  </si>
  <si>
    <t>National Natural Science Fundation of China [41776185, 41606210]; National Key Technology R&amp;D Program of China [2013BAD13B03]; Special Fund for Agro-scientific Research in the Public Interest of China [201203018]</t>
  </si>
  <si>
    <t>National Natural Science Fundation of China(National Natural Science Foundation of China (NSFC)); National Key Technology R&amp;D Program of China(National Key Technology R&amp;D Program); Special Fund for Agro-scientific Research in the Public Interest of China</t>
  </si>
  <si>
    <t>National Natural Science Fundation of China under contract Nos 41776185 and 41606210; the National Key Technology R&amp;D Program of China under contract No. 2013BAD13B03; the Special Fund for Agro-scientific Research in the Public Interest of China under contract No. 201203018.</t>
  </si>
  <si>
    <t>0253-505X</t>
  </si>
  <si>
    <t>1869-1099</t>
  </si>
  <si>
    <t>ACTA OCEANOL SIN</t>
  </si>
  <si>
    <t>Acta Oceanol. Sin.</t>
  </si>
  <si>
    <t>10.1007/s13131-018-1176-6</t>
  </si>
  <si>
    <t>Oceanography</t>
  </si>
  <si>
    <t>GI8ZC</t>
  </si>
  <si>
    <t>WOS:000434813500012</t>
  </si>
  <si>
    <t>Walton, DWH</t>
  </si>
  <si>
    <t>Walton, D. W. H.</t>
  </si>
  <si>
    <t>Tourism in the Antarctic</t>
  </si>
  <si>
    <t>ANTARCTIC SCIENCE</t>
  </si>
  <si>
    <t>Editorial Material</t>
  </si>
  <si>
    <t>CAMBRIDGE UNIV PRESS</t>
  </si>
  <si>
    <t>32 AVENUE OF THE AMERICAS, NEW YORK, NY 10013-2473 USA</t>
  </si>
  <si>
    <t>0954-1020</t>
  </si>
  <si>
    <t>1365-2079</t>
  </si>
  <si>
    <t>ANTARCT SCI</t>
  </si>
  <si>
    <t>Antarct. Sci.</t>
  </si>
  <si>
    <t>10.1017/S0954102018000160</t>
  </si>
  <si>
    <t>Environmental Sciences; Geography, Physical; Geosciences, Multidisciplinary</t>
  </si>
  <si>
    <t>Environmental Sciences &amp; Ecology; Physical Geography; Geology</t>
  </si>
  <si>
    <t>GF8MI</t>
  </si>
  <si>
    <t>WOS:000432226300001</t>
  </si>
  <si>
    <t>Ma, YH; Wang, J; Zhang, YS</t>
  </si>
  <si>
    <t>Ma, Yuhui; Wang, Jing; Zhang, Yushan</t>
  </si>
  <si>
    <t>Analysis of pyrolysis characteristics and kinetics of Euphausia superba shell waste using TG-FTIR and distributed activation energy model</t>
  </si>
  <si>
    <t>BIOMASS CONVERSION AND BIOREFINERY</t>
  </si>
  <si>
    <t>Euphausia superba shell waste; Pyrolysis; TG-FTIR; Distributed activation energy model</t>
  </si>
  <si>
    <t>THERMOGRAVIMETRIC ANALYSIS; ANTARCTIC KRILL; BIOMASS; BEHAVIOR; CHITIN</t>
  </si>
  <si>
    <t>Pyrolysis of Euphausia superba shell waste (ESW) was investigated by using a thermogravimetric analyzer coupled with a Fourier transform infrared spectrometer (TG-FTIR). The kinetic parameters of pyrolysis reactions were obtained via the distributed activation energy model (DAEM). Experimental results showed that the temperature at which the highest weight loss rate occurred increased from 280 to 315 degrees C as the heating rate increased from 5 to 30 degrees C min(-1). Almost all the volatiles were evolved between 300 and 350 degrees C, while CH4 and aliphatic C-H were also produced at higher-temperature regions. A large amount of CO2 was generated above 650 degrees C by the decomposition of carbonates, and it can be further reduced to CO by ESW char. CO2 was the main non-condensable product, and ketones were the dominating condensable products. The activation energy of pyrolysis reactions increased from 79 to 392 kJ mol(-1) for conversion rates 0.13 to 0.54. The linear relationship between the natural logarithm of the frequency factor and activation energy was also established. The activation energy approximately followed Gaussian distribution, and the mean activation energy was 162 kJ mol(-1).</t>
  </si>
  <si>
    <t>[Ma, Yuhui; Wang, Jing; Zhang, Yushan] SOA, Inst Seawater Desalinat &amp; Multipurpose Utilizat, Tianjin 300192, Peoples R China</t>
  </si>
  <si>
    <t>Ma, YH (corresponding author), SOA, Inst Seawater Desalinat &amp; Multipurpose Utilizat, Tianjin 300192, Peoples R China.</t>
  </si>
  <si>
    <t>myhbiomass@163.com</t>
  </si>
  <si>
    <t>Ma, Yuhui/AGP-5462-2022</t>
  </si>
  <si>
    <t>Fundamental Research Funds for the Central Public Welfare Scientific Research Institution [K-JBYWF-2015-G19]</t>
  </si>
  <si>
    <t>Fundamental Research Funds for the Central Public Welfare Scientific Research Institution</t>
  </si>
  <si>
    <t>This work is financially supported by the Fundamental Research Funds for the Central Public Welfare Scientific Research Institution (No. K-JBYWF-2015-G19).</t>
  </si>
  <si>
    <t>SPRINGER HEIDELBERG</t>
  </si>
  <si>
    <t>HEIDELBERG</t>
  </si>
  <si>
    <t>TIERGARTENSTRASSE 17, D-69121 HEIDELBERG, GERMANY</t>
  </si>
  <si>
    <t>2190-6815</t>
  </si>
  <si>
    <t>2190-6823</t>
  </si>
  <si>
    <t>BIOMASS CONVERS BIOR</t>
  </si>
  <si>
    <t>Biomass Convers. Biorefinery</t>
  </si>
  <si>
    <t>10.1007/s13399-017-0281-7</t>
  </si>
  <si>
    <t>Energy &amp; Fuels; Engineering, Chemical</t>
  </si>
  <si>
    <t>Energy &amp; Fuels; Engineering</t>
  </si>
  <si>
    <t>GG2RN</t>
  </si>
  <si>
    <t>WOS:000432540300010</t>
  </si>
  <si>
    <t>Zhang, R; Guo, J; Liu, YF; Chen, S; Zhang, S; Yu, Y</t>
  </si>
  <si>
    <t>Zhang, Rui; Guo, Jing; Liu, Yuanfa; Chen, Shuang; Zhang, Sen; Yu, Yue</t>
  </si>
  <si>
    <t>Effects of sodium salt types on the intermolecular interaction of sodium alginate/antarctic krill protein composite fibers</t>
  </si>
  <si>
    <t>CARBOHYDRATE POLYMERS</t>
  </si>
  <si>
    <t>Composite fibers; Sodium alginate; Krill protein; Sodium salt</t>
  </si>
  <si>
    <t>GLIAL-CELLS; ALGINATE; CHITOSAN; FILMS</t>
  </si>
  <si>
    <t>Sodium alginate (SA) and antarctic krill protein (AKP) were blended to fabricate the SA/AKP composite fibers by the conventional wet spinning method using 5% CaCl2 as coagulation solution. The sodium salt was added to the SA/AKP solution to adjust the ionization degree and intermolecular interaction of composite system. The main purpose of this study is to investigate the influences of sodium salt types (NaCl, CH3COONa, Na2SO4) on the intermolecular interaction of SA/AKP composite fibers. The intermolecular interaction, morphology, crystallinity, thermal stability and mechanical properties of SA/AKP composite fibers were analyzed by fourier transform infrared spectroscopy (FT-IR), scanning electron microscope (SEM), x-ray diffraction (XRD), thermogravimetric analysis (TGA). The results show that the types of sodium salt have obvious influences on the content of both beta-sheet, intermolecular hydrogen bond, breaking strength and surface morphology in SA/AKP composite fibers, but have a negligible effect on the crystallinity and thermal stability.</t>
  </si>
  <si>
    <t>[Zhang, Rui; Guo, Jing; Liu, Yuanfa; Chen, Shuang; Zhang, Sen; Yu, Yue] Dalian Polytech Univ, Sch Text &amp; Mat Engn, Dalian 116034, Peoples R China; [Guo, Jing; Liu, Yuanfa; Zhang, Sen; Yu, Yue] Liaoning Engn Technol Res Ctr Funct Fiber &amp; Its C, Dalian 116034, Peoples R China</t>
  </si>
  <si>
    <t>Dalian Polytechnic University</t>
  </si>
  <si>
    <t>Guo, J; Liu, YF (corresponding author), Dalian Polytech Univ, Sch Text &amp; Mat Engn, Dalian 116034, Peoples R China.</t>
  </si>
  <si>
    <t>guojing8161@163.com; Liuyf@dlpu.edu.cn</t>
  </si>
  <si>
    <t>zhang, sen/GXH-3513-2022; Zhang, Sen/HKW-2973-2023; Liao, Hongmei/ABT-7677-2022</t>
  </si>
  <si>
    <t>Zhang, Sen/0000-0001-7429-7300; zhang, rui/0000-0001-7496-6041</t>
  </si>
  <si>
    <t>National Natural Science Foundation of China [51373027, 51773024]; National Science Foundation of Liaoning [2015020221]</t>
  </si>
  <si>
    <t>National Natural Science Foundation of China(National Natural Science Foundation of China (NSFC)); National Science Foundation of Liaoning</t>
  </si>
  <si>
    <t>This work was supported by the National Natural Science Foundation of China (grant numbers: 51373027 &amp; 51773024), and the National Science Foundation of Liaoning (grant number: 2015020221).</t>
  </si>
  <si>
    <t>ELSEVIER SCI LTD</t>
  </si>
  <si>
    <t>THE BOULEVARD, LANGFORD LANE, KIDLINGTON, OXFORD OX5 1GB, OXON, ENGLAND</t>
  </si>
  <si>
    <t>0144-8617</t>
  </si>
  <si>
    <t>1879-1344</t>
  </si>
  <si>
    <t>CARBOHYD POLYM</t>
  </si>
  <si>
    <t>Carbohydr. Polym.</t>
  </si>
  <si>
    <t>10.1016/j.carbpol.2018.02.013</t>
  </si>
  <si>
    <t>Chemistry, Applied; Chemistry, Organic; Polymer Science</t>
  </si>
  <si>
    <t>Chemistry; Polymer Science</t>
  </si>
  <si>
    <t>GA4SN</t>
  </si>
  <si>
    <t>WOS:000428322000010</t>
  </si>
  <si>
    <t>Riekkola, L; Zerbini, AN; Andrews, O; Andrews-Goff, V; Baker, CS; Chandler, D; Childerhouse, S; Clapham, P; Dodémont, R; Donnelly, D; Friedlaender, A; Gallego, R; Garrigue, C; Ivashchenko, Y; Jarman, S; Lindsay, R; Pallin, L; Robbins, J; Steel, D; Tremlett, J; Vindenes, S; Constantine, R</t>
  </si>
  <si>
    <t>Riekkola, Leena; Zerbini, Alexandre N.; Andrews, Olive; Andrews-Goff, Virginia; Baker, C. Scott; Chandler, David; Childerhouse, Simon; Clapham, Phillip; Dodemont, Remi; Donnelly, David; Friedlaender, Ari; Gallego, Ramon; Garrigue, Claire; Ivashchenko, Yulia; Jarman, Simon; Lindsay, Rebecca; Pallin, Logan; Robbins, Jooke; Steel, Debbie; Tremlett, James; Vindenes, Silje; Constantine, Rochelle</t>
  </si>
  <si>
    <t>Application of a multi-disciplinary approach to reveal population structure and Southern Ocean feeding grounds of humpback whales</t>
  </si>
  <si>
    <t>ECOLOGICAL INDICATORS</t>
  </si>
  <si>
    <t>Satellite telemetry; Epigenetic aging; Progesterone; Spatial ecology; Multi-disciplinary; Humpback whale</t>
  </si>
  <si>
    <t>MEGAPTERA-NOVAEANGLIAE; MICROSATELLITE LOCI; SEXUAL SEGREGATION; MOVEMENTS; PACIFIC; SPACE; AGE; MIGRATION; BLUBBER; HABITAT</t>
  </si>
  <si>
    <t>Obtaining direct measurements to characterise ecosystem function can be hindered by remote or inaccessible regions. Next-generation satellite tags that inform increasingly sophisticated movement models, and the miniaturisation of animal-borne loggers, have enabled the use of animals as tools to collect habitat data in remote environments, such as the Southern Ocean. Research on the distribution, habitat use and recovery of Oceania's humpback whales (Megaptera novaeangliae) has been constrained by the inaccessibility to their Antarctic feeding grounds and the limitations of technology. In this multi-disciplinary study, we combine innovative analytical tools to comprehensively assess the distribution and population structure of this marine predator throughout their entire migratory range. We used genotype and photo-identification matches and conducted a genetic mixed-stock analysis to identify the breeding ground origins of humpback whales migrating past the Kermadec Islands, New Zealand. Satellite tracking data and a state-space model were then used to identify the migratory paths and behaviour of 18 whales, and to reveal their Antarctic feeding ground destinations. Additionally, we conducted progesterone assays and epigenetic aging to determine the pregnancy rate and age-profile of the population. Humpback whales passing the Kermadec Islands did not assign to a single breeding ground origin, but instead came from a range of breeding grounds spanning similar to 3500 km of ocean. Sampled whales ranged from calves to adults of up to 67 years of age, and a pregnancy rate of 57% was estimated from 30 adult females. The whales migrated to the Southern Ocean (straight-line distances of up to 7000 km) and spanned similar to 4500 km across their Antarctic feeding grounds. All fully tracked females with a dependent calf (n = 4) migrated to the Ross Sea region, while 70% of adults without calves (n = 7) travelled further east to the Amundsen and Bellingshausen Seas region. By combining multiple research and analytical tools we obtained a comprehensive understanding of this wide-ranging, remote population of whales. Our results indicate a population recovering from exploitation,and their feeding ground distribution serves as an indicator of the resources available in these environments. The unexpected Kermadec Islands migratory bottle-neck of whales from several breeding grounds, variable distribution patterns by life history stage and high pregnancy rates will be important in informing conservation and management planning, and for understanding how this, as well as other whale populations, might respond to emerging threats such as climate change.</t>
  </si>
  <si>
    <t>[Riekkola, Leena; Gallego, Ramon; Lindsay, Rebecca; Tremlett, James; Vindenes, Silje; Constantine, Rochelle] Univ Auckland, Sch Biol Sci, Private Bag 92019, Auckland, New Zealand; [Zerbini, Alexandre N.; Clapham, Phillip; Ivashchenko, Yulia] Alaska Fisheries Sci Ctr, Marine Mammal Lab, 7600 Sand Point Way NE, Seattle, WA 98115 USA; [Zerbini, Alexandre N.] Cascadia Res Collect, 218 1-2 W 4th Ave, Olympia, WA 98501 USA; [Andrews, Olive] Univ Auckland, Conservat Int New Zealand &amp; Pacific Isl, Private Bag 92019, Auckland, New Zealand; [Andrews-Goff, Virginia] Australian Marine Mammal Ctr, Australian Antarctic Div, 203 Channel Hwy, Kingston, Tas 7050, Australia; [Baker, C. Scott; Friedlaender, Ari; Pallin, Logan; Steel, Debbie] Oregon State Univ, Hatfield Marine Sci Ctr, Marine Mammal Inst, 2030 SE Marine Sci Dr, Newport, OR 97365 USA; [Chandler, David] Australian Genome Res Facil, 6 Verdun St, Perth, WA 6009, Australia; [Childerhouse, Simon] Blue Planet Marine, POB 3639, Richmond, Nelson, New Zealand; [Dodemont, Remi; Garrigue, Claire] Operat Cetaces, BP 12827, Noumea 98802, New Caledonia; [Donnelly, David] Killer Whales Australia, 8 Campbell Pde, Box Hill South, Vic 3128, Australia; [Garrigue, Claire] Univ Reunion, CNRS, Lab Excellence CORAIL, IRD,UMR Entropie, BPA5, Noumea 98848, New Caledonia; [Jarman, Simon] Curtin Univ, Dept Environm &amp; Agr, Trace &amp; Environm DNA TrEnD Lab, Perth, WA 6102, Australia; [Jarman, Simon] Univ Western Australia, Indian Ocean Marine Res Ctr, CSIRO, 39 Fairway Level 4, Perth, WA 6009, Australia; [Robbins, Jooke] Ctr Coastal Studies, 5 Holway Ave, Provincetown, MA 02657 USA; [Constantine, Rochelle] Univ Auckland, Inst Marine Sci, Private Bag 92019, Auckland, New Zealand; [Friedlaender, Ari; Pallin, Logan] Univ Calif Santa Crus, Inst Marine Sci, 115 McAllister Way, Santa Cruz, CA 95060 USA; [Gallego, Ramon] Univ Washington, Sch Marine &amp; Environm Affairs, 3707 Brooklyn Ave NE, Seattle, WA 98105 USA; [Tremlett, James] Univ Cambridge, Dept Geog, Cambridge CB2 3EN, England</t>
  </si>
  <si>
    <t>University of Auckland; National Oceanic Atmospheric Admin (NOAA) - USA; University of Auckland; Australian Antarctic Division; Oregon State University; Institut de Recherche pour le Developpement (IRD); Curtin University; Commonwealth Scientific &amp; Industrial Research Organisation (CSIRO); University of Western Australia; University of Auckland; University of Washington; University of Washington Seattle; University of Cambridge</t>
  </si>
  <si>
    <t>Constantine, R (corresponding author), Univ Auckland, Sch Biol Sci, Private Bag 92019, Auckland, New Zealand.</t>
  </si>
  <si>
    <t>r.constantine@auckland.ac.nz</t>
  </si>
  <si>
    <t>Gallego, Ramon/AAA-6840-2020; Zerbini, Alexandre/ABH-3916-2020; Jarman, Simon/H-9265-2016; garrigue, claire/I-4704-2016</t>
  </si>
  <si>
    <t>Gallego, Ramon/0000-0003-4990-9648; Zerbini, Alexandre/0000-0002-9776-6605; Jarman, Simon/0000-0002-0792-9686; Pallin, Logan/0000-0001-8024-9663; Robbins, Jooke/0000-0002-6382-722X; Riekkola, Leena/0000-0002-9653-7106; garrigue, claire/0000-0002-8117-3370; Andrews-Goff, Virginia/0000-0002-4609-7317</t>
  </si>
  <si>
    <t>Ministry for Primary Industries BRAG; Pew Charitable Trusts; Southern Ocean Research Partnership International Whaling Commission; Australian Antarctic Division; University of Auckland; Institut de Recherche pour le Developpement; Conservation International; Blue Planet Marine; Operation Cetaces; National Marine Mammal Laboratory - NOAA; Royal Society of New Zealand - Hutton Fund &amp; Australasian Society for Study of Animal Behaviour</t>
  </si>
  <si>
    <t>This research was funded by Ministry for Primary Industries BRAG, Pew Charitable Trusts, Southern Ocean Research Partnership International Whaling Commission, Australian Antarctic Division, University of Auckland, Institut de Recherche pour le Developpement, Conservation International, Blue Planet Marine, Operation Cetaces, National Marine Mammal Laboratory - NOAA; Royal Society of New Zealand - Hutton Fund &amp; Australasian Society for Study of Animal Behaviour (L.R.).</t>
  </si>
  <si>
    <t>ELSEVIER</t>
  </si>
  <si>
    <t>AMSTERDAM</t>
  </si>
  <si>
    <t>RADARWEG 29, 1043 NX AMSTERDAM, NETHERLANDS</t>
  </si>
  <si>
    <t>1470-160X</t>
  </si>
  <si>
    <t>1872-7034</t>
  </si>
  <si>
    <t>ECOL INDIC</t>
  </si>
  <si>
    <t>Ecol. Indic.</t>
  </si>
  <si>
    <t>10.1016/j.ecolind.2018.02.030</t>
  </si>
  <si>
    <t>Biodiversity Conservation; Environmental Sciences</t>
  </si>
  <si>
    <t>GD8KI</t>
  </si>
  <si>
    <t>WOS:000430760900044</t>
  </si>
  <si>
    <t>Harvey, BJ; Nash, KL; Blanchard, JL; Edwards, DP</t>
  </si>
  <si>
    <t>Harvey, Bethany J.; Nash, Kirsty L.; Blanchard, Julia L.; Edwards, David P.</t>
  </si>
  <si>
    <t>Ecosystem-based management of coral reefs under climate change</t>
  </si>
  <si>
    <t>ECOLOGY AND EVOLUTION</t>
  </si>
  <si>
    <t>Review</t>
  </si>
  <si>
    <t>climate change; coral reef ecology; ecosystem-based management; marine protected areas; marine spatial planning; resilience; social-ecological systems</t>
  </si>
  <si>
    <t>MARINE PROTECTED AREAS; GREAT-BARRIER-REEF; OCEAN ACIDIFICATION; NUTRIENT ENRICHMENT; CHANGE IMPACTS; WATER-QUALITY; RANGE EXPANSION; RIVER RUNOFF; PHASE-SHIFTS; RESILIENCE</t>
  </si>
  <si>
    <t>Coral reefs provide food and livelihoods for hundreds of millions of people as well as harbour some of the highest regions of biodiversity in the ocean. However, overexploitation, land-use change and other local anthropogenic threats to coral reefs have left many degraded. Additionally, coral reefs are faced with the dual emerging threats of ocean warming and acidification due to rising CO2 emissions, with dire predictions that they will not survive the century. This review evaluates the impacts of climate change on coral reef organisms, communities and ecosystems, focusing on the interactions between climate change factors and local anthropogenic stressors. It then explores the shortcomings of existing management and the move towards ecosystem-based management and resilience thinking, before highlighting the need for climate change-ready marine protected areas (MPAs), reduction in local anthropogenic stressors, novel approaches such as human-assisted evolution and the importance of sustainable socialecological systems. It concludes that designation of climate change-ready MPAs, integrated with other management strategies involving stakeholders and participation at multiple scales such as marine spatial planning, will be required to maximise coral reef resilience under climate change. However, efforts to reduce carbon emissions are critical if the long-term efficacy of local management actions is to be maintained and coral reefs are to survive.</t>
  </si>
  <si>
    <t>[Harvey, Bethany J.; Edwards, David P.] Univ Sheffield, Dept Anim &amp; Plant Sci, Sheffield, S Yorkshire, England; [Nash, Kirsty L.; Blanchard, Julia L.] Ctr Marine Socioecol, Hobart, Tas, Australia; [Nash, Kirsty L.; Blanchard, Julia L.] Univ Tasmania, Inst Marine &amp; Antarctic Studies, Hobart, Tas, Australia</t>
  </si>
  <si>
    <t>University of Sheffield; University of Tasmania</t>
  </si>
  <si>
    <t>Harvey, BJ (corresponding author), Univ Sheffield, Dept Anim &amp; Plant Sci, Sheffield, S Yorkshire, England.</t>
  </si>
  <si>
    <t>bjh4@st-andrews.ac.uk</t>
  </si>
  <si>
    <t>Nash, Kirsty L/B-5456-2015; Blanchard, Julia L/E-4919-2010; Edwards, David/AAC-5091-2019</t>
  </si>
  <si>
    <t>Nash, Kirsty L/0000-0003-0976-3197; Edwards, David/0000-0001-8562-3853; Blanchard, Julia/0000-0003-0532-4824; Harvey, Bethany/0000-0002-3082-8859</t>
  </si>
  <si>
    <t>Natural Environment Research Council [NE/L00321X]</t>
  </si>
  <si>
    <t>Natural Environment Research Council(UK Research &amp; Innovation (UKRI)Natural Environment Research Council (NERC))</t>
  </si>
  <si>
    <t>Natural Environment Research Council, Grant/Award Number: NE/L00321X</t>
  </si>
  <si>
    <t>2045-7758</t>
  </si>
  <si>
    <t>ECOL EVOL</t>
  </si>
  <si>
    <t>Ecol. Evol.</t>
  </si>
  <si>
    <t>10.1002/ece3.4146</t>
  </si>
  <si>
    <t>Ecology; Evolutionary Biology</t>
  </si>
  <si>
    <t>Science Citation Index Expanded (SCI-EXPANDED); Social Science Citation Index (SSCI)</t>
  </si>
  <si>
    <t>Environmental Sciences &amp; Ecology; Evolutionary Biology</t>
  </si>
  <si>
    <t>GL0RX</t>
  </si>
  <si>
    <t>Green Published, Green Accepted, gold</t>
  </si>
  <si>
    <t>WOS:000436799100032</t>
  </si>
  <si>
    <t>Logares, R; Tesson, SV; Canbäck, B; Pontarp, M; Hedlund, K; Rengefors, K</t>
  </si>
  <si>
    <t>Logares, Ramiro; Tesson, Sylvie V. M.; Canback, Bjorn; Pontarp, Mikael; Hedlund, Katarina; Rengefors, Karin</t>
  </si>
  <si>
    <t>Contrasting prevalence of selection and drift in the community structuring of bacteria and microbial eukaryotes</t>
  </si>
  <si>
    <t>ENVIRONMENTAL MICROBIOLOGY</t>
  </si>
  <si>
    <t>MARINE BACTERIAL; BIPOLAR DISTRIBUTION; RELATIVE ROLES; VESTFOLD HILLS; LAKES; BIOGEOGRAPHY; DIVERSITY; PATTERNS; ECOLOGY; UNIFRAC</t>
  </si>
  <si>
    <t>Whether or not communities of microbial eukaryotes are structured in the same way as bacteria is a general and poorly explored question in ecology. Here, we investigated this question in a set of planktonic lake microbiotas in Eastern Antarctica that represent a natural community ecology experiment. Most of the analysed lakes emerged from the sea during the last 6000 years, giving rise to waterbodies that originally contained marine microbiotas and that subsequently evolved into habitats ranging from freshwater to hypersaline. We show that habitat diversification has promoted selection driven by the salinity gradient in bacterial communities (explaining approximate to 72% of taxa turnover), while microeukaryotic counterparts were predominantly structured by ecological drift (approximate to 72% of the turnover). Nevertheless, we also detected a number of microeukaryotes with specific responses to salinity, indicating that albeit minor, selection has had a role in the structuring of specific members of their communities. In sum, we conclude that microeukaryotes and bacteria inhabiting the same communities can be structured predominantly by different processes. This should be considered in future studies aiming to understand the mechanisms that shape microbial assemblages.</t>
  </si>
  <si>
    <t>[Logares, Ramiro] CSIC, Inst Marine Sci ICM, Barcelona, Spain; [Tesson, Sylvie V. M.] Univ Gothenburg, Dept Chem &amp; Mol Biol, Gothenburg, Sweden; [Tesson, Sylvie V. M.; Canback, Bjorn; Pontarp, Mikael; Hedlund, Katarina; Rengefors, Karin] Lund Univ, Dept Biol, Lund, Sweden; [Pontarp, Mikael] Univ Zurich, Dept Evolutionary Biol &amp; Environm Studies, Zurich, Switzerland; [Pontarp, Mikael] Umea Univ, Dept Ecol &amp; Environm Sci, Umea, Sweden</t>
  </si>
  <si>
    <t>Consejo Superior de Investigaciones Cientificas (CSIC); CSIC - Centro Mediterraneo de Investigaciones Marinas y Ambientales (CMIMA); CSIC - Instituto de Ciencias del Mar (ICM); University of Gothenburg; Lund University; University of Zurich; Umea University</t>
  </si>
  <si>
    <t>Logares, R (corresponding author), CSIC, Inst Marine Sci ICM, Barcelona, Spain.</t>
  </si>
  <si>
    <t>ramiro.logares@gmail.com</t>
  </si>
  <si>
    <t>Logares, Ramiro/AAI-2306-2019; Rengefors, Karin/K-5873-2019; Hedlund, Katarina/AAC-3333-2022; Tesson, Sylvie/D-9018-2015; Logares, Ramiro/D-5920-2011</t>
  </si>
  <si>
    <t>Tesson, Sylvie/0000-0002-0751-6953; Rengefors, Karin/0000-0001-6297-9734; Logares, Ramiro/0000-0002-8213-0604</t>
  </si>
  <si>
    <t>Swedish Research Council [349-2007-8690, 621-2012-3726]; MINECO, Spain [RYC-2013-12554]; Australian Antarctic Research Assessment Committee</t>
  </si>
  <si>
    <t>Swedish Research Council(Swedish Research Council); MINECO, Spain(Spanish Government); Australian Antarctic Research Assessment Committee</t>
  </si>
  <si>
    <t>This project was supported by the Swedish Research Council grants 349-2007-8690 (CAnMove) and 621-2012-3726 (to KR). RL was supported by a Ramon y Cajal fellowship (RYC-2013-12554, MINECO, Spain). Sample collection was supported by a grant from the Australian Antarctic Research Assessment Committee awarded to KR and Johanna Laybourn-Parry. We thank Johanna Laybourn-Parry as well as the Australian Antarctic Division staff for their help during sampling. High-Performance computing analyses were run at the MARBITS bioinformatics platform (ICM-CSIC; ), Spain. The authors declare no conflict of interest. We thank the two anonymous reviewers that helped to improve this manuscript.</t>
  </si>
  <si>
    <t>1462-2912</t>
  </si>
  <si>
    <t>1462-2920</t>
  </si>
  <si>
    <t>ENVIRON MICROBIOL</t>
  </si>
  <si>
    <t>Environ. Microbiol.</t>
  </si>
  <si>
    <t>SI</t>
  </si>
  <si>
    <t>10.1111/1462-2920.14265</t>
  </si>
  <si>
    <t>Microbiology</t>
  </si>
  <si>
    <t>GQ6YM</t>
  </si>
  <si>
    <t>WOS:000441876900035</t>
  </si>
  <si>
    <t>Boyd, PW; Collins, S; Dupont, S; Fabricius, K; Gattuso, JP; Havenhand, J; Hutchins, DA; Riebesell, U; Rintoul, MS; Vichi, M; Biswas, H; Ciotti, A; Gao, K; Gehlen, M; Hurd, CL; Kurihara, H; McGraw, CM; Navarro, JM; Nilsson, GE; Passow, U; Pörtner, HO</t>
  </si>
  <si>
    <t>Boyd, Philip W.; Collins, Sinead; Dupont, Sam; Fabricius, Katharina; Gattuso, Jean-Pierre; Havenhand, Jonathan; Hutchins, David A.; Riebesell, Ulf; Rintoul, Max S.; Vichi, Marcello; Biswas, Haimanti; Ciotti, Aurea; Gao, Kunshan; Gehlen, Marion; Hurd, Catriona L.; Kurihara, Haruko; McGraw, Christina M.; Navarro, Jorge M.; Nilsson, Goeran E.; Passow, Uta; Poertner, Hans-Otto</t>
  </si>
  <si>
    <t>Experimental strategies to assess the biological ramifications of multiple drivers of global ocean change-A review</t>
  </si>
  <si>
    <t>GLOBAL CHANGE BIOLOGY</t>
  </si>
  <si>
    <t>design; experiments; multiple drivers; ocean; stressors</t>
  </si>
  <si>
    <t>MARINE-PHYTOPLANKTON; EMILIANIA-HUXLEYI; LISTERIA-MONOCYTOGENES; CARBONATE CHEMISTRY; ADAPTIVE EVOLUTION; NITROGEN-FIXATION; GROWTH BOUNDARY; GENE-EXPRESSION; ELEVATED CO2; ACIDIFICATION</t>
  </si>
  <si>
    <t>Marine life is controlled by multiple physical and chemical drivers and by diverse ecological processes. Many of these oceanic properties are being altered by climate change and other anthropogenic pressures. Hence, identifying the influences of multifaceted ocean change, from local to global scales, is a complex task. To guide policy-making and make projections of the future of the marine biosphere, it is essential to understand biological responses at physiological, evolutionary and ecological levels. Here, we contrast and compare different approaches to multiple driver experiments that aim to elucidate biological responses to a complex matrix of ocean global change. We present the benefits and the challenges of each approach with a focus on marine research, and guidelines to navigate through these different categories to help identify strategies that might best address research questions in fundamental physiology, experimental evolutionary biology and community ecology. Our review reveals that the field of multiple driver research is being pulled in complementary directions: the need for reductionist approaches to obtain processoriented, mechanistic understanding and a requirement to quantify responses to projected future scenarios of ocean change. We conclude the review with recommendations on how best to align different experimental approaches to contribute fundamental information needed for science-based policy formulation.</t>
  </si>
  <si>
    <t>[Boyd, Philip W.; Hurd, Catriona L.] Univ Tasmania, Inst Marine &amp; Antarctic Studies, Hobart, Tas, Australia; [Boyd, Philip W.; Rintoul, Max S.] Univ Tasmania, Antarctic Climate &amp; Ecosyst Cooperat Res Ctr, Hobart, Tas, Australia; [Collins, Sinead] Univ Edinburgh, Inst Evolutionary Biol, Edinburgh, Midlothian, Scotland; [Dupont, Sam] Univ Gothenburg, Dept Biol &amp; Environm Sci Kristineberg, Gothenburg, Sweden; [Fabricius, Katharina] Australian Inst Marine Sci, Townsville, Qld, Australia; [Gattuso, Jean-Pierre] CNRS, UPMC, Observ Oceanolog Lab Oceanographie, Villefranche Sur Mer, France; [Havenhand, Jonathan] Univ Gothenburg, Dept Marine Sci Tjarno, Gothenburg, Sweden; [Hutchins, David A.] Univ Southern Calif, Los Angeles, CA USA; [Riebesell, Ulf] GEOMAR Helmholtz Ctr Ocean Res Kiel, Kiel, Germany; [Vichi, Marcello] Univ Cape Town, Marine Res Inst, Cape Town, South Africa; [Vichi, Marcello] Univ Cape Town, Dept Oceanog, Cape Town, South Africa; [Biswas, Haimanti] Natl Inst Oceanog, Panaji, Goa, India; [Ciotti, Aurea] Univ Sao Paulo, Ctr Biol Marinha, Sao Paulo, Brazil; [Gao, Kunshan] Xiamen Univ, State Key Lab Marine Environm Sci, Xiamen, Fujian, Peoples R China; [Gehlen, Marion] Lab Sci Climat &amp; Environnem, Gif Sur Yvette, France; [Kurihara, Haruko] Univ Ryukyus, Okinawa, Japan; [McGraw, Christina M.] NIWA Univ Otago Res Ctr Oceanog, Univ Otago, Dept Chem, Dunedin, New Zealand; [Navarro, Jorge M.] Univ Austral Chile, Ctr FONDAP Invest &amp; Dinam Ecosistemas Marino Alta, Inst Ciencias Marinas &amp; Limnol, Valdivia, Chile; [Nilsson, Goeran E.] Univ Oslo, Dept Biosci, Oslo, Norway; [Passow, Uta] UC Santa Barbara, Marine Sci Inst, Santa Barbara, CA USA; [Poertner, Hans-Otto] Alfred Wegener Inst, Helmholtz Ctr Polar &amp; Marine Res, Bremerhaven, Germany</t>
  </si>
  <si>
    <t>University of Tasmania; University of Tasmania; Antarctic Climate &amp; Ecosystems Cooperative Research Centre (ACE CRC); University of Edinburgh; University of Gothenburg; Australian Institute of Marine Science; Centre National de la Recherche Scientifique (CNRS); Sorbonne Universite; University of Gothenburg; University of Southern California; Helmholtz Association; GEOMAR Helmholtz Center for Ocean Research Kiel; University of Cape Town; University of Cape Town; Council of Scientific &amp; Industrial Research (CSIR) - India; CSIR - National Institute of Oceanography (NIO); Universidade de Sao Paulo; Xiamen University; CEA; Centre National de la Recherche Scientifique (CNRS); Universite Paris Saclay; University of the Ryukyus; University of Otago; Universidad Austral de Chile; University of Oslo; University of California System; University of California Santa Barbara; Helmholtz Association; Alfred Wegener Institute, Helmholtz Centre for Polar &amp; Marine Research</t>
  </si>
  <si>
    <t>Boyd, PW (corresponding author), Univ Tasmania, Inst Marine &amp; Antarctic Studies, Hobart, Tas, Australia.</t>
  </si>
  <si>
    <t>philip.boyd@utas.edu.au</t>
  </si>
  <si>
    <t>Ciotti, Aurea Maria/B-7188-2011; Riebesell, Ulf/AAC-9717-2020; gao, kunshan/G-3374-2010; Pörtner, Hans-O./ISU-9397-2023; Dupont, Sam T/F-5527-2013; Pörtner, Hans-O./K-9429-2016; Nilsson, Göran Erik/Q-6129-2019; Ciotti, Aurea Maria/M-9025-2019; Biswas, Haimanti/AAA-6194-2022; Vichi, Marcello/GLR-9823-2022; Havenhand, Jon N/F-5435-2013; Vichi, Marcello/B-8719-2008; Hutchins, David A/D-3301-2013; Gattuso, Jean-Pierre/AAG-8643-2019; Hurd, Catriona/J-2411-2013; Boyd, Philip/J-7624-2014; Fabricius, Katharina/F-1759-2010</t>
  </si>
  <si>
    <t>Ciotti, Aurea Maria/0000-0001-7163-8819; Pörtner, Hans-O./0000-0001-6535-6575; Ciotti, Aurea Maria/0000-0001-7163-8819; Biswas, Haimanti/0000-0003-1869-1308; Vichi, Marcello/0000-0002-0686-9634; Vichi, Marcello/0000-0002-0686-9634; Hutchins, David A/0000-0002-6637-756X; Gattuso, Jean-Pierre/0000-0002-4533-4114; Rintoul, Max/0000-0001-9141-9779; Hurd, Catriona/0000-0001-9965-4917; Boyd, Philip/0000-0001-7850-1911; Gao, Kunshan/0000-0001-7365-6332; McGraw, Christina/0000-0001-5841-0748; Fabricius, Katharina/0000-0001-7671-4358; Havenhand, Jonathan/0000-0001-6721-7763; Gehlen, Marion/0000-0002-9688-0692</t>
  </si>
  <si>
    <t>Scientific Council for Oceanographic Research [WG149]; NERC [NE/P006981/1, NE/E013066/1] Funding Source: UKRI</t>
  </si>
  <si>
    <t>Scientific Council for Oceanographic Research; NERC(UK Research &amp; Innovation (UKRI)Natural Environment Research Council (NERC))</t>
  </si>
  <si>
    <t>Scientific Council for Oceanographic Research, Grant/Award Number: WG149</t>
  </si>
  <si>
    <t>1354-1013</t>
  </si>
  <si>
    <t>1365-2486</t>
  </si>
  <si>
    <t>GLOBAL CHANGE BIOL</t>
  </si>
  <si>
    <t>Glob. Change Biol.</t>
  </si>
  <si>
    <t>10.1111/gcb.14102</t>
  </si>
  <si>
    <t>Biodiversity Conservation; Ecology; Environmental Sciences</t>
  </si>
  <si>
    <t>GH7UQ</t>
  </si>
  <si>
    <t>Green Published, Bronze, Green Accepted</t>
  </si>
  <si>
    <t>WOS:000433717700004</t>
  </si>
  <si>
    <t>Miloslavich, P; Bax, NJ; Simmons, SE; Klein, E; Appeltans, W; Aburto-Oropeza, O; Garcia, MA; Batten, SD; Benedetti-Cecchi, L; Checkley, DM; Chiba, S; Duffy, JE; Dunn, DC; Fischer, A; Gunn, J; Kudela, R; Marsac, F; Muller-Karger, FE; Obura, D; Shin, YJ</t>
  </si>
  <si>
    <t>Miloslavich, Patricia; Bax, Nicholas J.; Simmons, Samantha E.; Klein, Eduardo; Appeltans, Ward; Aburto-Oropeza, Octavio; Garcia, Melissa Andersen; Batten, Sonia D.; Benedetti-Cecchi, Lisandro; Checkley, David M., Jr.; Chiba, Sanae; Duffy, J. Emmett; Dunn, Daniel C.; Fischer, Albert; Gunn, John; Kudela, Raphael; Marsac, Francis; Muller-Karger, Frank E.; Obura, David; Shin, Yunne-Jai</t>
  </si>
  <si>
    <t>Essential ocean variables for global sustained observations of biodiversity and ecosystem changes</t>
  </si>
  <si>
    <t>driver-pressure-state-impact-response; essential ocean variables; framework for ocean observing; global ocean observing system; marine biodiversity changes; Marine Biodiversity Observation Network; ocean change</t>
  </si>
  <si>
    <t>CONTINUOUS PLANKTON RECORDER; CLIMATE-CHANGE; ECOLOGICAL INDICATORS; MARINE BIODIVERSITY; COMMUNITY STRUCTURE; CONSERVATION STATUS; TROPHIC CASCADES; SOUTHERN-OCEAN; DYNAMIC OCEAN; NORTH PACIFIC</t>
  </si>
  <si>
    <t>Sustained observations of marine biodiversity and ecosystems focused on specific conservation and management problems are needed around the world to effectively mitigate or manage changes resulting from anthropogenic pressures. These observations, while complex and expensive, are required by the international scientific, governance and policy communities to provide baselines against which the effects of human pressures and climate change may be measured and reported, and resources allocated to implement solutions. To identify biological and ecological essential ocean variables (EOVs) for implementation within a global ocean observing system that is relevant for science, informs society, and technologically feasible, we used a driver-pressure-state-impact-response (DPSIR) model. We (1) examined relevant international agreements to identify societal drivers and pressures on marine resources and ecosystems, (2) evaluated the temporal and spatial scales of variables measured by 100+ observing programs, and (3) analysed the impact and scalability of these variables and how they contribute to address societal and scientific issues. EOVs were related to the status of ecosystem components (phytoplankton and zoo-plankton biomass and diversity, and abundance and distribution of fish, marine turtles, birds and mammals), and to the extent and health of ecosystems (cover and composition of hard coral, seagrass, mangrove and macroalgal canopy). Benthic invertebrate abundance and distribution and microbe diversity and biomass were identified as emerging EOVs to be developed based on emerging requirements and new technologies. The temporal scale at which any shifts in biological systems will be detected will vary across the EOVs, the properties being monitored and the length of the existing time-series. Global implementation to deliver useful products will require collaboration of the scientific and policy sectors and a significant commitment to improve human and infrastructure capacity across the globe, including the development of new, more automated observing technologies, and encouraging the application of international standards and best practices.</t>
  </si>
  <si>
    <t>[Miloslavich, Patricia; Bax, Nicholas J.] Univ Tasmania, Inst Marine &amp; Antarctic Studies, Hobart, Tas, Australia; [Miloslavich, Patricia; Klein, Eduardo] Univ Simon Bolivar, Dept Estudios Ambientales, Caracas, Venezuela; [Miloslavich, Patricia; Gunn, John] Australian Inst Marine Sci, Townsville, Qld, Australia; [Miloslavich, Patricia] Univ Western Australia, Oceans Inst, Crawley, WA, Australia; [Bax, Nicholas J.] CSIRO, Oceans &amp; Atmosphere, Hobart, Tas, Australia; [Simmons, Samantha E.] Marine Mammal Commiss, Bethesda, MD USA; [Appeltans, Ward] IOC Project Off IODE, Intergovt Oceanog Commiss UNESCO, Oostende, Belgium; [Aburto-Oropeza, Octavio] Scripps Inst Oceanog, Marine Biol Res Div, La Jolla, CA USA; [Garcia, Melissa Andersen] NOAA, Off Int Affairs, Washington, DC USA; [Batten, Sonia D.] SAHFOS, Nanaimo, BC, Canada; [Benedetti-Cecchi, Lisandro] Univ Pisa, Dept Biol, CoNISMa, Pisa, Italy; [Checkley, David M., Jr.] Univ Calif San Diego, La Jolla, CA 92093 USA; [Chiba, Sanae] UN Environm World Conservat Monitoring Ctr, Cambridge, England; [Chiba, Sanae] JAMSTEC, Res &amp; Dev Ctr Global Change RCGC, Yokohama, Kanagawa, Japan; [Duffy, J. Emmett] Smithsonian Inst, Tennenbaum Marine Observatories Network, Edgewater, MD USA; [Dunn, Daniel C.] Duke Univ, Nicholas Sch Environm, Marine Geospatial Ecol Lab, Beaufort, NC USA; [Fischer, Albert] UNESCO, IOC, Paris, France; [Kudela, Raphael] Univ Calif Santa Cruz, Ocean Sci Dept, Santa Cruz, CA 95064 USA; [Marsac, Francis; Shin, Yunne-Jai] Univ Montpellier, UMR MARBEC 248, IRD, Montpellier, France; [Marsac, Francis] Univ Cape Town, Dept Oceanog, Rondebosch, South Africa; [Muller-Karger, Frank E.] Univ S Florida, Coll Marine Sci, Inst Marine Remote Sensing IMaRS, St Petersburg, FL 33701 USA; [Obura, David] CORDIO East Africa, Mombasa, Kenya; [Shin, Yunne-Jai] Univ Cape Town, Ma Re Inst, Dept Biol Sci, Rondebosch, South Africa</t>
  </si>
  <si>
    <t>University of Tasmania; Simon Bolivar University; Australian Institute of Marine Science; University of Western Australia; Commonwealth Scientific &amp; Industrial Research Organisation (CSIRO); University of California System; University of California San Diego; Scripps Institution of Oceanography; National Oceanic Atmospheric Admin (NOAA) - USA; University of Pisa; CoNISMa; University of California System; University of California San Diego; Japan Agency for Marine-Earth Science &amp; Technology (JAMSTEC); Smithsonian Institution; Smithsonian Environmental Research Center; Duke University; University of California System; University of California Santa Cruz; Universite de Montpellier; Ifremer; Institut de Recherche pour le Developpement (IRD); University of Cape Town; State University System of Florida; University of South Florida; University of Cape Town</t>
  </si>
  <si>
    <t>Miloslavich, P (corresponding author), Univ Tasmania, Inst Marine &amp; Antarctic Studies, Hobart, Tas, Australia.</t>
  </si>
  <si>
    <t>pmilos@usb.ve</t>
  </si>
  <si>
    <t>Bax, Nicholas J/A-2321-2012; Marsac, Francis S/L-7707-2017; Benedetti-Cecchi, Lisandro/J-8225-2019; Duffy, J. Emmett/ABF-9200-2020; Shin, Yunne-Jai/A-7575-2012</t>
  </si>
  <si>
    <t>Benedetti-Cecchi, Lisandro/0000-0001-5244-5202; Duffy, J. Emmett/0000-0001-8595-6391; Aburto-Oropeza, Octavio/0000-0002-8173-1432; Dunn, Daniel/0000-0001-8932-0681; Simmons, Samantha/0000-0003-0326-6990; Shin, Yunne-Jai/0000-0002-7259-9265; Miloslavich, Patricia/0000-0001-5409-1401</t>
  </si>
  <si>
    <t>NASA [NNX14AP62A]; National Ocean Partnership Program; NOAA; Australian Government's National Environmental Science Program; NERC [SAH01001] Funding Source: UKRI; Natural Environment Research Council [SAH01001] Funding Source: researchfish</t>
  </si>
  <si>
    <t>NASA(National Aeronautics &amp; Space Administration (NASA)); National Ocean Partnership Program; NOAA(National Oceanic Atmospheric Admin (NOAA) - USA); Australian Government's National Environmental Science Program(Australian Government); NERC(UK Research &amp; Innovation (UKRI)Natural Environment Research Council (NERC)); Natural Environment Research Council(UK Research &amp; Innovation (UKRI)Natural Environment Research Council (NERC))</t>
  </si>
  <si>
    <t>NASA, Grant/Award Number: NNX14AP62A; National Ocean Partnership Program; NOAA; Australian Government's National Environmental Science Program</t>
  </si>
  <si>
    <t>10.1111/gcb.14108</t>
  </si>
  <si>
    <t>Green Submitted, Green Published, hybrid</t>
  </si>
  <si>
    <t>Y</t>
  </si>
  <si>
    <t>N</t>
  </si>
  <si>
    <t>WOS:000433717700017</t>
  </si>
  <si>
    <t>Nishiyama, T; Sato, K; Nakamura, T; Tsutsumi, M; Sato, T; Tanaka, YM; Nishimura, K; Tomikawa, Y; Kohma, M</t>
  </si>
  <si>
    <t>Nishiyama, T.; Sato, K.; Nakamura, T.; Tsutsumi, M.; Sato, T.; Tanaka, Y. -M.; Nishimura, K.; Tomikawa, Y.; Kohma, M.</t>
  </si>
  <si>
    <t>Simultaneous Observations of Polar Mesosphere Winter Echoes and Cosmic Noise Absorptions in a Common Volume by the PANSY Radar (69.0°S, 39.6°E)</t>
  </si>
  <si>
    <t>JOURNAL OF GEOPHYSICAL RESEARCH-SPACE PHYSICS</t>
  </si>
  <si>
    <t>polar mesosphere winter echo; cosmic noise absorption; MST radar; mesosphere and lower thermosphere; ionospheric D-region; energetic particle precipitation</t>
  </si>
  <si>
    <t>UPPER-ATMOSPHERE RADAR; SUMMER ECHOES; VHF RADAR; TURBULENCE; MIDDLE; MODEL; PMWE; IONOSPHERE; ANTARCTICA; SCATTERING</t>
  </si>
  <si>
    <t>This study focuses on the one-to-one relationship between the morphology of polar mesosphere winter echo (PMWE) and cosmic noise absorption (CNA) as determined by measurements made with a single atmospheric radar, the Program of the Antarctic Syowa mesosphere-stratosphere-troposphere/incoherent scatter (PANSY) radar. CNA was calculated using the noise level in radar signal data collected during May 2013, including data of a solar proton event on 23 May. Using PMWE and CNA data in a common volume, their temporal variations and relation were examined in detail. PMWE altitude was clearly anticorrelated with CNA magnitude in a statistical sense: When a large CNA exceeding 0.50 dB took place, PMWE seemed to concentrate around 65 km and disappear above 70 km. The electron density behind the PMWE was estimated by using the ionospheric model for the auroral zone for the solar proton event. PMWE occurrence roughly coincided with a high electron density in the model, except that no PMWE was observed above 70km at 0730 UT despite the electron density being higher than 10(8) m(-3). Additionally, the estimated radar volume reflectivity with the Schmidt number Sc less than or equal to 1 is qualitatively consistent with the observed PMWE. Although weak turbulent energy dissipation rate can also play a dominant role in the observed PMWE decay, a plausible mechanism was small Sc or reduction of Sc that is equal to an increase in electron diffusivity resulting from an unusually high electron density, which significantly reduced radar volume reflectivity above 70km.</t>
  </si>
  <si>
    <t>[Nishiyama, T.; Nakamura, T.; Tsutsumi, M.; Tanaka, Y. -M.; Nishimura, K.; Tomikawa, Y.] Natl Inst Polar Res, Tachikawa, Tokyo, Japan; [Nishiyama, T.; Nakamura, T.; Tsutsumi, M.; Tanaka, Y. -M.; Nishimura, K.; Tomikawa, Y.] SOKENDAI, Tachikawa, Tokyo, Japan; [Sato, K.; Kohma, M.] Univ Tokyo, Dept Earth &amp; Planetary Sci, Tokyo, Japan; [Sato, T.] Kyoto Univ, Dept Commun &amp; Comp Engn, Kyoto, Japan; [Tanaka, Y. -M.] Res Org Informat &amp; Syst, Joint Support Ctr Data Sci Res, Polar Environm Data Sci Ctr, Tokyo, Japan</t>
  </si>
  <si>
    <t>Research Organization of Information &amp; Systems (ROIS); National Institute of Polar Research (NIPR) - Japan; University of Tokyo; Kyoto University; Research Organization of Information &amp; Systems (ROIS)</t>
  </si>
  <si>
    <t>Nishiyama, T (corresponding author), Natl Inst Polar Res, Tachikawa, Tokyo, Japan.;Nishiyama, T (corresponding author), SOKENDAI, Tachikawa, Tokyo, Japan.</t>
  </si>
  <si>
    <t>nishiyama.takanori@nipr.ac.jp</t>
  </si>
  <si>
    <t>Nishiyama, Takanori/ABA-2671-2020; Sato, Toru/F-3818-2012; Kohma, Masashi/C-8055-2015; Tomikawa, Yoshihiro/D-5304-2012; Sato, Kaoru/E-1693-2012</t>
  </si>
  <si>
    <t>Nishiyama, Takanori/0000-0002-3648-6589; Tomikawa, Yoshihiro/0000-0002-5652-3017; Nakamura, Takuji/0000-0002-3876-2946; Sato, Kaoru/0000-0002-6225-6066</t>
  </si>
  <si>
    <t>Ministry of Education, Culture, Sports and Technology (MEXT), Japan [25247075, 24340121]; National Institute of Polar Research [KP-2, KP-301]; MEXT, Japan; NIPR; Grants-in-Aid for Scientific Research [25247075] Funding Source: KAKEN</t>
  </si>
  <si>
    <t>Ministry of Education, Culture, Sports and Technology (MEXT), Japan(Ministry of Education, Culture, Sports, Science and Technology, Japan (MEXT)); National Institute of Polar Research(National Institute of Polar Research (NIPR) - Japan); MEXT, Japan(Ministry of Education, Culture, Sports, Science and Technology, Japan (MEXT)); NIPR(National Institute of Polar Research (NIPR) - Japan); Grants-in-Aid for Scientific Research(Ministry of Education, Culture, Sports, Science and Technology, Japan (MEXT)Japan Society for the Promotion of ScienceGrants-in-Aid for Scientific Research (KAKENHI))</t>
  </si>
  <si>
    <t>This study was supported by Grants-in-Aid for Scientific Research (A) 25247075 and (B) 24340121 of the Ministry of Education, Culture, Sports and Technology (MEXT), Japan, KP-2 and KP-301 projects of National Institute of Polar Research. PANSY is a multi-institutional project with a core of the University of Tokyo and National Institute of Polar Research. The observation data are available at the project's website: pansy.eps.s.u-tokyo.ac.jp. Backscatter echo power data obtained from the MF radar at Syowa was provided by Dr. M. Tsutsumi (tutumi@nipr.ac.jp). Data set of both the PANSY radar and the MF radar in this study can be found at http://polaris.nipr.ac.jp/similar to nishiyama/JGR_Data/2017JA024717/. The provisional AE data were provided by the World Data Center for Geomagnetism, Kyoto. Information on SPE is available at the following address: ftp://ftp.swpc.noaa.gov/pub/indices/SPE.txt. Magnetic field data were provided by National Institute of Polar Research, Japan. The distribution of the magnetic field data has been partly supported by the IUGONET (Inter-university Upper atmosphere Global Observation NETwork) project (http://www.iugonet.org/) funded by the MEXT, Japan. Proton flux data from the Medium Energy Proton Electron Detector instrument on board low-altitude NOAA/Polar Orbiting Environmental Satellites are available at http://satdat.ngdc.noaa.gov/sem/poes/data/processed/swpc/uncorrected/avg/cdf/. The Fortran source code of ionospheric model for the auroral zone (IMAZ) can be found at http://spdf.gsfc.nasa.gov/pub/models/iri/iri2007/IMAZ/. T. Nishiyama appreciates the technical supports in running IMAZ from D. Bilitza and S. Watanabe. All parameters for running IMAZ, except for CNA, are available at the following address: ftp://ftp.ngdc.noaa.gov/STP/GEOMAGNETIC_DATA/INDICES/KP_AP/. The production of this paper was supported by an NIPR publication subsidy.</t>
  </si>
  <si>
    <t>AMER GEOPHYSICAL UNION</t>
  </si>
  <si>
    <t>WASHINGTON</t>
  </si>
  <si>
    <t>2000 FLORIDA AVE NW, WASHINGTON, DC 20009 USA</t>
  </si>
  <si>
    <t>2169-9380</t>
  </si>
  <si>
    <t>2169-9402</t>
  </si>
  <si>
    <t>J GEOPHYS RES-SPACE</t>
  </si>
  <si>
    <t>J. Geophys. Res-Space Phys.</t>
  </si>
  <si>
    <t>10.1029/2017JA024717</t>
  </si>
  <si>
    <t>Astronomy &amp; Astrophysics</t>
  </si>
  <si>
    <t>GO2LM</t>
  </si>
  <si>
    <t>Bronze, Green Submitted</t>
  </si>
  <si>
    <t>WOS:000439803100036</t>
  </si>
  <si>
    <t>Kim, SH; Kim, DJ; Kim, HC</t>
  </si>
  <si>
    <t>Kim, Seung Hee; Kim, Duk-jin; Kim, Hyun-Cheol</t>
  </si>
  <si>
    <t>Grounding Line of Campbell Glacier in Ross Sea Derived from High-Resolution Digital Elevation Model</t>
  </si>
  <si>
    <t>KOREAN JOURNAL OF REMOTE SENSING</t>
  </si>
  <si>
    <t>Korean</t>
  </si>
  <si>
    <t>Campbell Glacier; TanDEM-X; TerraSAR-X; CryoSat-2; interferometry; Digital elevation model; Grounding line; BEDMAP2; Ice column density</t>
  </si>
  <si>
    <t>ANTARCTIC ICE-SHEET; EAST ANTARCTICA; FLOW VELOCITY; MASS-BALANCE; SHELF; TONGUE</t>
  </si>
  <si>
    <t>Grounding line is used as evidence of the mass balance showing the vulnerability of Antarctic glaciers and ice shelves. In this research, we utilized a high resolution digital elevation model of glacier surface derived by recently launched satellites to estimate the position of grounding line of Campbell Glacier in East Antarctica. TanDEM-X and TerraSAR-X data in single-pass interferometry mode were acquired on June 21, 2013 and September 10, 2016 and CryoSat-2 radar altimeter data were acquired within 15 days from the acquisition date of TanDEM-X. The datasets were combined to generate a high resolution digital elevation model which was used to estimate the grounding line position. During the 3 years of observation, there weren't any significant changes in grounding line position. Since the average density of ice used in estimating grounding line is not accurately known, the variations of the grounding line was analyzed with respect to the density of ice. There was a spatial difference from the grounding line estimated by DDInSAR whereas the estimated grounding line using the characteristics of the surface of the optical satellite images agreed well when the ice column density was about 880 kg/m(3). Although the reliability of the results depends on the vertical accuracy of the bathymetry in this study, the hydrostatic ice thickness has greater influence on the grounding line estimation.</t>
  </si>
  <si>
    <t>[Kim, Seung Hee; Kim, Duk-jin] Seoul Natl Univ, Dept Earth &amp; Environm Sci, Seoul, South Korea; [Kim, Hyun-Cheol] Korea Polar Res Inst, Unit Arctic Sea Ice Predict, Incheon, South Korea</t>
  </si>
  <si>
    <t>Seoul National University (SNU); Korea Polar Research Institute (KOPRI)</t>
  </si>
  <si>
    <t>Kim, DJ (corresponding author), Seoul Natl Univ, Dept Earth &amp; Environm Sci, Seoul, South Korea.</t>
  </si>
  <si>
    <t>djkim@snu.ac.kr</t>
  </si>
  <si>
    <t>Kim, Hyun-Cheol/AAP-1250-2020</t>
  </si>
  <si>
    <t>Kim, Hyun-Cheol/0000-0002-6831-9291; Kim, Duk-jin/0000-0001-8147-7641</t>
  </si>
  <si>
    <t>KOREAN SOC REMOTE SENSING</t>
  </si>
  <si>
    <t>SEOUL</t>
  </si>
  <si>
    <t>KOREAN SOC REMOTE SENSING, SEOUL, 00000, SOUTH KOREA</t>
  </si>
  <si>
    <t>1225-6161</t>
  </si>
  <si>
    <t>2287-9307</t>
  </si>
  <si>
    <t>KOREAN J REMOTE SENS</t>
  </si>
  <si>
    <t>Korean J. Remote Sensing</t>
  </si>
  <si>
    <t>10.7780/kjrs.2018.34.3.9</t>
  </si>
  <si>
    <t>Remote Sensing</t>
  </si>
  <si>
    <t>GN6MR</t>
  </si>
  <si>
    <t>WOS:000439202500009</t>
  </si>
  <si>
    <t>Coleine, C; Zucconi, L; Onofri, S; Pombubpa, N; Stajich, JE; Selbmann, L</t>
  </si>
  <si>
    <t>Coleine, Claudia; Zucconi, Laura; Onofri, Silvano; Pombubpa, Nuttapon; Stajich, Jason E.; Selbmann, Laura</t>
  </si>
  <si>
    <t>Sun Exposure Shapes Functional Grouping of Fungi in Cryptoendolithic Antarctic Communities</t>
  </si>
  <si>
    <t>LIFE-BASEL</t>
  </si>
  <si>
    <t>Antarctica; endolithic communities; fungal ecology; FUNGuild; ITS metabarcoding</t>
  </si>
  <si>
    <t>MCMURDO DRY VALLEYS; MICROBIAL DIVERSITY; BLACK FUNGI; SP-NOV; SOIL; BIODIVERSITY; ADAPTATION; RUSSULALES; SURVIVAL; GRANITE</t>
  </si>
  <si>
    <t>Antarctic cryptoendolithic microbial communities dominate ice-free areas of continental Antarctica, among the harshest environments on Earth. The endolithic lifestyle is a remarkable adaptation to the exceptional environmental extremes of this area, which is considered the closest terrestrial example to conditions on Mars. Recent efforts have attempted to elucidate composition of these extremely adapted communities, but the functionality of these microbes have remained unexplored. We have tested for interactions between measured environmental characteristics, fungal community membership, and inferred functional classification of the fungi present and found altitude and sun exposure were primary factors. Sandstone rocks were collected in Victoria Land, Antarctica along an altitudinal gradient from 834 to 3100 m a.s.l.; differently sun-exposed rocks were selected to test the influence of this parameter on endolithic settlement. Metabarcoding targeting the fungal internal transcribed spacer region 1 (ITS1) was used to catalogue the species found in these communities. Functional profile of guilds found in the samples was associated to species using FUNGuild and variation in functional groups compared across sunlight exposure and altitude. Results revealed clear dominance of lichenized and stress-tolerant fungi in endolithic communities. The main variations in composition and abundance of functional groups among sites correlated to sun exposure, but not to altitude.</t>
  </si>
  <si>
    <t>[Coleine, Claudia; Zucconi, Laura; Onofri, Silvano; Selbmann, Laura] Univ Tuscia, Dept Ecol &amp; Biol Sci, I-01100 Viterbo, Italy; [Pombubpa, Nuttapon; Stajich, Jason E.] Univ Calif Riverside, Dept Microbiol &amp; Plant Pathol, Riverside, CA 92521 USA; [Selbmann, Laura] Italian Natl Antarctic Museum MNA, Mycol Sect, I-16166 Genoa, Italy</t>
  </si>
  <si>
    <t>Tuscia University; University of California System; University of California Riverside</t>
  </si>
  <si>
    <t>Selbmann, L (corresponding author), Univ Tuscia, Dept Ecol &amp; Biol Sci, I-01100 Viterbo, Italy.;Stajich, JE (corresponding author), Univ Calif Riverside, Dept Microbiol &amp; Plant Pathol, Riverside, CA 92521 USA.;Selbmann, L (corresponding author), Italian Natl Antarctic Museum MNA, Mycol Sect, I-16166 Genoa, Italy.</t>
  </si>
  <si>
    <t>coleine@unitus.it; zucconi@unitus.it; onofri@unitus.it; npomb001@ucr.edu; jason.stajich@ucr.edu; selbmann@unitus.it</t>
  </si>
  <si>
    <t>Zucconi, L./U-9781-2018; Coleine, Claudia/AAE-1889-2020; Selbmann, Laura/L-3056-2013; Stajich, Jason Eric/C-7297-2008</t>
  </si>
  <si>
    <t>Zucconi, L./0000-0001-9793-2303; Coleine, Claudia/0000-0002-9289-6179; Selbmann, Laura/0000-0002-8967-3329; Stajich, Jason Eric/0000-0002-7591-0020; Pombubpa, Nuttapon/0000-0003-3385-5331; ONOFRI, Silvano/0000-0001-8872-1440</t>
  </si>
  <si>
    <t>United States Department of Agriculture-National Institute of Food and Agriculture Hatch project [CA-R-PPA-5062-H]; Royal Thai government fellowship; NSF [DBI-1429826]; NIH [S10-OD016290]</t>
  </si>
  <si>
    <t>United States Department of Agriculture-National Institute of Food and Agriculture Hatch project; Royal Thai government fellowship; NSF(National Science Foundation (NSF)); NIH(United States Department of Health &amp; Human ServicesNational Institutes of Health (NIH) - USA)</t>
  </si>
  <si>
    <t>Sequencing was supported by funds through United States Department of Agriculture-National Institute of Food and Agriculture Hatch project CA-R-PPA-5062-H to J.E.S. N.P. was supported by a Royal Thai government fellowship. Data analyses were performed on the High-Performance Computing Cluster at the University of California-Riverside in the Institute of Integrative Genome Biology supported by NSF DBI-1429826 and NIH S10-OD016290.</t>
  </si>
  <si>
    <t>MDPI</t>
  </si>
  <si>
    <t>BASEL</t>
  </si>
  <si>
    <t>ST ALBAN-ANLAGE 66, CH-4052 BASEL, SWITZERLAND</t>
  </si>
  <si>
    <t>2075-1729</t>
  </si>
  <si>
    <t>Life-Basel</t>
  </si>
  <si>
    <t>10.3390/life8020019</t>
  </si>
  <si>
    <t>Biology; Microbiology</t>
  </si>
  <si>
    <t>Life Sciences &amp; Biomedicine - Other Topics; Microbiology</t>
  </si>
  <si>
    <t>GK6FP</t>
  </si>
  <si>
    <t>Green Submitted, Green Published, gold</t>
  </si>
  <si>
    <t>WOS:000436279100011</t>
  </si>
  <si>
    <t>Onofri, S; Selbmann, L; Pacelli, C; de Vera, JP; Horneck, G; Hallsworth, JE; Zucconi, L</t>
  </si>
  <si>
    <t>Onofri, Silvano; Selbmann, Laura; Pacelli, Claudia; de Vera, Jean Pierre; Horneck, Gerda; Hallsworth, John E.; Zucconi, Laura</t>
  </si>
  <si>
    <t>Integrity of the DNA and Cellular Ultrastructure of Cryptoendolithic Fungi in Space or Mars Conditions: A 1.5-Year Study at the International Space Station</t>
  </si>
  <si>
    <t>cryptoendolithic black fungi; DNA and cellular damage; EXPOSE-E; LIFE experiment; space exposure and Mars conditions; ionizing- and ultra-violet radiation</t>
  </si>
  <si>
    <t>SIMULATED SPACE; BLACK FUNGI; COSMIC-RADIATION; EXPOSE-E; SURVIVAL; RESISTANCE; BIOMEX; TEMPERATURE; VIABILITY; MICROBES</t>
  </si>
  <si>
    <t>The black fungi Cryomyces antarcticus and Cryomyces minteri are highly melanized and are resilient to cold, ultra-violet, ionizing radiation and other extreme conditions. These microorganisms were isolated from cryptoendolithic microbial communities in the McMurdo Dry Valleys (Antarctica) and studied in Low Earth Orbit (LEO), using the EXPOSE-E facility on the International Space Station (ISS). Previously, it was demonstrated that C. antarcticus and C. minteri survive the hostile conditions of space (vacuum, temperature fluctuations, and the full spectrum of extraterrestrial solar electromagnetic radiation), as well as Mars conditions that were simulated in space for a 1.5-year period. Here, we qualitatively and quantitatively characterize damage to DNA and cellular ultrastructure in desiccated cells of these two species, within the frame of the same experiment. The DNA and cells of C. antarcticus exhibited a higher resistance than those of C. minteri. This is presumably attributable to the thicker (melanized) cell wall of the former. Generally, DNA was readily detected (by PCR) regardless of exposure conditions or fungal species, but the C. minteri DNA had been more-extensively mutated. We discuss the implications for using DNA, when properly shielded, as a biosignature of recently extinct or extant life.</t>
  </si>
  <si>
    <t>[Onofri, Silvano; Selbmann, Laura; Pacelli, Claudia; Zucconi, Laura] Univ Tuscia, Dept Ecol &amp; Biol Sci, I-01100 Viterbo, Italy; [Selbmann, Laura] Italian Natl Antarctic Museum MNA, Mycol Sect, I-16166 Genoa, Italy; [de Vera, Jean Pierre] German Aerosp Ctr DLR Berlin, Inst Planetary Res, Rutherfordst 2, D-12489 Berlin, Germany; [Horneck, Gerda] German Aerosp Ctr, Inst Aerosp Med, D-51170 Cologne, Germany; [Hallsworth, John E.] Queens Univ Belfast, Sch Biol Sci, Inst Global Food Secur, MBC, Belfast BT9 7BL, Antrim, North Ireland</t>
  </si>
  <si>
    <t>Tuscia University; Helmholtz Association; German Aerospace Centre (DLR); Helmholtz Association; German Aerospace Centre (DLR); Queens University Belfast</t>
  </si>
  <si>
    <t>Selbmann, L (corresponding author), Univ Tuscia, Dept Ecol &amp; Biol Sci, I-01100 Viterbo, Italy.;Selbmann, L (corresponding author), Italian Natl Antarctic Museum MNA, Mycol Sect, I-16166 Genoa, Italy.</t>
  </si>
  <si>
    <t>onofri@unitus.it; selbmann@unitus.it; pacelli@unitus.it; jean-pierre.devera@dlr.de; Gerda.Horneck@dlr.de; j.hallsworth@qub.ac.uk; zucconi@unitus.it</t>
  </si>
  <si>
    <t>Zucconi, L./U-9781-2018; Selbmann, Laura/L-3056-2013; Pacelli, Claudia/AAI-2677-2020; Hallsworth, John E./K-7876-2013</t>
  </si>
  <si>
    <t>Zucconi, L./0000-0001-9793-2303; Selbmann, Laura/0000-0002-8967-3329; Pacelli, Claudia/0000-0001-5113-4293; ONOFRI, Silvano/0000-0001-8872-1440; Hallsworth, John E./0000-0001-6797-9362</t>
  </si>
  <si>
    <t>ESA [AO-2004-150]; ASI BIOMEX MCF [2013-063-R.0]; E-GEM [2013-067-R.0]; BIOSIGN [2018-6-U.0]</t>
  </si>
  <si>
    <t>ESA(European Space Agency); ASI BIOMEX MCF; E-GEM; BIOSIGN</t>
  </si>
  <si>
    <t>ESA AO-2004-150 and ASI BIOMEX MCF (grant n. 2013-063-R.0) and E-GEM (grant n. 2013-067-R.0) and BIOSIGN (grant n. 2018-6-U.0).</t>
  </si>
  <si>
    <t>10.3390/life8020023</t>
  </si>
  <si>
    <t>Green Accepted, Green Published, Green Submitted, gold</t>
  </si>
  <si>
    <t>WOS:000436279100015</t>
  </si>
  <si>
    <t>Turchetti, B; Selbmann, L; Gunde-Cimerman, N; Buzzini, P; Sampaio, JP; Zalar, P</t>
  </si>
  <si>
    <t>Turchetti, Benedetta; Selbmann, Laura; Gunde-Cimerman, Nina; Buzzini, Pietro; Sampaio, Jose Paulo; Zalar, Polona</t>
  </si>
  <si>
    <t>Cystobasidium alpinum sp nov and Rhodosporidiobolus oreadorum sp nov from European Cold Environments and Arctic Region</t>
  </si>
  <si>
    <t>Cystobasidium alpinum sp nov.; Rhodosporidiobolus oreadorum sp nov.; psychrophilic yeasts; Arctic; Alps; cold-adapted biodiversity</t>
  </si>
  <si>
    <t>YEASTS; CLASSIFICATION; PHYLOGENIES; ADAPTATION; DIVERSITY; GLACIERS; HABITAT; FUNGI</t>
  </si>
  <si>
    <t>Over 80% of the Earth's environments are permanently or periodically exposed to temperatures below 5 degrees C. Cold habitats harbour a wide diversity of psychrophilic and psychrotolerant yeasts. During ecological studies of yeast communities carried out in cold ecosystem in the Italian Alps, Svalbard (Norway, Arctic region), and Portugal, 23 yeast strains that could not be assigned to any known fungal taxa were isolated. In particular, two of them were first identified as Rhodotorula sp., showing the highest degree of D1/D2 sequence identity with Cystobasidum laryngis accounted to only 97% with the type strain (C. laryngis CBS 2221). The other 21 strains, exhibiting identical D1/D2 sequences, had low identity (97%) with Rhodosporidiobolus lusitaniae and Rhodosporidiobolus colostri. Similarly, ITS sequences of the type strains of the most closely related species (93-94%). In a 2-genes multilocus D1/D2 and ITS ML phylogenetic tree, the studied strains pooled in two well separated and supported groups. In order to classify the new 23 isolates based on phylogenetic evidences, we propose the description of two novel species Cystobasidium alpinum sp. nov. and Rhodosporidiobolus oreadorum sp. nov.</t>
  </si>
  <si>
    <t>[Turchetti, Benedetta; Buzzini, Pietro] Univ Perugia, Dept Agr Food &amp; Environm Sci, I-06121 Perugia, Italy; [Turchetti, Benedetta; Buzzini, Pietro] Univ Perugia, Ind Yeasts Collect DBVPG, I-06121 Perugia, Italy; [Selbmann, Laura] Univ Tuscia, Dept Ecol &amp; Biol Sci, I-01100 Viterbo, Italy; [Selbmann, Laura] Italian Natl Antarctic Museum, Sect Mycol, I-16128 Genoa, Italy; [Gunde-Cimerman, Nina; Zalar, Polona] Univ Ljubljana, Biotech Fac, Dept Biol, Vecna Pot 111, SI-1000 Ljubljana, Slovenia; [Sampaio, Jose Paulo] Univ Nova Lisboa, Fac Ciencias &amp; Tecnol, Dept Ciencias Vida, UCIBIO REQUIMTE, P-2829516 Caparica, Portugal</t>
  </si>
  <si>
    <t>University of Perugia; University of Perugia; Tuscia University; University of Ljubljana; Universidade Nova de Lisboa</t>
  </si>
  <si>
    <t>Turchetti, B (corresponding author), Univ Perugia, Dept Agr Food &amp; Environm Sci, I-06121 Perugia, Italy.;Turchetti, B (corresponding author), Univ Perugia, Ind Yeasts Collect DBVPG, I-06121 Perugia, Italy.</t>
  </si>
  <si>
    <t>benedetta.turchetti@unipg.it; selbmann@unitus.it; nina.gunde-cimerman@bf.uni-lj.si; pietro.buzzini@unipg.it; jss@fct.unl.pt; polona.zalar@bf.uni-lj.si</t>
  </si>
  <si>
    <t>Selbmann, Laura/L-3056-2013; Sampaio, José/KCY-2480-2024; Sampaio, Jose Paulo/C-5532-2011; Turchetti, Benedetta/AAC-8847-2019; Polona, Zalar/IUM-9916-2023</t>
  </si>
  <si>
    <t>Selbmann, Laura/0000-0002-8967-3329; Sampaio, Jose Paulo/0000-0001-8145-5274; Buzzini, Pietro/0000-0001-6793-0606; turchetti, benedetta/0000-0002-7370-3028; Gunde-Cimerman, Nina/0000-0002-9464-3263</t>
  </si>
  <si>
    <t>MIUR-PRIN [2008AR8MX9]; Fundacao para a Ciencia e a Tecnologia (Portugal) [UID/Multi/04378/2013]; EU Large Scale Facility Fund [ARCFAC-026129-2008-10]; Italian Antarctic National Museum (MNA) Felice Ippolito; Slovenian Research Agency</t>
  </si>
  <si>
    <t>MIUR-PRIN(Ministry of Education, Universities and Research (MIUR)Research Projects of National Relevance (PRIN)); Fundacao para a Ciencia e a Tecnologia (Portugal)(Fundacao para a Ciencia e a Tecnologia (FCT)); EU Large Scale Facility Fund; Italian Antarctic National Museum (MNA) Felice Ippolito; Slovenian Research Agency(Slovenian Research Agency - Slovenia)</t>
  </si>
  <si>
    <t>MIUR-PRIN 2008 (prot. 2008AR8MX9) and Fundacao para a Ciencia e a Tecnologia (Portugal) (grant UID/Multi/04378/2013) are gratefully acknowledged for financial support. The work in Kongsfjorden was funded by EU Large Scale Facility Fund (grantARCFAC-026129-2008-10). L.S. thanks the Italian Antarctic National Museum (MNA) Felice Ippolito for supporting the Mycological Section and the Culture Collection of Fungi from Extreme Environments (CCFEE). N.G.-C. thanks the Slovenian Research Agency for supporting the infrastructural center Mycosmo and the Culture Collection of Extremophilic Fungi (EXF).</t>
  </si>
  <si>
    <t>10.3390/life8020009</t>
  </si>
  <si>
    <t>Green Published, Green Submitted, gold</t>
  </si>
  <si>
    <t>WOS:000436279100001</t>
  </si>
  <si>
    <t>Smith, HJ; Tigges, M; D'Andrilli, J; Parker, A; Bothner, B; Foreman, CM</t>
  </si>
  <si>
    <t>Smith, H. J.; Tigges, M.; D'Andrilli, J.; Parker, A.; Bothner, B.; Foreman, C. M.</t>
  </si>
  <si>
    <t>Dynamic processing of DOM: Insight from exometabolomics, fluorescence spectroscopy, and mass spectrometry</t>
  </si>
  <si>
    <t>LIMNOLOGY AND OCEANOGRAPHY LETTERS</t>
  </si>
  <si>
    <t>DISSOLVED ORGANIC-MATTER; CARBON; MARINE; GLACIERS; EXTRACTION; CONTINUUM; KINETICS; ANCIENT; STORAGE</t>
  </si>
  <si>
    <t>Dissolved organic matter (DOM) in freshwater environments is an important source of organic carbon, supporting bacterial respiration. Frozen environments cover vast expanses of our planet, with glaciers and ice-sheets storing upwards of 6 petagrams of organic carbon. It is generally believed that DOM liberated from ice stimulates downstream environments. If true, glacial DOM is an important component of global carbon cycling. However, coupling the release of DOM to microbial activity is challenging due to the molecular complexity of DOM and the metabolic connectivity within microbial communities. Using a single environmentally relevant organism, we demonstrate that processing of compositionally diverse DOM occurs, but, even though glacially derived DOM is chemically labile, it is unable to support sustained respiration. In view of projected changes in glacier DOM export, these findings imply that biogeochemical impacts on downstream environments will depend on the reactivity and heterogeneity of liberated DOM, as well as the timescale.</t>
  </si>
  <si>
    <t>[Smith, H. J.; Parker, A.; Foreman, C. M.] Montana State Univ, Ctr Biofilm Engn, Bozeman, MT 59717 USA; [Tigges, M.; Bothner, B.] Montana State Univ, Dept Chem &amp; Biochem, Bozeman, MT 59717 USA; [D'Andrilli, J.] Montana State Univ, Land Resources &amp; Environm Sci, Bozeman, MT 59717 USA; [Parker, A.] Montana State Univ, Math Sci, Bozeman, MT 59717 USA; [Foreman, C. M.] Montana State Univ, Chem &amp; Biol Engn, Bozeman, MT 59717 USA; [Tigges, M.] Minnesota State Univ Moorhead, Dept Chem, Moorhead, MN USA</t>
  </si>
  <si>
    <t>Montana State University System; Montana State University Bozeman; Montana State University System; Montana State University Bozeman; Montana State University System; Montana State University Bozeman; Montana State University System; Montana State University Bozeman; Montana State University System; Montana State University Bozeman; Minnesota State Colleges &amp; Universities; Minnesota State University Moorhead</t>
  </si>
  <si>
    <t>Foreman, CM (corresponding author), Montana State Univ, Ctr Biofilm Engn, Bozeman, MT 59717 USA.;Foreman, CM (corresponding author), Montana State Univ, Chem &amp; Biol Engn, Bozeman, MT 59717 USA.</t>
  </si>
  <si>
    <t>cforeman@montana.edu</t>
  </si>
  <si>
    <t>Foreman, Christine/0000-0003-0230-4692</t>
  </si>
  <si>
    <t>Murdock Charitable Trust; NIGMS of the IDEA program [NIH P20GM103474]; National Science Foundation [MCB 1413321]; National Science Foundation Division of Antarctic Sciences [ANT-0838970, ANT-1141978]; NSF Division of Graduate Education [DGE-0654336]; NSF Division of Materials Research [DMR 11-57490]; State of Florida; NASA Earth and Science Space Fellowship</t>
  </si>
  <si>
    <t>Murdock Charitable Trust; NIGMS of the IDEA program; National Science Foundation(National Science Foundation (NSF)); National Science Foundation Division of Antarctic Sciences; NSF Division of Graduate Education(National Science Foundation (NSF)NSF - Directorate for STEM Education (EDU)); NSF Division of Materials Research(National Science Foundation (NSF)); State of Florida; NASA Earth and Science Space Fellowship</t>
  </si>
  <si>
    <t>We thank Jonathan Hilmer and Daniel Willems, and the Montana State University Proteomics, Metabolomics, and Mass Spectrometry facility which supported in part by funding from the Murdock Charitable Trust and NIGMS NIH P20GM103474 of the IDEA program. Funding from the National Science Foundation (MCB 1413321) helped to develop methods used for metabolite analysis. We acknowledge and thank the CG and PL field teams, in particular Diane McKnight and Y-P. Chin. We thank Peg Dirckx for graphics assistance, and David Podgorski, Brian Ruddy, and the Ion Cyclotron Resonance Facility staff members at the National High Magnetic Field Laboratory. This work was supported by the National Science Foundation Division of Antarctic Sciences through ANT-0838970 and -1141978, by the NSF Division of Graduate Education through DGE-0654336 to CMF, by the NSF Division of Materials Research through DMR 11-57490, the State of Florida, and a NASA Earth and Science Space Fellowship to HJS. Any opinions, findings, or conclusions expressed in this material are those of the authors and do not necessarily reflect the views of the National Science Foundation.</t>
  </si>
  <si>
    <t>2378-2242</t>
  </si>
  <si>
    <t>LIMNOL OCEANOGR LETT</t>
  </si>
  <si>
    <t>Limnol. Oceanogr. Lett.</t>
  </si>
  <si>
    <t>10.1002/lol2.10082</t>
  </si>
  <si>
    <t>Limnology; Marine &amp; Freshwater Biology; Oceanography</t>
  </si>
  <si>
    <t>Marine &amp; Freshwater Biology; Oceanography</t>
  </si>
  <si>
    <t>HI8HI</t>
  </si>
  <si>
    <t>Green Accepted, gold, Green Published</t>
  </si>
  <si>
    <t>WOS:000456696200017</t>
  </si>
  <si>
    <t>Augé, AA; Dias, MP; Lascelles, B; Baylis, AMM; Black, A; Boersma, PD; Catry, P; Crofts, S; Galimberti, F; Granadeiro, JP; Hedd, A; Ludynia, K; Masello, JF; Montevecchi, W; Phillips, RA; Pütz, K; Quillfeldt, P; Rebstock, GA; Sanvito, S; Staniland, IJ; Stanworth, A; Thompson, D; Tierney, M; Trathan, PN; Croxall, JP</t>
  </si>
  <si>
    <t>Auge, Amelie A.; Dias, Maria P.; Lascelles, Ben; Baylis, Alastair M. M.; Black, Andy; Boersma, P. Dee; Catry, Paulo; Crofts, Sarah; Galimberti, Filippo; Granadeiro, Jose Pedro; Hedd, April; Ludynia, Katrin; Masello, Juan F.; Montevecchi, William; Phillips, Richard A.; Puetz, Klemens; Quillfeldt, Petra; Rebstock, Ginger A.; Sanvito, Simona; Staniland, Iain J.; Stanworth, Andrew; Thompson, Dave; Tierney, Megan; Trathan, Philip N.; Croxall, John P.</t>
  </si>
  <si>
    <t>Framework for mapping key areas for marine megafauna to inform Marine Spatial Planning: The Falkland Islands case study</t>
  </si>
  <si>
    <t>MARINE POLICY</t>
  </si>
  <si>
    <t>Marine conservation; MSP; Patagonian; Shelf; Seabirds; Seals; South Atlantic; Tracking data</t>
  </si>
  <si>
    <t>PENGUINS SPHENISCUS-MAGELLANICUS; ECOSYSTEM-BASED MANAGEMENT; SOUTHERN ELEPHANT SEALS; AMERICAN FUR SEALS; PROTECTED AREAS; EUDYPTES-CHRYSOCOME; ROCKHOPPER PENGUINS; SATELLITE TRACKING; FORAGING BEHAVIOR; BREEDING BIOLOGY</t>
  </si>
  <si>
    <t>Marine Spatial Planning (MSP) is becoming a key management approach throughout the world. The process includes the mapping of how humans and wildlife use the marine environment to inform the development of management measures. An integrated multi-species approach to identifying key areas is important for MSP because it allows managers a global representation of an area, enabling them to see where management can have the most impact for biodiversity protection. However, multi-species analysis remains challenging. This paper presents a methodological framework for mapping key areas for marine megafauna (seabirds, pinnipeds, cetaceans) by incorporating different data types across multiple species. The framework includes analyses of tracking data and observation survey data, applying analytical steps according to the type of data available during each year quarter for each species. It produces core-use area layers at the species level, then combines these layers to create megafauna core-use area layers. The framework was applied in the Falkland Islands. The study gathered over 750,000 tracking and at-sea observation locations covering an equivalent of 5495 data days between 1998 and 2015 for 36 species. The framework provides a step-by-step implementation protocol, replicable across geographic scales and transferable to multiple taxa. R scripts are provided. Common repositories, such as the Birdlife International Tracking Database, are invaluable tools, providing a secure platform for storing and accessing spatial data to apply the methodological framework. This provides managers with data necessary to enhance MSP efforts and marine conservation worldwide.</t>
  </si>
  <si>
    <t>[Auge, Amelie A.; Baylis, Alastair M. M.; Black, Andy; Tierney, Megan] South Atlantic Environm Res Inst, Stanley, Falkland Island; [Dias, Maria P.; Lascelles, Ben; Croxall, John P.] BirdLife Int, David Attenborough Bldg,Pembroke St, Cambridge CB2 3QZ, England; [Boersma, P. Dee; Rebstock, Ginger A.] Univ Washington, Dept Biol, Seattle, WA 98195 USA; [Catry, Paulo] ISPA Inst Univ, MARE Marine &amp; Environm Sci Ctr, Lisbon, Portugal; [Crofts, Sarah; Stanworth, Andrew] Falklands Conservat, Stanley, Falkland Island; [Galimberti, Filippo; Sanvito, Simona] Elephant Seal Res Grp, Sea Lion Isl, Falkland Island; [Granadeiro, Jose Pedro] Univ Lisbon, Fac Ciencias, Dept Biol Anim, CESAM, Lisbon, Portugal; [Hedd, April; Montevecchi, William] Mem Univ, Psychol Dept, St John, NF, Canada; [Ludynia, Katrin] Univ Cape Town, Dept Biol Sci, Rondebosch, South Africa; [Ludynia, Katrin; Masello, Juan F.] Max Planck Inst Ornithol, Vogelwarte Radolfszell, Radolfszell, Germany; [Phillips, Richard A.; Staniland, Iain J.; Trathan, Philip N.] NERC, British Antarctic Survey, Madingley Rd, Cambridge CB3 0ET, England; [Puetz, Klemens] Antarctic Res Trust, Oste Hamme Kanal 10, D-27432 Bremervorde, Germany; [Quillfeldt, Petra] Justus Liebig Univ, Dept Anim Ecol &amp; Systemat, Giessen, Germany; [Thompson, Dave] Univ St Andrews, Scottish Oceans Inst, St Andrews, Fife, Scotland; [Auge, Amelie A.] Dept Conservat, Whangarei, New Zealand; [Hedd, April] Environm &amp; Climate Change Canada, Wildlife Res Div, Mt Pearl, NF, Canada; [Ludynia, Katrin] SANCCOB, Cape Town, South Africa; [Masello, Juan F.] Justus Liebig Univ Giessen, Dept Anim Ecol &amp; Systemat, Giessen, Germany</t>
  </si>
  <si>
    <t>BirdLife International; University of Washington; University of Washington Seattle; Instituto Superior Psicologia Aplicada (ISPA); Universidade de Lisboa; Memorial University Newfoundland; University of Cape Town; Max Planck Society; UK Research &amp; Innovation (UKRI); Natural Environment Research Council (NERC); NERC British Antarctic Survey; Justus Liebig University Giessen; University of St Andrews; Environment &amp; Climate Change Canada; Canadian Wildlife Service; Wildlife Research Division - Environment Canada; Justus Liebig University Giessen</t>
  </si>
  <si>
    <t>Augé, AA (corresponding author), South Atlantic Environm Res Inst, Stanley, Falkland Island.;Augé, AA (corresponding author), Dept Conservat, Whangarei, New Zealand.</t>
  </si>
  <si>
    <t>amelie.auge@gmail.com</t>
  </si>
  <si>
    <t>Staniland, Iain/I-4725-2012; Dias, Maria P./D-1331-2012; Baylis, Alastair/H-9471-2019; Granadeiro, José Pedro/E-8060-2011; Catry, Paulo/I-5408-2013; Masello, Juan Francisco/C-7133-2009</t>
  </si>
  <si>
    <t>Staniland, Iain/0000-0003-2736-9134; Dias, Maria P./0000-0002-7281-4391; Baylis, Alastair/0000-0002-5167-0472; Granadeiro, José Pedro/0000-0002-7207-3474; Catry, Paulo/0000-0003-3000-0522; Puetz, Klemens/0000-0003-1375-2669; Masello, Juan Francisco/0000-0002-6826-4016; Ludynia, Katrin/0000-0002-0353-1929; Thompson, David/0000-0003-1546-2876; Hedd, April/0000-0003-2222-2627</t>
  </si>
  <si>
    <t>Department for Environment, Food and Rural Affairs UK as part of the Darwin Plus project (Marine Spatial Planning for the Falkland Islands) [DPLUS027]; German Research Foundation [DFG SPP 1158, MA2574/6-1]; FCT - Portugal [UID/AMB/ 50017/2013]; FEDER funds; Falkland Islands Government; NERC [bas0100035] Funding Source: UKRI</t>
  </si>
  <si>
    <t>Department for Environment, Food and Rural Affairs UK as part of the Darwin Plus project (Marine Spatial Planning for the Falkland Islands); German Research Foundation(German Research Foundation (DFG)); FCT - Portugal(Fundacao para a Ciencia e a Tecnologia (FCT)); FEDER funds(European Union (EU)); Falkland Islands Government; NERC(UK Research &amp; Innovation (UKRI)Natural Environment Research Council (NERC))</t>
  </si>
  <si>
    <t>This study was funded by the Department for Environment, Food and Rural Affairs UK as part of the Darwin Plus project DPLUS027 (Marine Spatial Planning for the Falkland Islands). We thank many people for their contributions to this paper, for attending the workshop in Cambridge, UK (report of the workshop where this paper originated can be found at http://www.south-atlantic-research.org/media/files/MSP_Falkands_Framing-Workshop-report_5-7_April_2016_FINAL.pdf), or for providing data, in particular Nick Rendell (Environmental Planning Department, Falkland Islands Government), Norman Ratcliffe (British Antarctic Survey), and Mary-Anne Lea (University of Tasmania). We also acknowledge many others for their general contributions and dedication to the conservation efforts in the study area, in particular Claudio Campagna and Valeria Falabella (Wildlife Conservation Society) and Ian Strange (New Island Conservation Trust). We also give recognition to all the field workers who were involved in gathering the data we used in this study; highest credit to you all. Acknowledgment also goes to iLaria Marengo (SAERI) for implementing the webGIS interface. The MSP project steering committee provided advice and directions with the wider MSP initiation context throughout the project, thanks to Paul Brickle (SAERI) for initially securing funding for the MSP project. The Falkland Islands Government provided support towards the acquisition of many datasets and assistance during this study. JFM received financial support during this study from the German Research Foundation (DFG SPP 1158, MA2574/6-1). JPG received financial support during this study from FCT - Portugal through the strategic project UID/AMB/ 50017/2013 and from FEDER funds granted to CESAM, within the PT2020 Partnership Agreement and Compete 2020. Two anonymous reviewers, the editor and Veronica Frans provided helpful reviews and suggestions to improve the manuscript.</t>
  </si>
  <si>
    <t>0308-597X</t>
  </si>
  <si>
    <t>1872-9460</t>
  </si>
  <si>
    <t>MAR POLICY</t>
  </si>
  <si>
    <t>Mar. Pol.</t>
  </si>
  <si>
    <t>10.1016/j.marpol.2018.02.017</t>
  </si>
  <si>
    <t>Environmental Studies; International Relations</t>
  </si>
  <si>
    <t>Social Science Citation Index (SSCI)</t>
  </si>
  <si>
    <t>Environmental Sciences &amp; Ecology; International Relations</t>
  </si>
  <si>
    <t>GD8LY</t>
  </si>
  <si>
    <t>WOS:000430765100008</t>
  </si>
  <si>
    <t>Kraus, C; Carter, L</t>
  </si>
  <si>
    <t>Kraus, Christoph; Carter, Lionel</t>
  </si>
  <si>
    <t>Seabed recovery following protective burial of subsea cables - Observations from the continental margin</t>
  </si>
  <si>
    <t>OCEAN ENGINEERING</t>
  </si>
  <si>
    <t>Submarine cable burial; Seabed recovery; Continental shelf; Continental slope</t>
  </si>
  <si>
    <t>SHELF SEDIMENTS; INSTALLATION; FLOOR; AREA; TIDE</t>
  </si>
  <si>
    <t>Subsea communication and power cables are critical infrastructure whose protection is paramount, especially on the continental shelf where fishing and ships' anchors cause 70% of cable faults. Protection is often afforded by cable burial and this paper deals mainly with physical seabed recovery from that process. Varied sedimentary environments and different modes of cable burial mean that recovery is site-specific. Repeated seabed surveys show restoration is fastest where cables are buried by ploughing in zones of high sediment supply and energetic waves/currents such as on the inner to middle continental shelf (similar to 0-80 m water depth - WD). There, recovery can take weeks to 1-2yr. As sediment supply and wave/current activity reduce offshore, recovery from ploughing on the outer shelf (similar to 80-130 m WD) is typically longer than in shallower depths. Recovery from water-jetted trenching, which can be more disturbing than ploughing, can take &gt;= 5yr. On the upper continental slope (130-2000m WD), trenches infill after similar to 8yr where sediment supply is high, but &gt;= 15yr where supply is low. Surveys also suggest that benthic communities recover at rates similar to physical restoration. With few exceptions, the physical presence of a cable and the disturbance caused by its burial have little effect on the benthos studied.</t>
  </si>
  <si>
    <t>[Kraus, Christoph; Carter, Lionel] Victoria Univ Wellington, Antarctic Res Ctr, POB 600, Wellington 6035, New Zealand</t>
  </si>
  <si>
    <t>Victoria University Wellington</t>
  </si>
  <si>
    <t>Carter, L (corresponding author), Victoria Univ Wellington, Antarctic Res Ctr, POB 600, Wellington 6035, New Zealand.</t>
  </si>
  <si>
    <t>lionel.carter@vuw.ac.nz</t>
  </si>
  <si>
    <t>Kraus, Christoph/0000-0002-0680-8532</t>
  </si>
  <si>
    <t>ICPC; European Submarine Cable Association</t>
  </si>
  <si>
    <t>This research would not have been possible without the help from members of the non-profit International Cable Protection Committee (ICPC) who provided expertise and time-series data regarding the physical changes in the seabed following cable burial. The input of Dean Veverka and Alasdair Wilkie is especially appreciated. The ICPC and the European Submarine Cable Association also provided financial support for the first author, Christoph Kraus. We also thank the four journal reviewers, particularly Reviewer 2, for their positive reviews and commentaries.</t>
  </si>
  <si>
    <t>0029-8018</t>
  </si>
  <si>
    <t>OCEAN ENG</t>
  </si>
  <si>
    <t>Ocean Eng.</t>
  </si>
  <si>
    <t>10.1016/j.oceaneng.2018.03.037</t>
  </si>
  <si>
    <t>Engineering, Marine; Engineering, Civil; Engineering, Ocean; Oceanography</t>
  </si>
  <si>
    <t>Engineering; Oceanography</t>
  </si>
  <si>
    <t>GG2GE</t>
  </si>
  <si>
    <t>WOS:000432507400021</t>
  </si>
  <si>
    <t>Meyer, A; Pavlov, AK; Rösel, A; Negrel, J; Itkin, P; Cohen, L; King, J; Gerland, S; Hudson, SR; de Steur, L; Dodd, PA; Crews, L; Bratrein, M; Granskog, MA; Cobbing, N</t>
  </si>
  <si>
    <t>Meyer, Amelie; Pavlov, Alexey K.; Rosel, Anja; Negrel, Jean; Itkin, Polona; Cohen, Lana; King, Jennifer; Gerland, Sebastian; Hudson, Stephen R.; de Steur, Laura; Dodd, Paul A.; Crews, Laura; Bratrein, Marius; Granskog, Mats A.; Cobbing, Nick</t>
  </si>
  <si>
    <t>Science Outreach Using Social Media OCEANOGRAPHY FROM THE LAB TO THE PUBLIC</t>
  </si>
  <si>
    <t>OCEANOGRAPHY</t>
  </si>
  <si>
    <t>[Meyer, Amelie; Pavlov, Alexey K.; Rosel, Anja; Negrel, Jean; Itkin, Polona; Cohen, Lana; King, Jennifer; Gerland, Sebastian; Hudson, Stephen R.; de Steur, Laura; Dodd, Paul A.; Crews, Laura; Granskog, Mats A.] Norwegian Polar Res Inst, Tromso, Norway; [Pavlov, Alexey K.] Polish Acad Sci, Inst Oceanol, Sopot, Poland; [Pavlov, Alexey K.] Akvaplan Niva AS, Tromso, Norway; [Bratrein, Marius] Norwegian Polar Res Inst, Operat &amp; Logist, Tromso, Norway; [Cobbing, Nick] Natl Geog, Washington, DC USA</t>
  </si>
  <si>
    <t>Norwegian Polar Institute; Polish Academy of Sciences; Institute of Oceanology of the Polish Academy of Sciences; Akvaplan-niva; Norwegian Polar Institute; National Geographic Society</t>
  </si>
  <si>
    <t>Meyer, A (corresponding author), Univ Tasmania, ARC Ctr Excellence Climate Extremes, Hobart, Tas, Australia.;Meyer, A (corresponding author), Univ Tasmania, Inst Marine &amp; Antarctic Studies, Hobart, Tas, Australia.</t>
  </si>
  <si>
    <t>amelie.meyer@utas.edu.au</t>
  </si>
  <si>
    <t>Hudson, Stephen/ABD-9923-2020; Crews, Laura/AAX-9210-2020; de Steur, Laura/B-4882-2016</t>
  </si>
  <si>
    <t>Hudson, Stephen/0000-0002-6498-9167; Crews, Laura/0000-0003-3668-6967; Meyer, Amelie/0000-0003-0447-795X; Granskog, Mats/0000-0002-5035-4347; de Steur, Laura/0000-0002-6043-7920; Pavlov, Alexey/0000-0002-1978-5368; King, Jennifer/0000-0001-9421-4314</t>
  </si>
  <si>
    <t>Communications Department at the Norwegian Polar Institute; Centre for Ice, Climate and Ecosystems at NPI; NFR [222681]; Polish-Norwegian Research Programme, National Centre for Research and Development under the Norwegian Financial Mechanism [Pol-Nor/197511/40/2013]; CDOM-HEAT; Research Council of Norway through the STASIS project [221961/F20]; European Union 7th Framework Programme [603887]; Research Council of Norway [237906]; Ministry of Foreign Affairs; Ministry of Climate and Environment, Norway; Fram Centre 'Arctic Ocean' modeling project [16530]; Fram Centre TRIMODAL project</t>
  </si>
  <si>
    <t>Communications Department at the Norwegian Polar Institute; Centre for Ice, Climate and Ecosystems at NPI; NFR(Research Council of Norway); Polish-Norwegian Research Programme, National Centre for Research and Development under the Norwegian Financial Mechanism; CDOM-HEAT; Research Council of Norway through the STASIS project(Research Council of Norway); European Union 7th Framework Programme(European Union (EU)); Research Council of Norway(Research Council of Norway); Ministry of Foreign Affairs(Ministry of Foreign Affairs and International Cooperation (Italy)); Ministry of Climate and Environment, Norway; Fram Centre 'Arctic Ocean' modeling project; Fram Centre TRIMODAL project</t>
  </si>
  <si>
    <t>We thank the Communications Department at the Norwegian Polar Institute for support and encouragement. We thank the many photographers who have contributed photos. We also thank the anonymous reviewers and the editor for their help and insight. This research was performed by the Oceans and Sea Ice team at the Norwegian Polar Institute: AM and MAG were supported by the Centre for Ice, Climate and Ecosystems at NPI. JK was supported by the NFR funded CORESAT project (222681). AKP, SRH, and MAG were supported by the Polish-Norwegian Research Programme operated by the National Centre for Research and Development under the Norwegian Financial Mechanism 2009-2014 in the frame of Project Contract Pol-Nor/197511/40/2013, CDOM-HEAT, the Research Council of Norway through the STASIS project (221961/F20) and ICE-ARC project (603887) from the European Union 7th Framework Programme. JN was supported by the Research Council of Norway (CIRFA grant 237906). PI, AR, and LCo were supported through the project ID Arctic in the Program Arktis 2030 funded by the Ministry of Foreign Affairs and Ministry of Climate and Environment, Norway. LCr was supported by the Fram Centre 'Arctic Ocean' modeling project (16530). The initiative was also supported by the Fram Centre TRIMODAL project.</t>
  </si>
  <si>
    <t>OCEANOGRAPHY SOC</t>
  </si>
  <si>
    <t>ROCKVILLE</t>
  </si>
  <si>
    <t>P.O. BOX 1931, ROCKVILLE, MD USA</t>
  </si>
  <si>
    <t>1042-8275</t>
  </si>
  <si>
    <t>10.5670/oceanog.2018.212</t>
  </si>
  <si>
    <t>HD8QV</t>
  </si>
  <si>
    <t>Green Published, gold</t>
  </si>
  <si>
    <t>WOS:000452824700003</t>
  </si>
  <si>
    <t>Hobday, AJ; Oliver, ECJ; Sen Gupta, A; Benthuysen, JA; Burrows, MT; Donat, MG; Holbrook, NJ; Moore, PJ; Thomsen, MS; Wernberg, T; Smale, DA</t>
  </si>
  <si>
    <t>Hobday, Alistair J.; Oliver, Eric C. J.; Sen Gupta, Alex; Benthuysen, Jessica A.; Burrows, Michael T.; Donat, Markus G.; Holbrook, Neil J.; Moore, Pippa J.; Thomsen, Mads S.; Wernberg, Thomas; Smale, Dan A.</t>
  </si>
  <si>
    <t>Categorizing and Naming MARINE HEATWAVES</t>
  </si>
  <si>
    <t>2003 EUROPEAN HEATWAVE; MASS MORTALITY EVENT; BENTHIC COMMUNITY; SUMMER; WATER; SEA; CONSEQUENCES; ECOSYSTEM; IMPACTS</t>
  </si>
  <si>
    <t>Considerable attention has been directed at understanding the consequences and impacts of long-term anthropogenic climate change. Discrete, climatically extreme events such as cyclones, floods, and heatwaves can also significantly affect regional environments and species, including humans. Climate change is expected to intensify these events and thus exacerbate their effects. Climatic extremes also occur in the ocean, and recent decades have seen many high-impact marine heatwaves (MHWs)-anomalously warm water events that may last many months and extend over thousands of square kilometers. A range of biological, economic, and political impacts have been associated with the more intense MHWs, and measuring the severity of these phenomena is becoming more important. Progress in understanding and public awareness will be facilitated by consistent description of these events. Here, we propose a detailed categorization scheme for MHWs that builds on a recently published classification, combining elements from schemes that describe atmospheric heatwaves and hurricanes. Category I, II, III, and IV MHWs are defined based on the degree to which temperatures exceed the local climatology and illustrated for 10 MHWs. While there is a long-term increase in the occurrence frequency of all MHW categories, the largest trend is a 24% increase in the area of the ocean where strong (Category II) MHWs occur. Use of this scheme can help explain why biological impacts associated with different MHWs can vary widely and provides a consistent way to compare events. We also propose a simple naming convention based on geography and year that would further enhance scientific and public awareness of these marine events.</t>
  </si>
  <si>
    <t>[Hobday, Alistair J.] CSIRO Oceans &amp; Atmosphere, Hobart, Tas, Australia; [Oliver, Eric C. J.] Dalhousie Univ, Dept Oceanog, Halifax, NS, Canada; [Oliver, Eric C. J.] Univ Tasmania, ARC Ctr Excellence Climate Syst Sci, Hobart, Tas, Australia; [Sen Gupta, Alex; Donat, Markus G.] Univ New South Wales, Climate Change Res Ctr, Sydney, NSW, Australia; [Sen Gupta, Alex; Donat, Markus G.] Univ New South Wales, ARC Ctr Excellence Climate Extremes, Sydney, NSW, Australia; [Benthuysen, Jessica A.] Australian Inst Marine Sci, Townsville, Qld, Australia; [Burrows, Michael T.] Scottish Marine Inst, Scottish Assoc Marine Sci, Oban, Argyll, Scotland; [Holbrook, Neil J.] Univ Tasmania, Inst Marine &amp; Antarctic Studies, Hobart, Tas, Australia; [Holbrook, Neil J.] Univ Tasmania, ARC Ctr Excellence Climate Extremes, Hobart, Tas, Australia; [Moore, Pippa J.] Aberystwyth Univ, Inst Biol Environm &amp; Rural Sci, Aberystwyth, Dyfed, Wales; [Thomsen, Mads S.] Univ Canterbury, Sch Biol Sci, Christchurch, New Zealand; [Thomsen, Mads S.] UWA, Oceans Inst, Crawley, WA, Australia; [Thomsen, Mads S.; Wernberg, Thomas] Sch Biol Sci, Crawley, WA, Australia; [Wernberg, Thomas] UWA Oceans Inst, Crawley, WA, Australia; [Smale, Dan A.] Marine Biol Assoc UK, Citadel Hill, Plymouth, Devon, England</t>
  </si>
  <si>
    <t>Commonwealth Scientific &amp; Industrial Research Organisation (CSIRO); Dalhousie University; University of Tasmania; ARC Centre of Excellence for Climate System Science; University of New South Wales Sydney; University of New South Wales Sydney; Australian Institute of Marine Science; UHI Millennium Institute; University of Tasmania; University of Tasmania; UK Research &amp; Innovation (UKRI); Biotechnology and Biological Sciences Research Council (BBSRC); Institute of Biological, Environmental, Rural &amp; Sciences (IBERS); Aberystwyth University; University of Canterbury; University of Western Australia; University of Western Australia; Marine Biological Association United Kingdom</t>
  </si>
  <si>
    <t>Hobday, AJ (corresponding author), CSIRO Oceans &amp; Atmosphere, Hobart, Tas, Australia.</t>
  </si>
  <si>
    <t>alistair.hobday@csiro.au</t>
  </si>
  <si>
    <t>Wernberg, Thomas/B-4172-2010; Donat, Markus/J-8331-2012; Burrows, Michael/ABF-4844-2020; Moore, Pippa/H-8079-2013; Moore, Pippa/HCH-3738-2022; Smale, Dan A/B-3240-2011; Thomsen, Mads/B-1204-2011; Holbrook, Neil J/M-7544-2013; Smale, Daniel/Y-2909-2019; Oliver, Eric CJ/G-5118-2014; Hobday, Alistair/A-1460-2012; Sen Gupta, Alexander/B-7995-2011</t>
  </si>
  <si>
    <t>Wernberg, Thomas/0000-0003-1185-9745; Donat, Markus/0000-0002-0608-7288; Burrows, Michael/0000-0003-4620-5899; Moore, Pippa/0000-0002-9889-2216; Smale, Daniel/0000-0003-4157-541X; Sen Gupta, Alexander/0000-0001-5226-871X</t>
  </si>
  <si>
    <t>NERC [NE/N00678X/1, NE/J024082/1, NE/K008439/1]; ARCCSS grant [CE110001028]; ARC [DP170100023, DE150100456]; Marie Curie CIG [PCIG10-GA-2011-303685]; ARC Centre of Excellence for Climate Extremes [CE170100023]; NERC [NE/J015644/1, NE/K008439/1, NE/N00678X/1, NE/J021938/1, NE/J022446/1, NE/J024082/1, NE/J015148/1] Funding Source: UKRI; Natural Environment Research Council [NE/K008439/1, NE/N00678X/1] Funding Source: researchfish</t>
  </si>
  <si>
    <t>NERC(UK Research &amp; Innovation (UKRI)Natural Environment Research Council (NERC)); ARCCSS grant; ARC(Australian Research Council); Marie Curie CIG(European Union (EU)); ARC Centre of Excellence for Climate Extremes; NERC(UK Research &amp; Innovation (UKRI)Natural Environment Research Council (NERC)); Natural Environment Research Council(UK Research &amp; Innovation (UKRI)Natural Environment Research Council (NERC))</t>
  </si>
  <si>
    <t>The NOAA High Resolution SST data (OISST V2) was provided by the NOAA/OAR/ESRL PSD, Boulder, Colorado, USA, https://www.esrl.noaa.gov/psd.We appreciate the comments from three reviewers and the editor that improved the clarity of arguments presented here. This study is an output of the Marine Heatwaves Working Group, was supported by a NERC International Opportunity Fund awarded to DAS (NE/N00678X/1), and constitutes contributions to the Australian Research Council (ARC) Centre of Excellence for Climate System Science (ARCCSS) and National Environmental Science Programme Earth Systems and Climate Change Hub (Project 2.3 component 2) and the ARC Centre of Excellence for Climate Extremes and the International Commission on Climate of IAMAS/IUGG. EO was supported by ARCCSS grant CE110001028, TW by ARC Discovery grant DP170100023, and MGD by ARC grant DE150100456. PM was supported by Marie Curie CIG PCIG10-GA-2011-303685 and NERC grant NE/J024082/1, DAS was supported by NERC grant NE/K008439/1, NJH by the ARC Centre of Excellence for Climate Extremes (CE170100023).</t>
  </si>
  <si>
    <t>10.5670/oceanog.2018.205</t>
  </si>
  <si>
    <t>Green Accepted, Green Published, gold</t>
  </si>
  <si>
    <t>WOS:000452824700023</t>
  </si>
  <si>
    <t>Gogoi, MM; Babu, SS; Pandey, SK; Nair, VS; Vaishya, A; Girach, IA; Koushik, N</t>
  </si>
  <si>
    <t>Gogoi, Mukunda M.; Babu, S. Suresh; Pandey, Santosh K.; Nair, Vijayakumar S.; Vaishya, Aditya; Girach, I. A.; Koushik, N.</t>
  </si>
  <si>
    <t>Scavenging ratio of black carbon in the Arctic and the Antarctic</t>
  </si>
  <si>
    <t>POLAR SCIENCE</t>
  </si>
  <si>
    <t>Black carbon; Albedo; Arctic; Antarctic</t>
  </si>
  <si>
    <t>LIGHT-ABSORBING IMPURITIES; SPECTRAL ALBEDO; ELEMENTAL CARBON; ORGANIC-CARBON; SNOW; ABSORPTION; SOOT; ICE; AETHALOMETER; INSTRUMENT</t>
  </si>
  <si>
    <t>Long-term monitoring of atmospheric aerosols and their interaction with radiation, cloud, and cryosphere over the Arctic and the Antarctic are very important for the global climate change related issues. In this regard, for conducting aerosol measurements, India has extended the concerted efforts to the Svalbard region of the Norwegian Arctic (Himadri, 78 degrees 55'N 11 degrees 56'E, 8 m a.s.l.) in the northern hemisphere and the Larsemann Hills of coastal Antarctic (Bharati, 69 degrees 24.4'S 76 degrees 11.7'E, 40 m a.s.l.) in the southern hemisphere. In the present study, we have examined the role of black carbon (BC) deposition in darkening the polar snow in different sunlit seasons and estimated the scavenging ratio of BC over both the poles from simultaneous measurements of atmospheric and snow deposited BC concentrations. The study reveals distinct spatio-temporal variability of BC in polar snow, even though the concentrations are, in general, low (&lt; 12 ppbw, parts per billion by weight). During local summer seasons, the BC in snow at the Arctic (median similar to 7.98 ppbw) was higher than that at the Antarctica (median similar to 1.70 ppbw). Concurrent with this, the scavenging ratio (SR) also showed large variability over both the poles. Relatively higher values of SR over the Antarctica (mean similar to 119.54 +/- 23.04; during southern hemispheric summer) in comparison to that over the Arctic (mean similar to 69.48 +/- 4.79; during northern hemispheric spring) clearly indicate the difference in removal mechanisms (aerosol mixing, aging and size distribution) of BC from the atmosphere over distinct polar environments. Measurement of spectral incoming and reflected radiances over the Arctic snow during the early spring season of 2017 indicated the values of surface broadband albedo varying between 0.64 and 0.79. The Snow, Ice and Aerosol Radiative (SNICAR) model simulated values of spectral albedo correlated well with the measured ones and indicated the role of dust absorption, in addition to that of BC, in changing the snow albedo. This information needs to be accurately incorporated in the radiative transfer models for the accurate estimation of snow albedo forcing over the Polar Regions.</t>
  </si>
  <si>
    <t>[Gogoi, Mukunda M.; Babu, S. Suresh; Pandey, Santosh K.; Nair, Vijayakumar S.; Vaishya, Aditya; Girach, I. A.; Koushik, N.] Vikram Sarabhai Space Ctr, Space Phys Lab, Thiruvananthapuram 695022, Kerala, India</t>
  </si>
  <si>
    <t>Department of Space (DoS), Government of India; Indian Space Research Organisation (ISRO); Vikram Sarabhai Space Center (VSSC)</t>
  </si>
  <si>
    <t>Gogoi, MM (corresponding author), Vikram Sarabhai Space Ctr, Space Phys Lab, Thiruvananthapuram 695022, Kerala, India.</t>
  </si>
  <si>
    <t>dr_mukunda@vssc.gov.in</t>
  </si>
  <si>
    <t>N, Koushik/R-4848-2019; Vaishya, Aditya/J-3456-2019; Girach, Imran/AHD-4916-2022</t>
  </si>
  <si>
    <t>N, Koushik/0000-0002-6770-0349; Vaishya, Aditya/0000-0001-7415-5572; Girach, Imran/0000-0002-8354-1173</t>
  </si>
  <si>
    <t>Aerosol Radiative Forcing over India (ARFI) project of ISRO GBP</t>
  </si>
  <si>
    <t>This work was carried out as part of Indian Scientific Expeditions to the Arctic and Antarctic, conducted by the National Centre for Antarctic and Ocean Research (NCAOR), Goa. We offer our sincere thanks to Director, NCAOR and Dr. K P Krishnan and his team for arranging the expeditions and helping us in the infrastructure development for conducting scientific experiments at the Polar Regions. We acknowledge Mr. Santosh M. and Mr. Mohammed Nazeer M., Scientist/ Engineer, Space Physics Laboratory for supporting snow sampling at Antarctica. We are also thankful to Mr. Brijesh Desai, Laboratory in-charge of Bharati station during 35th expedition to Antarctica, for supporting snow filtration. The experiment was supported by Aerosol Radiative Forcing over India (ARFI) project of ISRO GBP.</t>
  </si>
  <si>
    <t>1873-9652</t>
  </si>
  <si>
    <t>1876-4428</t>
  </si>
  <si>
    <t>POLAR SCI</t>
  </si>
  <si>
    <t>Polar Sci.</t>
  </si>
  <si>
    <t>10.1016/j.polar.2018.03.002</t>
  </si>
  <si>
    <t>Ecology; Geosciences, Multidisciplinary</t>
  </si>
  <si>
    <t>Environmental Sciences &amp; Ecology; Geology</t>
  </si>
  <si>
    <t>GG0LS</t>
  </si>
  <si>
    <t>WOS:000432370700002</t>
  </si>
  <si>
    <t>Lara, C; Saldías, GS; Paredes, AL; Cazelles, B; Broitman, BR</t>
  </si>
  <si>
    <t>Lara, Carlos; Saldias, Gonzalo S.; Paredes, Alvaro L.; Cazelles, Bernard; Broitman, Bernardo R.</t>
  </si>
  <si>
    <t>Temporal Variability of MODIS Phenological Indices in the Temperate Rainforest of Northern Patagonia</t>
  </si>
  <si>
    <t>REMOTE SENSING</t>
  </si>
  <si>
    <t>MODIS; primary productivity; climatic variability; vegetation index; wavelet coherence</t>
  </si>
  <si>
    <t>SOUTHERN ANNULAR MODE; RECENT CLIMATE-CHANGE; VEGETATION INDEXES; ECOLOGICAL RESPONSES; WESTERN PATAGONIA; CHLOROPHYLL-A; TIME-SERIES; INNER SEA; CHILE; NDVI</t>
  </si>
  <si>
    <t>Western Patagonia harbors unique and sparsely studied terrestrial ecosystems that are threatened by land use changes and exposure to basin-scale climatic variability. We assessed the performance of two satellite vegetation indices derived from MODIS-Terra, EVI (Enhanced Vegetation Index) and NDVI (Normalized Difference Vegetation Index), over the northern and southern sectors of the Chiloe Island System (CIS) to advance our understanding of vegetation dynamics in the region. Then we examined their time-varying relationships with two climatic indices indicative of tropical and extratropical influence, the ENSO (El Nino-Southern Oscillation) and the Antarctic Oscillation (AAO) index, respectively. The 17-year time series showed that only EVI captured the seasonal pattern characteristic of temperate regions, with low (high) phenological activity during Autumn-Winter (Spring-Summer). NDVI saturated during the season of high productivity and failed to capture the seasonal cycle. Temporal patterns in productivity showed a weakened seasonal cycle during the past decade, particularly over the northern sector. We observed a non-stationary association between EVI and both climatic indices. Significant co-variation between EVI and the Nino-Southern Oscillation index in the annual band persisted from 2001 until 2008-2009; annual coherence with AAO prevailed from 2013 onwards and the 2009-2012 period was characterized by coherence between EVI and both climate indices over longer temporal scales. Our results suggest that the influence of large-scale climatic variability on local weather patterns drives phenological responses in the northern and southern regions of the CIS. The imprint of climatic variability on patterns of primary production across the CIS may be underpinned by spatial differences in the anthropogenic modification of this ecosystem, as the northern sector is strongly modified by forestry and agriculture. We highlight the need for field validation of satellite indices around areas of high biomass and high endemism, located in the southern sector of the island, in order to enhance the utility of satellite vegetation indices in the conservation and management of austral ecosystems.</t>
  </si>
  <si>
    <t>[Lara, Carlos] Univ Bernardo OHiggins, Ctr Invest Recursos Nat &amp; Sustentabilidad CIRENYS, Santiago 8370993, Chile; [Saldias, Gonzalo S.] Univ British Columbia, Dept Earth Ocean &amp; Atmospher Sci, Vancouver, BC V6T 1Z4, Canada; [Saldias, Gonzalo S.] Univ Bio Bio, Fac Ciencias, Dept Fis, Casilla 5-C, Concepcion 4051381, Chile; [Saldias, Gonzalo S.] Ctr FONDAP Invest Dinam Ecosistemas Marinos Altas, Valdivia 5110566, Chile; [Paredes, Alvaro L.] Pontificia Univ Catolica Chile, Fac Matemat, Programa Magister Estadist, Santiago 8331150, Chile; [Cazelles, Bernard] Ecole Normale Super, IBENS, UMR 8197, Ecoevolut Math, F-75230 Paris, France; [Cazelles, Bernard] UPMC, IRD, UMI 209, UMMISCO, F-93142 Bondy, France; [Broitman, Bernardo R.] CEAZA, Coquimbo 1781681, Chile; [Broitman, Bernardo R.] Univ Catolica Norte, Fac Ciencias Mar, Dept Biol Marina, Coquimbo 1781421, Chile</t>
  </si>
  <si>
    <t>Universidad Bernardo O'Higgins; University of British Columbia; Universidad del Bio-Bio; Pontificia Universidad Catolica de Chile; Universite PSL; Ecole Normale Superieure (ENS); Centre National de la Recherche Scientifique (CNRS); CNRS - National Institute for Biology (INSB); Cadi Ayyad University of Marrakech; Hanoi University of Science &amp; Technology (HUST); Institut de Recherche pour le Developpement (IRD); Sorbonne Universite; University Cheikh Anta Diop Dakar; University of Yaounde I; Universidad Catolica del Norte</t>
  </si>
  <si>
    <t>Lara, C (corresponding author), Univ Bernardo OHiggins, Ctr Invest Recursos Nat &amp; Sustentabilidad CIRENYS, Santiago 8370993, Chile.</t>
  </si>
  <si>
    <t>carlos.lara@ubo.cl; gsaldias@eoas.ubc.ca; aaparede@mat.uc.cl; cazelles@biologie.ens.fr; bernardo.broitman@ceaza.cl</t>
  </si>
  <si>
    <t>Peña, Carlos Lara/S-8414-2019; Broitman, Bernardo R/D-6007-2013; Cazelles, Bernard/B-1572-2013; Saldias, Gonzalo/C-3577-2016</t>
  </si>
  <si>
    <t>Peña, Carlos Lara/0000-0003-1223-7761; Broitman, Bernardo R/0000-0001-6582-3188; Cazelles, Bernard/0000-0002-7972-361X; Saldias, Gonzalo/0000-0003-3462-464X; Paredes, Alvaro/0000-0003-3174-0979</t>
  </si>
  <si>
    <t>Millennium Nucleus Center for the Study of Multiple Drivers on Marine Socio-Ecological Systems (MUSELS) - MINECON [NC120086]; Millennium Nucleus Center for the Study of Multiple Drivers on Marine Socio-Ecological Systems (MUSELS) - FONDECYT [1181300]; NSERC Banting Postdoctoral Fellowship</t>
  </si>
  <si>
    <t>Millennium Nucleus Center for the Study of Multiple Drivers on Marine Socio-Ecological Systems (MUSELS) - MINECON; Millennium Nucleus Center for the Study of Multiple Drivers on Marine Socio-Ecological Systems (MUSELS) - FONDECYT; NSERC Banting Postdoctoral Fellowship(European Research Council (ERC))</t>
  </si>
  <si>
    <t>The vegetation indices from the MODIS-TERRA data product were retrieved from the online Data Pool, courtesy of the NASA Land Processes Distributed Active Archive Center (LP DAAC), USGS/Earth Resources Observation and Science (EROS) Center, Sioux Falls, South Dakota,https://lpdaac.usgs.gov/data_access/data_pool. C.L., G.S.S and B.R.B. acknowledge support from the Millennium Nucleus Center for the Study of Multiple Drivers on Marine Socio-Ecological Systems (MUSELS) funded by MINECON NC120086 and FONDECYT 1181300 to B.R.B. G.S.S. is supported by an NSERC Banting Postdoctoral Fellowship. Constructive comments from three anonymous reviewers helped to improve the manuscript.</t>
  </si>
  <si>
    <t>2072-4292</t>
  </si>
  <si>
    <t>REMOTE SENS-BASEL</t>
  </si>
  <si>
    <t>Remote Sens.</t>
  </si>
  <si>
    <t>10.3390/rs10060956</t>
  </si>
  <si>
    <t>Environmental Sciences; Geosciences, Multidisciplinary; Remote Sensing; Imaging Science &amp; Photographic Technology</t>
  </si>
  <si>
    <t>Environmental Sciences &amp; Ecology; Geology; Remote Sensing; Imaging Science &amp; Photographic Technology</t>
  </si>
  <si>
    <t>GK9JI</t>
  </si>
  <si>
    <t>Green Submitted, gold</t>
  </si>
  <si>
    <t>WOS:000436561800150</t>
  </si>
  <si>
    <t>Pudelko, R; Angiel, PJ; Potocki, M; Jedrejek, A; Kozak, M</t>
  </si>
  <si>
    <t>Pudelko, Rafal; Angiel, Piotr Jan; Potocki, Mariusz; Jedrejek, Anna; Kozak, Malgorzata</t>
  </si>
  <si>
    <t>Fluctuation of Glacial Retreat Rates in the Eastern Part of Warszawa Icefield, King George Island, Antarctica, 1979-2018</t>
  </si>
  <si>
    <t>glacier recession; surface melting; climate change; temperature change; Positive Degree-Day</t>
  </si>
  <si>
    <t>SOUTH SHETLAND ISLANDS; SURFACE-ENERGY BALANCE; CLIMATE-CHANGE; ICE CAP; ECOLOGY GLACIER; PENINSULA; DISCHARGE; FIELD</t>
  </si>
  <si>
    <t>Antarctica is a region of the world where climate change is visible in the rapid melting of glaciers. This is particularly evident in marginal zones, where the pace of glacial retreat has systematically accelerated. The effective mapping of these changes is possible with the use of remote sensing methods. This study assesses changes in glacier margin positions between 1979 and 2018 in the Antarctic Specially Protected Area 128 (ASPA-128) on King George Island, South Shetland Islands, Antarctica. In 1979, 19.8 km(2) of the study area was glaciated. Over the following 39 years, an area of 6.1 km(2) became ice-free, impacting local ecosystems both on land and in Admiralty Bay. The reduction in glacier extent was different in time and depended on the glacier type. Land-terminating glaciers had the fastest retreat rates below 200 m a.s.l. and were influenced mostly by surface melting. The reduction of tidewater glaciers occurred primarily in areas below 100 m a.s.l., with the most pronounced ice extent decreases occurring below 50 m a.s.l. The observed rates of front retreat suggest that glacier retreat rates were fastest between 1989-2001 and 2007-2011, with reduced retreat rates between 2001 and 2007. During the last 7 years, the lowest rate of regression was recorded in the entire analysed period (1979-2018). Changes in the areal extent of glaciers were compared with the climate record available for King George Island. The observed fluctuations in glacier retreat rates could be correlated to oscillations in annual Positive Degree-Days. The spatial analyses were based on aerial photographs (1956, 1979), theodolite measurements (1989), GPS survey (2001, 2007), and satellite images (2011, 2018).</t>
  </si>
  <si>
    <t>[Pudelko, Rafal; Angiel, Piotr Jan; Potocki, Mariusz] Polish Acad Sci, Inst Biochem &amp; Biophys, Dept Antarctic Biol, Pawinskiego 5a, PL-02106 Warsaw, Poland; [Pudelko, Rafal; Jedrejek, Anna; Kozak, Malgorzata] State Res Inst, Inst Soil Sci &amp; Plant Cultivat, Dept Bioecon &amp; Syst Anal, Czartoryskich 8, PL-24100 Pulawy, Poland; [Potocki, Mariusz] Univ Maine, Climate Change Inst, Orono, ME 04469 USA; [Potocki, Mariusz] Univ Maine, Sch Earth &amp; Climate Sci, Orono, ME 04469 USA</t>
  </si>
  <si>
    <t>Polish Academy of Sciences; Institute of Biochemistry &amp; Biophysics - Polish Academy of Sciences; Institute of Soil Science &amp; Plant Cultivation; University of Maine System; University of Maine Orono; University of Maine System; University of Maine Orono</t>
  </si>
  <si>
    <t>Pudelko, R (corresponding author), Polish Acad Sci, Inst Biochem &amp; Biophys, Dept Antarctic Biol, Pawinskiego 5a, PL-02106 Warsaw, Poland.;Pudelko, R (corresponding author), State Res Inst, Inst Soil Sci &amp; Plant Cultivat, Dept Bioecon &amp; Syst Anal, Czartoryskich 8, PL-24100 Pulawy, Poland.</t>
  </si>
  <si>
    <t>rpudelko@iung.pulawy.pl; piotr@angiel.pl; mariusz.potocki@maine.edu; ajedrejek@iung.pulawy.pl; mkozak@iung.pulawy.pl</t>
  </si>
  <si>
    <t>Pudełko, Rafał/N-6854-2019</t>
  </si>
  <si>
    <t>Pudełko, Rafał/0000-0002-6373-6272; Kozak, Malgorzata/0000-0003-4595-2825; Jedrejek, Anna/0000-0001-8541-4410</t>
  </si>
  <si>
    <t>Polish Committee for Scientific Research (CLICOPEN) [PBZ-KBN-108/P04/2004, IPY-34]; Ministry of Science and Higher Education [NN 306722540]</t>
  </si>
  <si>
    <t>Polish Committee for Scientific Research (CLICOPEN); Ministry of Science and Higher Education(Ministry of Science and Higher Education, Poland)</t>
  </si>
  <si>
    <t>This research was funded by the Polish Committee for Scientific Research (PBZ-KBN-108/P04/2004, CLICOPEN (IPY-34) and the Ministry of Science and Higher Education (NN 306722540 Climatological and glaciological interactions in the global warming conditions. Study on the SSSI No 8 King George Island, West Antarctic).</t>
  </si>
  <si>
    <t>10.3390/rs10060892</t>
  </si>
  <si>
    <t>WOS:000436561800086</t>
  </si>
  <si>
    <t>Alley, KE; Scambos, TA; Miller, JZ; Long, DG; MacFerrin, M</t>
  </si>
  <si>
    <t>Alley, K. E.; Scambos, T. A.; Miller, J. Z.; Long, D. G.; MacFerrin, M.</t>
  </si>
  <si>
    <t>Quantifying vulnerability of Antarctic ice shelves to hydrofracture using microwave scattering properties</t>
  </si>
  <si>
    <t>REMOTE SENSING OF ENVIRONMENT</t>
  </si>
  <si>
    <t>Glaciology; Antarctica; Ice shelves; Scatterometry; QuikSCAT</t>
  </si>
  <si>
    <t>SHEET SURFACE-PROPERTIES; SCATTEROMETER DATA; BREAK-UP; GREENLAND; DISINTEGRATION; RESOLUTION; PENINSULA; COLLAPSE; SNOW; MELT</t>
  </si>
  <si>
    <t>Recent ice shelf disintegrations on the Antarctic Peninsula and subsequent increases in ice sheet mass loss have highlighted the importance of tracking ice shelf stability with respect to surface melt ponding and hydrofracture. In this study, we use active microwave scatterometry in time-series to estimate melt season duration, and winter backscatter levels as a proxy for relative concentration of refrozen ice lenses in Antarctic ice shelf firn. We demonstrate a physical relationship between melt days and firn/ice backscatter using scatterometry and field data from Greenland, and apply the observed relationship to derive and map a vulnerability index for Antarctica's ice shelves. The index reveals that some remaining Antarctic Peninsula ice shelves have already reached a firn state that is vulnerable to hydrofracture. We also show that the progression of an ice shelf towards vulnerability is affected by many factors, such as surface mass balance, internal stresses, and ice shelf geometry.</t>
  </si>
  <si>
    <t>[Alley, K. E.; Scambos, T. A.; MacFerrin, M.] Univ Colorado, 1540 30th St,RL-2 Room 201, Boulder, CO 80303 USA; [Miller, J. Z.] Ohio State Univ, Byrd Polar Res Ctr, 108 Scott Hall,1090 Carmack Rd, Columbus, OH 43210 USA; [Long, D. G.] Brigham Young Univ, 459 CB, Provo, UT 84602 USA</t>
  </si>
  <si>
    <t>University of Colorado System; University of Colorado Boulder; University System of Ohio; Ohio State University; Brigham Young University</t>
  </si>
  <si>
    <t>Alley, KE (corresponding author), 1540 30th St,RL-2 Room 201, Boulder, CO 80303 USA.</t>
  </si>
  <si>
    <t>karen.alley@colorado.edu; teds@nsidc.org; long@ee.byu.edu; michael.macferrin@colorado.edu</t>
  </si>
  <si>
    <t>Scambos, Ted A/B-1856-2009; Alley, Karen E/HGE-5249-2022; MacFerrin, Michael/A-5794-2018</t>
  </si>
  <si>
    <t>Alley, Karen E/0000-0003-0358-3806; SCAMBOS, Ted A./0000-0003-4268-6322; MacFerrin, Michael/0000-0001-8157-7159</t>
  </si>
  <si>
    <t>NASA through a NASA Earth Science Student Fellowship [NNX14AK82H]; NASA Cryospheric Sciences award [NNX10AC76G]; NASA [680440, NNX14AK82H] Funding Source: Federal RePORTER</t>
  </si>
  <si>
    <t>NASA through a NASA Earth Science Student Fellowship; NASA Cryospheric Sciences award; NASA(National Aeronautics &amp; Space Administration (NASA))</t>
  </si>
  <si>
    <t>The completion of this study was supported by NASA through a NASA Earth Science Student Fellowship (NNX14AK82H). Greenland field data were collected with the support of a NASA Cryospheric Sciences award (NNX10AC76G). The authors declare no financial conflicts of interest in the completion of the manuscript. We would like to thank P. Holland for providing data and helpful comments in the preparation of this manuscript, and A. Crawford for assistance with statistical analyses. All data are available through the Brigham Young University Microwave Earth Remote Sensing Laboratory Scatterometer Climate Record Pathfinder (http://www.scp.byu.edu) and by contacting the authors directly.</t>
  </si>
  <si>
    <t>ELSEVIER SCIENCE INC</t>
  </si>
  <si>
    <t>360 PARK AVE SOUTH, NEW YORK, NY 10010-1710 USA</t>
  </si>
  <si>
    <t>0034-4257</t>
  </si>
  <si>
    <t>1879-0704</t>
  </si>
  <si>
    <t>REMOTE SENS ENVIRON</t>
  </si>
  <si>
    <t>Remote Sens. Environ.</t>
  </si>
  <si>
    <t>10.1016/j.rse.2018.03.025</t>
  </si>
  <si>
    <t>Environmental Sciences; Remote Sensing; Imaging Science &amp; Photographic Technology</t>
  </si>
  <si>
    <t>Environmental Sciences &amp; Ecology; Remote Sensing; Imaging Science &amp; Photographic Technology</t>
  </si>
  <si>
    <t>GE4DK</t>
  </si>
  <si>
    <t>WOS:000431164300022</t>
  </si>
  <si>
    <t>Fyke, J; Sergienko, O; Löfverström, M; Price, S; Lenaerts, JTM</t>
  </si>
  <si>
    <t>Fyke, Jeremy; Sergienko, Olga; Loefverstroem, Marcus; Price, Stephen; Lenaerts, Jan T. M.</t>
  </si>
  <si>
    <t>An Overview of Interactions and Feedbacks Between Ice Sheets and the Earth System</t>
  </si>
  <si>
    <t>REVIEWS OF GEOPHYSICS</t>
  </si>
  <si>
    <t>SURFACE MASS-BALANCE; FUTURE SEA-LEVEL; LAST GLACIAL MAXIMUM; DEEP-WATER FORMATION; BASAL MELT RATES; NORTH-ATLANTIC; SOUTHERN-OCEAN; SUBGLACIAL DRAINAGE; EAST ANTARCTICA; ATMOSPHERIC CIRCULATION</t>
  </si>
  <si>
    <t>Ice sheet response to forced changessuch as that from anthropogenic climate forcingis closely regulated by two-way interactions with other components of the Earth system. These interactions encompass the ice sheet response to Earth system forcing, the Earth system response to ice sheet change, and feedbacks resulting from coupled ice sheet/Earth system evolution. Motivated by the impact of Antarctic and Greenland ice sheet change on future sea level rise, here we review the state of knowledge of ice sheet/Earth system interactions and feedbacks. We also describe emerging observation and model-based methods that can improve understanding of ice sheet/Earth system interactions and feedbacks. We particularly focus on the development of Earth system models that incorporate current understanding of Earth system processes, ice dynamics, and ice sheet/Earth system couplings. Such models will be critical tools for projecting future sea level rise from anthropogenically forced ice sheet mass loss. Plain Language Summary Sea level rise from ice sheets depends closely on interactions between ice sheets and the surrounding Earth system. These interactions determine how forcings to the climate system (such as from anthropogenic climate influences) translate to ice sheet change, which in turn impact the surrounding environment. This set of two-way interactions between ice sheets and the Earth system forms the basis for important, yet poorly understood feedback loops. This review article describes the current state of knowledge of ice sheet/Earth system interactions and feedbacks and describes promising observational techniques for better understanding their behavior. It also highlights challenges and opportunities in modeling these interactions and feedbacks using coupled ice sheet/Earth system models, which will ultimately be used to predict future sea level rise caused by ice sheet loss.</t>
  </si>
  <si>
    <t>[Fyke, Jeremy; Price, Stephen] Los Alamos Natl Lab, Los Alamos, NM USA; [Fyke, Jeremy] Associated Engn Grp Ltd, Edmonton, AB, Canada; [Sergienko, Olga] Princeton Univ, Atmospher &amp; Ocean Sci program, Princeton, NJ 08544 USA; [Loefverstroem, Marcus] Natl Ctr Atmospher Res, Boulder, CO 80307 USA; [Lenaerts, Jan T. M.] Univ Colorado Boulder, Dept Atmospher &amp; Ocean Sci, Boulder, CO 80309 USA</t>
  </si>
  <si>
    <t>United States Department of Energy (DOE); Los Alamos National Laboratory; National Oceanic Atmospheric Admin (NOAA) - USA; Princeton University; National Center Atmospheric Research (NCAR) - USA; University of Colorado System; University of Colorado Boulder</t>
  </si>
  <si>
    <t>Sergienko, O (corresponding author), Princeton Univ, Atmospher &amp; Ocean Sci program, Princeton, NJ 08544 USA.</t>
  </si>
  <si>
    <t>osergien@princeton.edu</t>
  </si>
  <si>
    <t>Sergienko, Olga/HII-8500-2022; Lenaerts, Jan/D-9423-2012; Price, Stephen/E-1568-2013</t>
  </si>
  <si>
    <t>Sergienko, Olga/0000-0002-5764-8815; Lenaerts, Jan/0000-0003-4309-4011; Fyke, Jeremy/0000-0002-4522-3019; Price, Stephen/0000-0001-6878-2553; Lofverstrom, Marcus/0000-0002-8016-865X</t>
  </si>
  <si>
    <t>U.S. Department of Energy (DOE) Office of Science, Biological and Environmental Research (BER), Earth System Modeling Program; U.S. DOE Office of Science cooperative agreement DOE-BER award [DE-SC0012606]; National Aeronautics and Space Administration [80NSSC17K0565]; U.S. National Science Foundation [OPP-1246151]; National Oceanic and Atmospheric Administration, U.S. Department of Commerce [NA14OAR4320106, NA13OAR431009]; U.S. Department of Energy (DOE) [DE-SC0012606] Funding Source: U.S. Department of Energy (DOE)</t>
  </si>
  <si>
    <t>U.S. Department of Energy (DOE) Office of Science, Biological and Environmental Research (BER), Earth System Modeling Program(United States Department of Energy (DOE)); U.S. DOE Office of Science cooperative agreement DOE-BER award(United States Department of Energy (DOE)); National Aeronautics and Space Administration(National Aeronautics &amp; Space Administration (NASA)); U.S. National Science Foundation(National Science Foundation (NSF)); National Oceanic and Atmospheric Administration, U.S. Department of Commerce(National Oceanic Atmospheric Admin (NOAA) - USA); U.S. Department of Energy (DOE)(United States Department of Energy (DOE))</t>
  </si>
  <si>
    <t>The authors thank the following people for valuable discussions in the course of writing this review: TwilaMoon, Fiamma Straneo, Matthew Hoffman, Gerard Roe, Hansi Singh, and Jason Briner. To carry out this work, Jeremy Fyke and Stephen Price were supported by the U.S. Department of Energy (DOE) Office of Science, Biological and Environmental Research (BER), Earth System Modeling Program. Marcus Lofverstrom was sponsored by U.S. DOE Office of Science cooperative agreement DOE-BER award DE-SC0012606. Jan Lenaerts is supported by the National Aeronautics and Space Administration under grant 80NSSC17K0565. Olga Sergienko was supported by U.S. National Science Foundation grant OPP-1246151 and by awards NA14OAR4320106 and NA13OAR431009 from the National Oceanic and Atmospheric Administration, U.S. Department of Commerce. The statements, findings, conclusions, and recommendations are those of the author and do not necessarily reflect the views of the National Oceanic and Atmospheric Administration or the U. S. Department of Commerce. We thank Brice Noel and Melchior van Wessem (IMAU, Utrecht University) for providing the RACMO2 model output. We also thank E. Fischer and two anonymous referees for their constructive criticisms and useful suggestions that improved the manuscript. No new data were used in producing this manuscript.</t>
  </si>
  <si>
    <t>8755-1209</t>
  </si>
  <si>
    <t>1944-9208</t>
  </si>
  <si>
    <t>REV GEOPHYS</t>
  </si>
  <si>
    <t>Rev. Geophys.</t>
  </si>
  <si>
    <t>10.1029/2018RG000600</t>
  </si>
  <si>
    <t>GO3FD</t>
  </si>
  <si>
    <t>WOS:000439873600003</t>
  </si>
  <si>
    <t>Hogg, OT; Huvenne, VAI; Griffiths, HJ; Linse, K</t>
  </si>
  <si>
    <t>Hogg, Oliver T.; Huvenne, Veerle A. I.; Griffiths, Huw J.; Linse, Katrin</t>
  </si>
  <si>
    <t>On the ecological relevance of landscape mapping and its application in the spatial planning of very large marine protected areas</t>
  </si>
  <si>
    <t>SCIENCE OF THE TOTAL ENVIRONMENT</t>
  </si>
  <si>
    <t>Marine protected areas; Marine spatial planning; Habitat mapping; South Georgia; Biogeography; Benthic ecology</t>
  </si>
  <si>
    <t>SPECIES-DIVERSITY; SOUTH GEORGIA; HIGH SEAS; BIODIVERSITY; ISLANDS; SCALE; CONSERVATION; MANAGEMENT; PATTERNS; OCEAN</t>
  </si>
  <si>
    <t>In recent years very large marine protected areas (VLMPAs) have become the dominant form of spatial protection in the marine environment. Whilst seen as a holistic and geopolitically achievable approach to conservation, there is currently a mismatch between the size of VLMPAs, and the data available to underpin their establishment and inform on their management. Habitat mapping has increasingly been adopted as a means of addressing paucity in biological data, through use of environmental proxies to estimate species and community distribution. Small-scale studies have demonstrated environmental-biological links in marine systems. Such links, however, are rarely demonstrated across larger spatial scales in the benthic environment. As such, the utility of habitat mapping as an effective approach to the ecosystem-based management of VLMPAs remains, thus far, largely undetermined. The aim of this study was to assess the ecological relevance of broadscale landscape mapping. Specifically we test the relationship between broad-scale marine landscapes and the structure of their benthic faunal communities. We focussed our work at the sub-Antarctic island of South Georgia, site of one of the largest MPAs in the world. We demonstrate a statistically significant relationship between environmentally derived landscape mapping clusters, and the composition of presence-only species data from the region. To demonstrate this relationship required specific re-sampling of historical species occurrence data to balance biological rarity, biological cosmopolitism, range-restricted sampling and fine-scale heterogeneity between sampling stations. The relationship reveals a distinct biological signature in the faunal composition of individual landscapes, attributing ecological relevance to South Georgia's environmentally derived marine landscape map. We argue therefore, that landscape mapping represents an effective framework for ensuring representative protection of habitats in management plans. Such scientific underpinning of marine spatial planning is critical in balancing the needs of multiple stake-holders whilst maximising conservation payoff. (c) 2018 The Authors. Published by Elsevier B.V.</t>
  </si>
  <si>
    <t>[Hogg, Oliver T.; Griffiths, Huw J.; Linse, Katrin] NERC, British Antarctic Survey, Madingley Rd, Cambridge CB3 OET, England; [Hogg, Oliver T.; Huvenne, Veerle A. I.] Univ Southampton, Natl Oceanog Ctr, Waterfront Campus,European Way, Southampton SO14 3ZH, Hants, England; [Hogg, Oliver T.] Univ Southampton, Waterfront Campus,European Way, Southampton SO14 3ZH, Hants, England</t>
  </si>
  <si>
    <t>UK Research &amp; Innovation (UKRI); Natural Environment Research Council (NERC); NERC British Antarctic Survey; University of Southampton; NERC National Oceanography Centre; University of Southampton</t>
  </si>
  <si>
    <t>Hogg, OT (corresponding author), NERC, British Antarctic Survey, Madingley Rd, Cambridge CB3 OET, England.;Hogg, OT (corresponding author), Univ Southampton, Natl Oceanog Ctr, Waterfront Campus,European Way, Southampton SO14 3ZH, Hants, England.;Hogg, OT (corresponding author), Univ Southampton, Waterfront Campus,European Way, Southampton SO14 3ZH, Hants, England.</t>
  </si>
  <si>
    <t>olgg@bas.ac.uk</t>
  </si>
  <si>
    <t>Griffiths, Huw J/D-4234-2009</t>
  </si>
  <si>
    <t>Griffiths, Huw J/0000-0003-1764-223X; Hogg, Oliver/0000-0003-1146-0590</t>
  </si>
  <si>
    <t>National Environmental Research Council [NE/L002531/1]; ERC Starting Grant project CODEMAP [258482]; UK Natural Environment Research Council MAREMAP programme; European Research Council (ERC) [258482] Funding Source: European Research Council (ERC); NERC [bas0100036, NE/R015953/1, noc010011] Funding Source: UKRI; Natural Environment Research Council [noc010011, 1498911, bas0100036] Funding Source: researchfish</t>
  </si>
  <si>
    <t>National Environmental Research Council(UK Research &amp; Innovation (UKRI)Natural Environment Research Council (NERC)); ERC Starting Grant project CODEMAP(European Research Council (ERC)); UK Natural Environment Research Council MAREMAP programme; European Research Council (ERC)(European Research Council (ERC)Spanish Government); NERC(UK Research &amp; Innovation (UKRI)Natural Environment Research Council (NERC)); Natural Environment Research Council(UK Research &amp; Innovation (UKRI)Natural Environment Research Council (NERC))</t>
  </si>
  <si>
    <t>This work was supported by the National Environmental Research Council [grant number NE/L002531/1]. VAIH was funded by the ERC Starting Grant project CODEMAP (Grant no. 258482) and the UK Natural Environment Research Council MAREMAP programme. For help cataloguing taxa specific functional traits the authors would like to thank David Barnes (BAS), Angelika Brandt (Senckenberg), Rachel Downey (Australian National University), Marc Eleaume (Museum National d'Histoire Naturelle, Paris), Anne-Nina Lorz (NIWA), Melanie Mackenzie (Museum Victoria), Camille Moreau (Universite Libre de Bruxelles), Estefania Rodriguez (American Museum of Natural History), Chester Sands (BAS) and Thomas Saucede (Universite de Bourgogne). The authors would also like to thank the two anonymous reviewers for their constructive comments.</t>
  </si>
  <si>
    <t>ELSEVIER SCIENCE BV</t>
  </si>
  <si>
    <t>PO BOX 211, 1000 AE AMSTERDAM, NETHERLANDS</t>
  </si>
  <si>
    <t>0048-9697</t>
  </si>
  <si>
    <t>1879-1026</t>
  </si>
  <si>
    <t>SCI TOTAL ENVIRON</t>
  </si>
  <si>
    <t>Sci. Total Environ.</t>
  </si>
  <si>
    <t>10.1016/j.scitotenv.2018.01.009</t>
  </si>
  <si>
    <t>Environmental Sciences</t>
  </si>
  <si>
    <t>GA2YS</t>
  </si>
  <si>
    <t>WOS:000428194000039</t>
  </si>
  <si>
    <t>Durand, A; Chase, Z; Noble, TL; Bostock, H; Jaccard, SL; Townsend, AT; Bindoff, NL; Neil, H; Jacobsen, G</t>
  </si>
  <si>
    <t>Durand, Axel; Chase, Zanna; Noble, Taryn L.; Bostock, Helen; Jaccard, Samuel L.; Townsend, Ashley T.; Bindoff, Nathaniel L.; Neil, Helen; Jacobsen, Geraldine</t>
  </si>
  <si>
    <t>Reduced oxygenation at intermediate depths of the southwest Pacific during the last glacial maximum</t>
  </si>
  <si>
    <t>EARTH AND PLANETARY SCIENCE LETTERS</t>
  </si>
  <si>
    <t>oceanic deoxygenation; redox sensitive elements; ventilation; Antarctic Intermediate Water; New Zealand; circulation changes</t>
  </si>
  <si>
    <t>SOUTHERN-OCEAN; NEW-ZEALAND; MARINE-SEDIMENTS; AUTHIGENIC URANIUM; ATMOSPHERIC CO2; BENTHIC FORAMINIFERA; ANTARCTIC MODE; WATER MASSES; TRACE-METALS; CIRCULATION</t>
  </si>
  <si>
    <t>To investigate changes in oxygenation at intermediate depths in the southwest Pacific between the Last Glacial Maximum (LGM) and the Holocene, redox sensitive elements uranium and rhenium were measured in 12 sediment cores located on the Campbell and Challenger plateaux offshore from New Zealand. The core sites are currently bathed by Subantarctic Mode Water (SAMW), Antarctic Intermediate Water (AAIW) and Upper Circumpolar Deep Water (UCDW). The sedimentary distributions of authigenic uranium and rhenium reveal reduced oxygen content at intermediate depths (800-1500 m) during the LGM compared to the Holocene. In contrast, data from deeper waters (&gt;= 1500 m) indicate higher oxygen content during the LGM compared to the Holocene. These data, together with variations in benthic foraminiferal delta C-13, are consistent with a shallower AAIW-UCDW boundary over the Campbell Plateau during the LGM. Whilst AAIW continued to bathe the intermediate depths (&lt;= 1500 m) of the Challenger Plateau during the LGM, the data suggest that the AAIW at these core sites contained less oxygen compared to the Holocene. These results are at odds with the general notion that AAIW was better oxygenated and expanded deeper during the LGM due to stronger westerlies and colder temperatures. These findings may be explained by an important change in AAIW formation and circulation. (C) 2018 Elsevier B.V. All rights reserved.</t>
  </si>
  <si>
    <t>[Durand, Axel; Chase, Zanna; Noble, Taryn L.; Bindoff, Nathaniel L.] Univ Tasmania, Inst Marine &amp; Antarctic Studies, Hobart, Tas, Australia; [Bostock, Helen; Neil, Helen] Natl Inst Water &amp; Atmospher Res, Wellington, New Zealand; [Jaccard, Samuel L.] Univ Bern, Inst Geol Sci, Bern, Switzerland; [Jaccard, Samuel L.] Univ Bern, Oeschger Ctr Climate Change Res, Bern, Switzerland; [Townsend, Ashley T.] Univ Tasmania, Cent Sci Lab, Hobart, Tas, Australia; [Bindoff, Nathaniel L.] Antarctic Climate &amp; Ecosyst Cooperat Res Ctr, Hobart, Tas, Australia; [Bindoff, Nathaniel L.] Marine Atmospher Res, Commonwealth Sci &amp; Ind Res Org, Hobart, Tas, Australia; [Bindoff, Nathaniel L.] Collaborat Australian Weather &amp; Climate Res, Melbourne, Vic, Australia; [Jacobsen, Geraldine] Australian Nucl Sci &amp; Technol Org, Lucas Heights, NSW, Australia; [Bindoff, Nathaniel L.] Australian Res Council, Ctr Excellence Climate Syst Sci, Sydney, NSW, Australia</t>
  </si>
  <si>
    <t>University of Tasmania; National Institute of Water &amp; Atmospheric Research (NIWA) - New Zealand; University of Bern; University of Bern; University of Tasmania; Antarctic Climate &amp; Ecosystems Cooperative Research Centre (ACE CRC); Commonwealth Scientific &amp; Industrial Research Organisation (CSIRO); Bureau of Meteorology - Australia; Commonwealth Scientific &amp; Industrial Research Organisation (CSIRO); Collaboration for Australian Weather &amp; Climate Research; Melbourne Genomics Health Alliance; Australian Nuclear Science &amp; Technology Organisation</t>
  </si>
  <si>
    <t>Durand, A (corresponding author), Univ Tasmania, Inst Marine &amp; Antarctic Studies, Hobart, Tas, Australia.</t>
  </si>
  <si>
    <t>axel.durand@utas.edu.au</t>
  </si>
  <si>
    <t>Townsend, Ashley/J-7445-2014; Bostock, Helen/A-6834-2013; Bindoff, Nathaniel Lee/IVV-0333-2023; Bindoff, Nathaniel Lee/C-8050-2011; Chase, Zanna/E-9232-2013; Jaccard, Samuel/G-3447-2014</t>
  </si>
  <si>
    <t>Townsend, Ashley/0000-0002-2972-2678; Bostock, Helen/0000-0002-8903-8958; Bindoff, Nathaniel Lee/0000-0001-5662-9519; Bindoff, Nathaniel Lee/0000-0001-5662-9519; Chase, Zanna/0000-0001-5060-779X; Jaccard, Samuel/0000-0002-5793-0896; Noble, Taryn/0000-0002-5708-751X</t>
  </si>
  <si>
    <t>Australia/New Zealand IODP Consortium (ANZIC); ARC [FT120100759]; ARC LIEF [LE0989539]; Swiss National Science Foundation [PP00P2-144811]; AINSE [AL-NGRA11081, ALNGRA14503]; COPR - NIWA (New Zealand government); Australian Research Council [FT120100759] Funding Source: Australian Research Council</t>
  </si>
  <si>
    <t>Australia/New Zealand IODP Consortium (ANZIC); ARC(Australian Research Council); ARC LIEF(Australian Research Council); Swiss National Science Foundation(Swiss National Science Foundation (SNSF)); AINSE; COPR - NIWA (New Zealand government); Australian Research Council(Australian Research Council)</t>
  </si>
  <si>
    <t>This work was supported by the Australia/New Zealand IODP Consortium (ANZIC), and by an ARC Future Fellowship awarded to Zanna Chase [grant number FT120100759]. Access to ICP-MS instrumentation was supported through ARC LIEF funds [grant number LE0989539]. Samuel L. Jaccard was funded by the Swiss National Science Foundation (grant PP00P2-144811). Radiocarbon analyses at ANSTO were supported by a AINSE grants AL-NGRA11081 and ALNGRA14503. Helen Bostock is supported by COPR funding from NIWA (New Zealand government). Thanks to IODP Kochi Core Center for access to the samples for DSDP 593.</t>
  </si>
  <si>
    <t>0012-821X</t>
  </si>
  <si>
    <t>1385-013X</t>
  </si>
  <si>
    <t>EARTH PLANET SC LETT</t>
  </si>
  <si>
    <t>Earth Planet. Sci. Lett.</t>
  </si>
  <si>
    <t>10.1016/j.epsl.2018.03.036</t>
  </si>
  <si>
    <t>GG2DF</t>
  </si>
  <si>
    <t>Green Submitted, hybrid, Green Accepted</t>
  </si>
  <si>
    <t>WOS:000432499200006</t>
  </si>
  <si>
    <t>Pour, AB; Park, Y; Park, TYS; Hong, JK; Hashim, M; Woo, J; Ayoobi, I</t>
  </si>
  <si>
    <t>Pour, Amin Beiranvand; Park, Yongcheol; Park, Tae-Yoon S.; Hong, Jong Kuk; Hashim, Mazlan; Woo, Jusun; Ayoobi, Iman</t>
  </si>
  <si>
    <t>Regional geology mapping using satellite-based remote sensing approach in Northern Victoria Land, Antarctica</t>
  </si>
  <si>
    <t>Antarctica; Landsat-8; ASTER; Regional geology mapping; Northern Victoria Land</t>
  </si>
  <si>
    <t>OROGENIC GOLD MINERALIZATION; HYDROTHERMAL ALTERATION ZONES; REFLECTION RADIOMETER ASTER; SPACEBORNE THERMAL EMISSION; PACIFIC ACTIVE MARGIN; SOUTH EASTERN DESERT; SNOW-COVER; LANTERMAN RANGE; TECTONIC EVOLUTION; OPTICAL-PROPERTIES</t>
  </si>
  <si>
    <t>Satellite remote sensing imagery is especially useful for geological investigations in Antarctica because of its remoteness and extreme environmental conditions that constrain direct geological survey. The highest percentage of exposed rocks and soils in Antarctica occurs in Northern Victoria Land (NVL). Exposed Rocks in NVL were part of the paleo-Pacific margin of East Gondwana during the Paleozoic time. This investigation provides a satellite-based remote sensing approach for regional geological mapping in the NVL, Antarctica. Landsat-8 and the Advanced Spaceborne Thermal Emission and Reflection Radiometer (ASTER) datasets were used to extract lithological-structural and mineralogical information. Several spectral-band ratio indices were developed using Landsat-8 and ASTER bands and proposed for Antarctic environments to map spectral signatures of snow/ice, iron oxide/hydroxide minerals, Al-OH-bearing and Fe, Mg-OH and CO3 mineral zones, and quartz-rich felsic and mafic-to-ultramafic lithological units. The spectral-band ratio indices were tested and implemented to Level 1 terrain-corrected (L1T) products of Landsat-8 and ASTER datasets covering the NVL. The surface distribution of the mineral assemblages was mapped using the spectral-band ratio indices and verified by geological expeditions and laboratory analysis. Resultant image maps derived from spectral-band ratio indices that developed in this study are fairly accurate and correspond well with existing geological maps of the NVL. The spectral-band ratio indices developed in this study are especially useful for geological investigations in inaccessible locations and poorly exposed lithological units in Antarctica environments.</t>
  </si>
  <si>
    <t>[Pour, Amin Beiranvand; Park, Yongcheol; Park, Tae-Yoon S.; Hong, Jong Kuk; Woo, Jusun] Korea Polar Res Inst KOPRI, Incheon 21990, South Korea; [Hashim, Mazlan] Univ Teknol Malaysia, Geosci &amp; Digital Earth Ctr INSTeG, Utm Skudai 81310, Johor Bahru, Malaysia; [Ayoobi, Iman] Shiraz Univ, Dept Earth Sci, Fac Sci, Shiraz, Iran</t>
  </si>
  <si>
    <t>Korea Polar Research Institute (KOPRI); Universiti Teknologi Malaysia; Shiraz University</t>
  </si>
  <si>
    <t>Pour, AB (corresponding author), Korea Polar Res Inst KOPRI, Incheon 21990, South Korea.</t>
  </si>
  <si>
    <t>beiranvand.amin80@gmail.com; ypark@kopri.re.kr; typark@kopri.re.kr; jkhong@kopri.re.kr; mazlanhashim@utm.my; jusunwoo@kopri.re.kr; i.ayoobi@ymail.com</t>
  </si>
  <si>
    <t>Ayoobi, Iman/P-8931-2018; Beiranvand Pour, Amin/E-1723-2013; Hashim, Mazlan/J-7291-2012</t>
  </si>
  <si>
    <t>Beiranvand Pour, Amin/0000-0001-8783-5120; Hashim, Mazlan/0000-0001-8284-3332; Park, Yongcheol/0000-0002-2880-8381; Ayoobi, Iman/0000-0002-6563-3306</t>
  </si>
  <si>
    <t>Korea Polar Research Institute (KOPRI) [PE17050]; KOPRI [PE17160, PM17030]</t>
  </si>
  <si>
    <t>Korea Polar Research Institute (KOPRI)(Korea Polar Research Institute of Marine Research Placement (KOPRI)); KOPRI(Korea Polar Research Institute of Marine Research Placement (KOPRI))</t>
  </si>
  <si>
    <t>This study was supported by Korea Polar Research Institute (KOPRI) grant PE17050. KOPRI grants PE17160 and PM17030 were also supported the fieldwork data and laboratory analysis. We are thankful to Korea Polar Research Institute (KOPRI) for providing all the facilities for this investigation. We also would like to express our great appreciation to Prof. Takashi Yamanouchi, Dr. Madhusoodhan Satish-Kumar and the anonymous reviewer for their very useful and constructive comments and suggestions for improvement of this manuscript.</t>
  </si>
  <si>
    <t>10.1016/j.polar.2018.02.004</t>
  </si>
  <si>
    <t>WOS:000432370700003</t>
  </si>
  <si>
    <t>Biryol, CB; Lee, SJ; Lees, JM; Shore, MJ</t>
  </si>
  <si>
    <t>Biryol, C. Berk; Lee, Stephen J.; Lees, Jonathan M.; Shore, Michael J.</t>
  </si>
  <si>
    <t>Lithospheric structure of an incipient rift basin: Results from receiver function analysis of Bransfield Strait, NW Antarctic Peninsula</t>
  </si>
  <si>
    <t>Receiver function; Lithosphere; Moho; Slab window; Rift basin</t>
  </si>
  <si>
    <t>SOUTH SHETLAND ISLANDS; WEST ANTARCTICA; STRUCTURE BENEATH; WAVE TOMOGRAPHY; UPPER-MANTLE; KING GEORGE; SLAB; EVOLUTION; WINDOW; RIDGE</t>
  </si>
  <si>
    <t>Bransfield Basin (BB), located northwest of the Antarctic Peninsula (AP) and southeast of the South Shetland Islands (SSI), is the most active section of the Antarctic continental margin. The region has long been (50 Ma) a convergent plate boundary where the Phoenix plate was subducting beneath the Antarctic Plate and is characterized by long-lived arc magmatism and accretion. However, the collision of the Antarctic-Phoenix spreading center with the subduction front near SSI (ca. 4 Ma) gave way to the opening of slab windows and dramatic decrease in the subduction rate of the Phoenix plate beneath AP and SSI. Consequently, the Phoenix slab began to rollback slowly along the South Shetland Trench (SST), giving way to slow extension in the back-arc region and rifting along the BB. Although there is consensus on the factors that control the current deformation and extension of the BB, the origin of the BB and the tectonic configuration of the basin are still unclear. Most of the controversy stems from uncertainties regarding the crustal thickness of the BB. Hence, we computed teleseismic receiver functions for 10 broadband stations in the region that belong to existing permanent and temporary deployments in order obtain robust constraints on the lithospheric structure and crustal thickness of the BB, as well as the AP and SSI. Our results indicate that the crust is thinning from 30 km to 26 km from the AP towards the South Shetland trench and Central BB showing the asymmetrical character of the rift basin. The crustal thickness and Vp/Vs variations are less pronounced along the AP but very significant across the SSB indicating the lithospheric scale segmentation of the South Shetland Block (SSB) and the incipient rift basin under the control of the opening of slab window and the roll-back of stalled Phoenix slab. High Vp/Vs ratios (similar to 1.9) beneath BB and SSI, agree well with the nascent rift character of BB, the presence of a steep Phoenix slab and consequently a wider mantle wedge characterized by the presence of underplating partial melts beneath SSI and BB.</t>
  </si>
  <si>
    <t>[Biryol, C. Berk; Lees, Jonathan M.; Shore, Michael J.] Univ North Carolina Chapel Hill, Dept Geol Sci, Chapel Hill, NC 27599 USA; [Lee, Stephen J.] US Army, Res Lab, Army Res Off, Res Triangle Pk, NC 27709 USA</t>
  </si>
  <si>
    <t>University of North Carolina; University of North Carolina Chapel Hill; University of North Carolina School of Medicine; United States Department of Defense; US Army Research, Development &amp; Engineering Command (RDECOM); US Army Research Laboratory (ARL)</t>
  </si>
  <si>
    <t>Biryol, CB (corresponding author), Univ North Carolina Chapel Hill, Dept Geol Sci, Chapel Hill, NC 27599 USA.</t>
  </si>
  <si>
    <t>biryol@live.unc.edu</t>
  </si>
  <si>
    <t>Biryol, Cemal/0000-0001-9988-2549; Lees, Jonathan/0000-0002-0218-7038</t>
  </si>
  <si>
    <t>Seismological Facilities for the Advancement of Geoscience and EarthScope (SAGE) Proposal of the National Science Foundation [EAR-1261681]; NRC Research Associateship award at U.S. Army Research Laboratory/Army Research Office</t>
  </si>
  <si>
    <t>Seismological Facilities for the Advancement of Geoscience and EarthScope (SAGE) Proposal of the National Science Foundation(National Science Foundation (NSF)NSF - Directorate for Geosciences (GEO)); NRC Research Associateship award at U.S. Army Research Laboratory/Army Research Office</t>
  </si>
  <si>
    <t>This research was performed while the author CB Biryol held an NRC Research Associateship award at U.S. Army Research Laboratory/Army Research Office. The facilities of IRIS Data Services, and specifically the IRIS Data Management Center, were used for access to waveforms, related metadata, and/or derived products used in this study. IRIS Data Services are funded through the Seismological Facilities for the Advancement of Geoscience and EarthScope (SAGE) Proposal of the National Science Foundation under Cooperative Agreement EAR-1261681.</t>
  </si>
  <si>
    <t>10.1016/j.polar.2018.02.003</t>
  </si>
  <si>
    <t>Green Published</t>
  </si>
  <si>
    <t>WOS:000432370700004</t>
  </si>
  <si>
    <t>Krogulec, E; Krogulec, T; Malecki, J; Pietrzykowski, P; Dobak, P</t>
  </si>
  <si>
    <t>Krogulec, Ewa; Krogulec, Tomasz; Malecki, Jerzy; Pietrzykowski, Pawel; Dobak, Pawel</t>
  </si>
  <si>
    <t>Hydrogeological characteristics of aquifer near Arctowski Polish Antarctic Station on King George Island (South Shetland Islands), Antarctica</t>
  </si>
  <si>
    <t>Henryk Arctowski Antarctic Station; Groundwater; Chemical composition of water; Groundwater system; South Shetland Islands, Antarctica</t>
  </si>
  <si>
    <t>TERRESTRIAL WATERS; PENINSULA</t>
  </si>
  <si>
    <t>During the Antarctic summer season of 2015/2016, the groundwater studies were performed in the area of Henryk Arctowski Polish Antarctic Station on King George Island (South Shetland Islands) in Admiralty Bay of Antarctica. Rock and groundwater samples were collected from 14 research excavations down to a depth of 0.8-2.5 m b.g.l. Analyses of surface waters were performed on water samples from streams, mossland, and a drinking water reservoir. The scope of hydrochemical studies comprised analyses of temperature, pH, mineralization, phosphates, nitrates, macroelements and selected microelements. Using empirical formulas, granulometric analysis of rock samples from various depths, measurements of sample moisture, and calculations of the hydraulic conductivity were performed. The groundwater is poorly mineralized, representing chloride-sulfate-bicarbonate-sodium and chloride-bicarbonate-sodium-calcium types. Studies on hydrochemical indicators show a small range of the effect of animal ecosystems on the waters; no effects of organic matter have been identified in the study area. Results of hydrogeochemical studies of waters and observations of groundwater levels in the summer season indicate groundwater recharge in a shallow groundwater circulation system, lateral inflow direction from land toward the seashore, and a low rate of rainwater infiltration. Groundwater drainage occurs through evapotranspiration and water runoff to the sea.</t>
  </si>
  <si>
    <t>[Krogulec, Ewa; Krogulec, Tomasz; Malecki, Jerzy; Dobak, Pawel] Univ Warsaw, Fac Geol, Zwirki &amp; Wigury 93, PL-02089 Warsaw, Poland; [Pietrzykowski, Pawel] Polish Geol Inst, 4 Rakowiecka St, PL-00975 Warsaw, Poland</t>
  </si>
  <si>
    <t>University of Warsaw; Polish Geological Institute - National Research Institute</t>
  </si>
  <si>
    <t>Krogulec, E (corresponding author), Univ Warsaw, Fac Geol, Zwirki &amp; Wigury 93, PL-02089 Warsaw, Poland.</t>
  </si>
  <si>
    <t>ewa.krogulec@uw.edu.pl</t>
  </si>
  <si>
    <t>Krogulec, Ewa/AFH-8224-2022</t>
  </si>
  <si>
    <t>Malecki, Jerzy/0000-0001-9382-0160; Krogulec, Ewa/0000-0002-2230-0720; Dobak, Pawel/0000-0001-7096-0515</t>
  </si>
  <si>
    <t>10.1016/j.polar.2018.02.005</t>
  </si>
  <si>
    <t>WOS:000432370700006</t>
  </si>
  <si>
    <t>Williams, MA; Kelsey, DE; Hand, M; Raimondo, T; Morrissey, LJ; Tucker, NM; Dutch, RA</t>
  </si>
  <si>
    <t>Williams, Megan A.; Kelsey, David E.; Hand, Martin; Raimondo, Tom; Morrissey, Laura J.; Tucker, Naomi M.; Dutch, Rian A.</t>
  </si>
  <si>
    <t>Further evidence for two metamorphic events in the Mawson Continent (vol 30, pg 44, 2017)</t>
  </si>
  <si>
    <t>Correction</t>
  </si>
  <si>
    <t>Cape Denison; Kimban; P-T pseudosection; Sleaford; U-Pb monazite geochronology; erratum</t>
  </si>
  <si>
    <t>Raimondo, Tom/F-3766-2013</t>
  </si>
  <si>
    <t>Raimondo, Tom/0000-0001-9115-9196</t>
  </si>
  <si>
    <t>10.1017/S0954102018000111</t>
  </si>
  <si>
    <t>WOS:000432226300002</t>
  </si>
  <si>
    <t>Schrimpf, M; Naveen, R; Lynch, HJ</t>
  </si>
  <si>
    <t>Schrimpf, Michael; Naveen, Ron; Lynch, Heather J.</t>
  </si>
  <si>
    <t>Population status of the Antarctic shag Phalacrocorax (atriceps) bransfieldensis</t>
  </si>
  <si>
    <t>Antarctic Peninsula; census; Important Bird Area; South Orkney Islands</t>
  </si>
  <si>
    <t>PENINSULA; DYNAMICS; PENGUIN</t>
  </si>
  <si>
    <t>Antarctic shags Phalacrocorax (atriceps) bransfieldensis are the southernmost cormorants in the world and assessment of their conservation status has been complicated by the logistical challenges of obtaining regular estimates of population size, as well as by taxonomic ambiguity of the blue-eyed shag complex. The available information on the taxonomy, distribution and population size of Antarctic shags are reviewed and a refined estimate of the global population is presented: 11 366 breeding pairs, plus an additional 1984 pairs of uncertain taxonomic status in the South Orkney Islands. This analysis suggests a possible spatial shift in the distribution of Antarctic shags similar to that reported for other Antarctic seabirds, which probably reflects a gradient in environmental changes along the western Antarctic Peninsula. This review should aid future conservation and management assessments.</t>
  </si>
  <si>
    <t>[Schrimpf, Michael; Lynch, Heather J.] SUNY Stony Brook, Dept Ecol &amp; Evolut, 106 Life Sci Bldg, Stony Brook, NY 11794 USA; [Naveen, Ron] Chevy Chase, POB 15259, Chevy Chase, MD 20825 USA; [Lynch, Heather J.] SUNY Stony Brook, Inst Adv Computat Sci, Stony Brook, NY 11794 USA</t>
  </si>
  <si>
    <t>State University of New York (SUNY) System; State University of New York (SUNY) Stony Brook; State University of New York (SUNY) System; State University of New York (SUNY) Stony Brook</t>
  </si>
  <si>
    <t>Schrimpf, M (corresponding author), SUNY Stony Brook, Dept Ecol &amp; Evolut, 106 Life Sci Bldg, Stony Brook, NY 11794 USA.</t>
  </si>
  <si>
    <t>michael.schrimpf@stonybrook.edu</t>
  </si>
  <si>
    <t>Schrimpf, Michael/JJC-8063-2023</t>
  </si>
  <si>
    <t>Schrimpf, Michael/0000-0001-7001-1440</t>
  </si>
  <si>
    <t>US National Science Foundation's Office of Polar Programs [1255058]; National Aeronautical and Space Administration [NNX14AC32G]; Directorate For Geosciences; Office of Polar Programs (OPP) [1255058] Funding Source: National Science Foundation</t>
  </si>
  <si>
    <t>US National Science Foundation's Office of Polar Programs(National Science Foundation (NSF)); National Aeronautical and Space Administration(National Aeronautics &amp; Space Administration (NASA)); Directorate For Geosciences; Office of Polar Programs (OPP)(National Science Foundation (NSF)NSF - Directorate for Geosciences (GEO))</t>
  </si>
  <si>
    <t>We acknowledge financial support from the US National Science Foundation's Office of Polar Programs (award no. 1255058) and the National Aeronautical and Space Administration (Award NNX14AC32G). Collection of data by the ASI was made possible by Oceanites and the many associated volunteers who surveyed birds in the field. Many of those surveys were supported by members of the International Association of Antarctica Tour Operators. The authors would like to thank S. Poncet and C. Harris for direct access to archival data, and to W. Fraser for both access to unpublished data and personal communications regarding regional trends. D. Futuyma, C. Graham and R. Veit provided constructive feedback on the manuscript, and the authors thank the anonymous reviewers for their input.</t>
  </si>
  <si>
    <t>10.1017/S0954102017000530</t>
  </si>
  <si>
    <t>WOS:000432226300003</t>
  </si>
  <si>
    <t>Duquette, A; Halanych, KM; Angus, RA; Mcclintock, JB</t>
  </si>
  <si>
    <t>Duquette, A.; Halanych, K. M.; Angus, R. A.; Mcclintock, J. B.</t>
  </si>
  <si>
    <t>Inter and intraspecific comparisons of the skeletal Mg/Ca ratios of high latitude Antarctic echinoderms</t>
  </si>
  <si>
    <t>acidification; calcification; calcium carbonate; Echinodermata</t>
  </si>
  <si>
    <t>OCEAN ACIDIFICATION; CARBON; CALCIFICATION; MAGNESIUM; INCREASE; SEAWATER; CALCITES; IMPACT</t>
  </si>
  <si>
    <t>Echinoderms are vulnerable to ocean acidification because of their high magnesium calcite skeletons. Here, skeletal Mg/Ca ratios were examined within and between individuals of 20 Antarctic echinoderms representative of the asteroids, ophiuroids and echinoids. The highest mean Mg/Ca ratios occurred in the discs and arms (0.111 and 0.110, respectively) of brittle-stars and the lowest in the spines (0.010) of cidaroid sea urchins. Many taxa (11 of 14 species) from the collection sites showed no intraspecific differences in Mg/Ca ratios between given skeletal components. Exceptions were the spines of two regular sea urchins and the skeletal ossicles of the combined arms and disc of a brittle-star. The relationship between skeletal magnesium content and latitude was further evaluated and an inverse correlation was found between Antarctic echinoderm taxa skeletal magnesium content and latitude across 62 degrees to 76 degrees, indicating that the relationship occurs over relatively narrow latitudes. Upon examination of an even narrower range (70 76 degrees latitude), a region where the mineralogy of echinoderm skeletons has not been investigated, the predicted inverse relationship between Mg/Ca ratio and latitude was still observed in sea-stars, but not in brittle-stars or sea urchins.</t>
  </si>
  <si>
    <t>[Duquette, A.; Angus, R. A.; Mcclintock, J. B.] Univ Alabama Birmingham, Dept Biol, Birmingham, AL 35294 USA; [Halanych, K. M.] Auburn Univ, Dept Biol Sci, Auburn, AL 36849 USA</t>
  </si>
  <si>
    <t>University of Alabama System; University of Alabama Birmingham; Auburn University System; Auburn University</t>
  </si>
  <si>
    <t>Mcclintock, JB (corresponding author), Univ Alabama Birmingham, Dept Biol, Birmingham, AL 35294 USA.</t>
  </si>
  <si>
    <t>mcclinto@uab.edu</t>
  </si>
  <si>
    <t>Halanych, Ken M/A-9480-2009</t>
  </si>
  <si>
    <t>NSF [ANT-1043745, ANT-1041022]; Endowed Professorship in Polar and Marine Biology</t>
  </si>
  <si>
    <t>NSF(National Science Foundation (NSF)); Endowed Professorship in Polar and Marine Biology</t>
  </si>
  <si>
    <t>First and foremost, the authors wish to thank the anonymous reviewers of this manuscript for the collective input that significantly improved the final paper. The authors also thank Gopi Samudrala and Yogesh Vohra for their assistance with XRD measurements performed in the UAB Department of Physics. We further thank Pamela Brannock for her assistance with sample collection and preparation aboard the research vessels. We extend our gratitude for logistical and personnel support to Lockheed Martin Company and the Antarctic Support Contract. We appreciate the invaluable assistance with sample preparations provided by Margaret Amsler. The present study was supported in part by NSF grants ANT-1043745 awarded to KMH and ANT-1041022 awarded to JBM, Charles D. Amsler and Robert A. Angus. JBM acknowledges UAB support provided by the Endowed Professorship in Polar and Marine Biology. This is Molette Biology Laboratory contribution 74 and Auburn University Marine Biology Program contribution 170.</t>
  </si>
  <si>
    <t>10.1017/S0954102017000566</t>
  </si>
  <si>
    <t>WOS:000432226300004</t>
  </si>
  <si>
    <t>Rodríguez, C; Iglesias, K; Bícego, MC; Taniguchi, S; Sasaki, ST; Kandratavicius, N; Bueno, C; Brugnoli, E; Venturini, N</t>
  </si>
  <si>
    <t>Rodriguez, Carolina; Iglesias, Karen; Bicego, Marcia C.; Taniguchi, Satie; Sasaki, Silvio Tarou; Kandratavicius, Noelia; Bueno, Carolina; Brugnoli, Ernesto; Venturini, Natalia</t>
  </si>
  <si>
    <t>Hydrocarbons in soil and meltwater stream sediments near Artigas Antarctic Research Station: origin, sources and levels</t>
  </si>
  <si>
    <t>King George Island; n-alkanes; polycyclic aromatic compounds; unresolved complex mixture; Uruguayan research station</t>
  </si>
  <si>
    <t>POLYCYCLIC AROMATIC-HYDROCARBONS; KING GEORGE ISLAND; SOUTH SHETLAND ISLANDS; ORGANIC POLLUTANTS; ADMIRALTY BAY; DAVIS-STATION; POTTER COVE; CONTAMINATION; WATER; PAHS</t>
  </si>
  <si>
    <t>Aliphatic and polycyclic aromatic hydrocarbons (AHs and PAHs) were investigated in soil and meltwater stream sediments near the Uruguayan Artigas Research Station (BCAA). Gas chromatography with flame ionization detection and gas chromatography mass spectrometry were used to determine the composition of AHs and PAHs, respectively. Total AH concentrations were in the range 0.57-2333 mu g g(-1), while total PAH concentrations were in the range 1.36-51 650 ng g(-1).Based on AH and PAH concentrations, sites in the service area and next to the boat storeroom are highly contaminated, while the other sites sampled have moderate to low contamination levels or are not impacted. High unresolved complex mixture concentrations indicate the occurrence of previous petrogenic contamination, but the dominance of low molecular weight and alkyl PAHs indicate recent oil introductions. Anthropogenic hydrocarbons dominate and are related to diesel fuel and organic residue combustion, fuel storage and boat traffic. Petrogenic contamination is relatively high, as at other Antarctic stations, but is restricted to the boat storeroom and the service area where the incinerator, the generator room and fuel tanks are located. Improvements made in fuel management procedures and the dismantling of the old fuel tanks will reduce the risk of diesel leaks and their impact on the environment near the BCAA. This study provides reference information for future environmental monitoring.</t>
  </si>
  <si>
    <t>[Rodriguez, Carolina; Iglesias, Karen; Venturini, Natalia] Univ Republ UdelaR, Inst Ecol &amp; Ciencias Ambientales, Lab Biogeoquim Marina LABIM, Fac Ciencias, Igua 4225, Montevideo 11400, Uruguay; [Bicego, Marcia C.; Taniguchi, Satie; Sasaki, Silvio Tarou] Univ Sao Paulo, Inst Oceanog, Lab Quim Organ Marinha LabQOM, Praca Oceanog 191,Cidade Univ, BR-05508120 Sao Paulo, Brazil; [Kandratavicius, Noelia; Bueno, Carolina; Brugnoli, Ernesto] UdelaR, Inst Ecol &amp; Ciencias Ambientales, Fac Ciencias, Oceanog &amp; Ecol Marina, Igua 4225, Montevideo 11400, Uruguay</t>
  </si>
  <si>
    <t>Universidad de la Republica, Uruguay; Universidade de Sao Paulo; Universidad de la Republica, Uruguay</t>
  </si>
  <si>
    <t>Venturini, N (corresponding author), Univ Republ UdelaR, Inst Ecol &amp; Ciencias Ambientales, Lab Biogeoquim Marina LABIM, Fac Ciencias, Igua 4225, Montevideo 11400, Uruguay.</t>
  </si>
  <si>
    <t>rulo@fcien.edu.uy</t>
  </si>
  <si>
    <t>Sasaki, Silvio Tarou/ITW-1402-2023; Bicego, Marcia C/D-1996-2013; Taniguchi, Satie/D-2552-2013; Venturini, Natalia/B-8087-2012</t>
  </si>
  <si>
    <t>Rodriguez, Carolina/0000-0001-6461-1810; Bicego, Marcia/0000-0002-9939-9853; Venturini, Natalia/0000-0003-3510-3053; Sasaki, Silvio Tarou/0000-0002-9207-241X</t>
  </si>
  <si>
    <t>Instituto Antartico Uruguayo (IAU) [IAU-P-DCC-15]; Laboratorio Tecnologico del Uruguay (LATU) [LATU-5000005779]; PEDECIBA Geociencias; SNI-ANII; Artigas Station crew 'Antarkos XXXI'</t>
  </si>
  <si>
    <t>Instituto Antartico Uruguayo (IAU); Laboratorio Tecnologico del Uruguay (LATU); PEDECIBA Geociencias; SNI-ANII; Artigas Station crew 'Antarkos XXXI'</t>
  </si>
  <si>
    <t>We would like to thank our colleagues from the LabQOM for assistance with laboratory analysis. The Instituto Antartico Uruguayo (IAU) is fully acknowledged for providing support during fieldwork and research execution (Project IAU-P-DCC-15). The Laboratorio Tecnologico del Uruguay (LATU) provided financial support for hydrocarbon analysis (LATU-5000005779). PEDECIBA Geociencias and SNI-ANII supported C. Rodriguez and N. Venturini, respectively. We are also grateful to the Artigas Station crew 'Antarkos XXXI' for their support during sampling surveys. Many thanks to Magdalena Rodriguez who did the sketch of the Artigas Station. We are very grateful for the comments and suggestions of two anonymous reviewers and Professor David W.H. Walton, which helped us to improve an earlier version of this manuscript.</t>
  </si>
  <si>
    <t>10.1017/S0954102018000019</t>
  </si>
  <si>
    <t>WOS:000432226300005</t>
  </si>
  <si>
    <t>Rollinson, DP; Dilley, B; Davies, D; Ryan, PG</t>
  </si>
  <si>
    <t>Rollinson, Dominic P.; Dilley, Ben J.; Davies, Delia; Ryan, Peter G.</t>
  </si>
  <si>
    <t>Year-round movements of white-chinned petrels from Marion Island, south-western Indian Ocean</t>
  </si>
  <si>
    <t>breeding stages; global location sensors; home range; longline fisheries; seabird bycatch</t>
  </si>
  <si>
    <t>PELAGIC LONGLINE FISHERY; PRINCE-EDWARD-ISLANDS; PROCELLARIA-AEQUINOCTIALIS; SEABIRD BYCATCH; DIVING BEHAVIOR; POPULATION-SIZE; ALBATROSSES; MORTALITY; ABUNDANCE; PATTERNS</t>
  </si>
  <si>
    <t>White-chinned petrels Procellaria aequinoctialis L. are the most frequently recorded procellariiform species in the bycatch of Southern Hemisphere longline fisheries. Our study investigated the year-round movements of ten adult white-chinned petrels (seven breeders, three nonbreeders/suspected pre-breeders) from Marion Island tracked with global location sensor (GLS) loggers for three years. Additionally, 20 global positioning system (GPS) tracks were obtained from breeding white-chinned petrels during incubation (n = 9) and chick-rearing (n = 11). All GLS-tagged birds remained, year-round, in the area between southern Africa and Antarctica, not making any major cast/west movements. Three core areas (50% kernels) were utilized: around the Prince Edward Islands (PEI; incubation and early chick-rearing), c. 1000km west of PEI (pre-breeding and early incubation) and around South Africa (non-breeding birds). The only area where 50% utilization kernels overlapped with intensive longline fishing effort was off the Agulhas Bank (non-breeding season). Our results confirm the lack of foraging overlap between the two subspecies; nominate birds (South Georgia/southwestern Indian Ocean) utilize separate areas to P. a. steadi (New Zealand/sub-Antarctic islands), and thus should be treated as separate management units. Knowledge of the year-round movements of a vagile species, such as the white-chinned petrel, is important for its continued conservation.</t>
  </si>
  <si>
    <t>[Rollinson, Dominic P.; Dilley, Ben J.; Davies, Delia; Ryan, Peter G.] Univ Cape Town, DST NRF Ctr Excellence, FitzPatrick Inst African Ornithol, ZA-7701 Rondebosch, South Africa</t>
  </si>
  <si>
    <t>National Research Foundation - South Africa; University of Cape Town</t>
  </si>
  <si>
    <t>Rollinson, DP (corresponding author), Univ Cape Town, DST NRF Ctr Excellence, FitzPatrick Inst African Ornithol, ZA-7701 Rondebosch, South Africa.</t>
  </si>
  <si>
    <t>domrollinson@gmail.com</t>
  </si>
  <si>
    <t>South African Department of Environmental Affairs, through the South African National Antarctic Programme; National Research Foundation and the University of Cape Town</t>
  </si>
  <si>
    <t>We thank Jaimie Cleeland for allowing us to use her modified R package to analyse GLS data. Otto Whitehead, Kim Stevens, Stefan Schoombie and Dominic Henry provided additional help with the analysis of GLS data. Kalinka Rexer-Huber provided useful insights and advice on white-chinned petrel breeding ecology. Logistical and financial support was provided by the South African Department of Environmental Affairs, through the South African National Antarctic Programme, the National Research Foundation and the University of Cape Town. We would like to thank D.W.H Walton and three anonymous reviewers for their helpful comments, which considerably improved the manuscript.</t>
  </si>
  <si>
    <t>10.1017/S0954102018000056</t>
  </si>
  <si>
    <t>WOS:000432226300006</t>
  </si>
  <si>
    <t>Johnson, JS; O'Donnell, JP; Thomas, ER</t>
  </si>
  <si>
    <t>Johnson, Joanne S.; O'Donnell, John P.; Thomas, Elizabeth R.</t>
  </si>
  <si>
    <t>In situ measurements of snow accumulation in the Amundsen Sea Embayment during 2016</t>
  </si>
  <si>
    <t>ERA-interim re-analysis; grounding line; ice sheet; Pine Island Glacier; Thwaites Glacier</t>
  </si>
  <si>
    <t>PINE ISLAND GLACIER; ANTARCTIC ICE-SHEET; WEST ANTARCTICA; THWAITES GLACIER</t>
  </si>
  <si>
    <t>Measurements of snow accumulation are critical for reliable prediction of future ice mass loss and hence projections of sea level change. However, there are currently very few published in situ measurements of snow accumulation in the Pine Island-Thwaites glacier catchment of the Amundsen Sea Embayment, and none from low elevation sites west of 100.77 degrees longitude. Here measurements of snow accumulation over an 11 month period in 2016 are reported for six sites in the Pine Island-Thwaites glacier catchment. The average accumulation rates of 0.10 +/- 0.01 to 1.26 +/- 0.22 m w.c. yr(-1) are comparable with those derived from airborne radar for the period 1985 2009, suggesting very high rates of snowfall, particularly in the vicinity of the grounding line.</t>
  </si>
  <si>
    <t>[Johnson, Joanne S.; Thomas, Elizabeth R.] NERC, British Antarctic Survey, Madingley Rd, Cambridge CB3 0ET, England; [O'Donnell, John P.] Univ Leeds, Sch Earth &amp; Environm, Leeds LS2 9JT, W Yorkshire, England</t>
  </si>
  <si>
    <t>UK Research &amp; Innovation (UKRI); Natural Environment Research Council (NERC); NERC British Antarctic Survey; University of Leeds</t>
  </si>
  <si>
    <t>Johnson, JS (corresponding author), NERC, British Antarctic Survey, Madingley Rd, Cambridge CB3 0ET, England.</t>
  </si>
  <si>
    <t>jsj@bas.ac.uk</t>
  </si>
  <si>
    <t>Thomas, Elizabeth Ruth/ADF-3660-2022</t>
  </si>
  <si>
    <t>Thomas, Elizabeth Ruth/0000-0002-3010-6493; O'Donnell, John Paul/0000-0003-1524-2312</t>
  </si>
  <si>
    <t>NERC [K012088/1]; NERC [NE/R016038/1, bas0100030, NE/K011278/1, bas0100034, NE/K012088/1] Funding Source: UKRI</t>
  </si>
  <si>
    <t>NERC(UK Research &amp; Innovation (UKRI)Natural Environment Research Council (NERC)); NERC(UK Research &amp; Innovation (UKRI)Natural Environment Research Council (NERC))</t>
  </si>
  <si>
    <t>We are grateful to all in British Antarctic Survey (BAS) Operations and at Rothera Research Station for their field support, especially James Wake, Mike Dinn and the BAS Air Unit. Field assistants Iain Rudkin, Alistair Rose, Alistair Docherty and Steve Windross, and boating officer Zac Priestly assisted with depoting the equipment at D115 andmeasuring snow depth. Wethank LizMorris andAndy Smith for providing density profiles from the iSTAR sites. Peter Neff and an anonymous reviewer provided thorough reviews that significantly improved the manuscript. JSJ acknowledges the support of NERC grant K012088/1.</t>
  </si>
  <si>
    <t>10.1017/S0954102018000068</t>
  </si>
  <si>
    <t>Green Accepted</t>
  </si>
  <si>
    <t>WOS:000432226300007</t>
  </si>
  <si>
    <t>Bigg, GR; Cropper, TE; O'Neill, CK; Arnold, AK; Fleming, AH; Marsh, R; Ivchenko, V; Fournier, N; Osborne, M; Stephens, R</t>
  </si>
  <si>
    <t>Bigg, Grant R.; Cropper, T. E.; O'Neill, Clare K.; Arnold, Alex K.; Fleming, A. H.; Marsh, R.; Ivchenko, V.; Fournier, Nicolas; Osborne, Mike; Stephens, Robin</t>
  </si>
  <si>
    <t>A model for assessing iceberg hazard</t>
  </si>
  <si>
    <t>NATURAL HAZARDS</t>
  </si>
  <si>
    <t>Iceberg; Modelling; Risk assessment; Falklands; Iceberg hazard</t>
  </si>
  <si>
    <t>SOUTHERN-OCEAN; INTERACTIVE ICEBERGS; CLIMATE MODEL; GREENLAND; CIRCULATION; RESOLUTION; SYSTEM; DRIFT; NEMO; FLUX</t>
  </si>
  <si>
    <t>With the polar regions opening up to more marine activities but iceberg numbers more likely to increase than decline as a result of global warming, the risk from icebergs to shipping and offshore facilities is increasing. The NW Atlantic iceberg hazard has been well monitored by the International Ice Patrol for a century, but many other polar regions have little detailed climatological knowledge of the iceberg risk. Here, we develop a modelling approach to assessing iceberg hazard. This uses the region of the Falklands Plateau and its shipping routes for a case study, but the approach has general geographical applicability and can be used for assessing iceberg hazard for routes or fixed locations. The iceberg risk for a number of locations selected from the main shipping routes in the SW Atlantic is assessed by using an iceberg model, forced by the output from a high-resolution ocean model. The iceberg model was seeded with icebergs around the edge of the modelled region using a number of scenarios for the seeding distribution, based on a combination of idealised, modelled and observed iceberg fluxes from the Southern Ocean. This enabled us to determine measures of iceberg risk linked to a mix of starting location and the likelihood of icebergs being encountered in such a position. For our study area, the main area of iceberg risk is linked to the East Falklands Current, but small, yet nonzero, risk covers much of the east and north of the region.</t>
  </si>
  <si>
    <t>[Bigg, Grant R.; Cropper, T. E.] Univ Sheffield, Dept Geog, Winter St, Sheffield S10 2TN, S Yorkshire, England; [O'Neill, Clare K.; Arnold, Alex K.; Fournier, Nicolas] Met Off, Fitzroy Rd, Exeter, Devon, England; [Fleming, A. H.] British Antarctic Survey, Madingley Rd, Cambridge, England; [Marsh, R.; Ivchenko, V.] Univ Southampton, Natl Oceanog Ctr, European Way, Southampton, Hants, England; [Osborne, Mike] Premier Oil Plc, 23 Lower Belgrave St, London, England; [Stephens, Robin] BMT ARGOSS, Solent Business Pk, Fareham, Hants, England</t>
  </si>
  <si>
    <t>University of Sheffield; Met Office - UK; UK Research &amp; Innovation (UKRI); Natural Environment Research Council (NERC); NERC British Antarctic Survey; University of Southampton; NERC National Oceanography Centre</t>
  </si>
  <si>
    <t>Bigg, GR (corresponding author), Univ Sheffield, Dept Geog, Winter St, Sheffield S10 2TN, S Yorkshire, England.</t>
  </si>
  <si>
    <t>grant.bigg@sheffield.ac.uk</t>
  </si>
  <si>
    <t>Bigg, Grant/GXW-2219-2022; O'Neill, Clare/A-2936-2012; Cropper, Thomas E/M-7611-2013</t>
  </si>
  <si>
    <t>O'Neill, Clare/0000-0002-8408-6387; Cropper, Thomas/0000-0002-3696-7905</t>
  </si>
  <si>
    <t>Premier Oil; NERC [bas010011] Funding Source: UKRI</t>
  </si>
  <si>
    <t>Premier Oil; NERC(UK Research &amp; Innovation (UKRI)Natural Environment Research Council (NERC))</t>
  </si>
  <si>
    <t>The authors thank Premier Oil for funding this study. We would like to thank NOAA for providing the surface drifter data (available from www.aoml.noaa.gov/envids/index.php).</t>
  </si>
  <si>
    <t>0921-030X</t>
  </si>
  <si>
    <t>1573-0840</t>
  </si>
  <si>
    <t>NAT HAZARDS</t>
  </si>
  <si>
    <t>Nat. Hazards</t>
  </si>
  <si>
    <t>10.1007/s11069-018-3243-x</t>
  </si>
  <si>
    <t>Geosciences, Multidisciplinary; Meteorology &amp; Atmospheric Sciences; Water Resources</t>
  </si>
  <si>
    <t>Geology; Meteorology &amp; Atmospheric Sciences; Water Resources</t>
  </si>
  <si>
    <t>GF9WL</t>
  </si>
  <si>
    <t>Green Accepted, Green Published</t>
  </si>
  <si>
    <t>WOS:000432329700026</t>
  </si>
  <si>
    <t>Chu, JF</t>
  </si>
  <si>
    <t>Chu, Jifeng</t>
  </si>
  <si>
    <t>On a nonlinear model for arctic gyres</t>
  </si>
  <si>
    <t>ANNALI DI MATEMATICA PURA ED APPLICATA</t>
  </si>
  <si>
    <t>Differential equation; Integral equation; Ocean gyre</t>
  </si>
  <si>
    <t>ANTARCTIC CIRCUMPOLAR WAVE</t>
  </si>
  <si>
    <t>We prove some results on the existence and uniqueness of solutions to a recently derived nonlinear model for the ocean flow in arctic gyres. We derive an equivalent formulation of the problem in the form of an integral equation on a semi-infinite interval and then use fixed point techniques. We also obtain some stability result.</t>
  </si>
  <si>
    <t>[Chu, Jifeng] Shanghai Normal Univ, Dept Math, Shanghai 200234, Peoples R China</t>
  </si>
  <si>
    <t>Shanghai Normal University</t>
  </si>
  <si>
    <t>Chu, JF (corresponding author), Shanghai Normal Univ, Dept Math, Shanghai 200234, Peoples R China.</t>
  </si>
  <si>
    <t>jifengchu@126.com</t>
  </si>
  <si>
    <t>chu, jifeng/D-1414-2013</t>
  </si>
  <si>
    <t>National Natural Science Foundation of China [11671118]</t>
  </si>
  <si>
    <t>National Natural Science Foundation of China(National Natural Science Foundation of China (NSFC))</t>
  </si>
  <si>
    <t>This work was supported by the National Natural Science Foundation of China (Grant No. 11671118).</t>
  </si>
  <si>
    <t>0373-3114</t>
  </si>
  <si>
    <t>1618-1891</t>
  </si>
  <si>
    <t>ANN MAT PUR APPL</t>
  </si>
  <si>
    <t>Ann. Mat. Pura Appl.</t>
  </si>
  <si>
    <t>10.1007/s10231-017-0696-6</t>
  </si>
  <si>
    <t>Mathematics, Applied; Mathematics</t>
  </si>
  <si>
    <t>Mathematics</t>
  </si>
  <si>
    <t>GF9OG</t>
  </si>
  <si>
    <t>WOS:000432307100001</t>
  </si>
  <si>
    <t>Puric, J; Vieira, G; Cavalca, LB; Sette, LD; Ferreira, H; Vieira, MLC; Sass, DC</t>
  </si>
  <si>
    <t>Puric, J.; Vieira, G.; Cavalca, L. B.; Sette, L. D.; Ferreira, H.; Vieira, M. L. C.; Sass, D. C.</t>
  </si>
  <si>
    <t>Activity of Antarctic fungi extracts against phytopathogenic bacteria</t>
  </si>
  <si>
    <t>LETTERS IN APPLIED MICROBIOLOGY</t>
  </si>
  <si>
    <t>antibacterial; passionfruit; phytopathogen; tomato; Xanthomonas</t>
  </si>
  <si>
    <t>XANTHOMONAS; TOMATO; SPOT</t>
  </si>
  <si>
    <t>This study aims to obtain secondary metabolites extracts from filamentous fungi isolated from soil and marine sediments from Antarctic ecosystems and to assess its potential antibacterial activity on Xanthomonas euvesicatoria and Xanthomonas axonopodis pv. passiflorae (phytopathogenic bacteria causing diseases in pepper and tomato and passionfruit, respectively). Among the 66 crude intracellular and extracellular extracts obtained from fungi recovered from soil and 79 obtained from marine sediment samples, 25 showed the ability to prevent the growth of X. euvesicatoria invitro and 28 showed the ability to prevent the growth of X. axonopodis pv. passiflorae invitro. Intracellular and extracellular extracts from soil fungi inhibited around 97% of X. euvesicatoria and 98% of X. axonopodis pv. passiflorae at 2.1 mg ml(-1). The average inhibition rates against X. euvesicatoria and X. axonopodis pv. passiflorae for intracellular and extracellular extracts from marine sediments fungi were around 96 and 97%, respectively, at 3.0 mg ml(-1). Extracts containing secondary metabolites with antimicrobial activity against X. euvesicatoria and X. axonopodis pv. passiflorae were obtained, containing possible substitutes for the products currently used to control these phytopathogens.</t>
  </si>
  <si>
    <t>[Puric, J.; Vieira, G.; Cavalca, L. B.; Sette, L. D.; Ferreira, H.; Sass, D. C.] Sao Paulo State Univ UNESP Julio de Mesquita Filh, Inst Biosci, Dept Biochem &amp; Microbiol, Rio Claro, SP, Brazil; [Vieira, M. L. C.] Escola Super Agr Luis Dequeiroz, Dept Genet, Piracicaba, Brazil</t>
  </si>
  <si>
    <t>Universidade Estadual Paulista; Universidade de Sao Paulo</t>
  </si>
  <si>
    <t>Sass, DC (corresponding author), Sao Paulo State Univ UNESP Julio de Mesquita Filh, Inst Biosci, Dept Biochem &amp; Microbiol, Rio Claro, SP, Brazil.</t>
  </si>
  <si>
    <t>daiane_sass@rc.unesp.br</t>
  </si>
  <si>
    <t>Sette, Lara Durães/C-8298-2013; Sass, Daiane Cristina/AHE-8650-2022; Vieira, Maria Lucia Carneiro/D-1628-2012; Vieira, Gabrielle/Q-6455-2019; Puric, Jagos/H-9128-2019</t>
  </si>
  <si>
    <t>Sette, Lara Durães/0000-0002-5980-3786; Sass, Daiane Cristina/0000-0001-9466-5633; Vieira, Maria Lucia Carneiro/0000-0003-0341-5714; Vieira, Gabrielle/0000-0001-8364-4044</t>
  </si>
  <si>
    <t>FundacAo de Amparo a Pesquisa do Estado de SAo Paulo (FAPESP) [2016/07957-7, 2015/20629-6]; Fundacao de Amparo a Pesquisa do Estado de Sao Paulo (FAPESP) [15/20629-6, 16/07957-7] Funding Source: FAPESP</t>
  </si>
  <si>
    <t>FundacAo de Amparo a Pesquisa do Estado de SAo Paulo (FAPESP)(Fundacao de Amparo a Pesquisa do Estado de Sao Paulo (FAPESP)); Fundacao de Amparo a Pesquisa do Estado de Sao Paulo (FAPESP)(Fundacao de Amparo a Pesquisa do Estado de Sao Paulo (FAPESP))</t>
  </si>
  <si>
    <t>The authors thank Coordenacao de Aperfeicoamento de Pessoal de Nivel Superior (CAPES), Fundacao de Amparo a Pesquisa do Estado de Sao Paulo (FAPESP) (grants nos 2015/20629-6 and 2016/07957-7), Conselho Nacional de Desenvolvimento Cientifico e Tecnologico (CNPq) e Pro-Reitoria de Pesquisa da UNESP.</t>
  </si>
  <si>
    <t>0266-8254</t>
  </si>
  <si>
    <t>1472-765X</t>
  </si>
  <si>
    <t>LETT APPL MICROBIOL</t>
  </si>
  <si>
    <t>Lett. Appl. Microbiol.</t>
  </si>
  <si>
    <t>10.1111/lam.12875</t>
  </si>
  <si>
    <t>Biotechnology &amp; Applied Microbiology; Microbiology</t>
  </si>
  <si>
    <t>GF5PJ</t>
  </si>
  <si>
    <t>WOS:000432019700009</t>
  </si>
  <si>
    <t>Plint, AG; Krawetz, JR; Buckley, RA; Vannelli, KM; Walaszczyk, I</t>
  </si>
  <si>
    <t>Plint, A. Guy; Krawetz, Jessica R.; Buckley, Robin A.; Vannelli, Kathleen M.; Walaszczyk, Ireneusz</t>
  </si>
  <si>
    <t>Tectonic, eustatic and climatic controls on marginal-marine sedimentation across a flexural depocentre: Paddy Member of Peace River Formation (Late Albian), Western Canada Foreland Basin</t>
  </si>
  <si>
    <t>DEPOSITIONAL RECORD</t>
  </si>
  <si>
    <t>Albian; alluvial; clastic sedimentation; climate-change; cretaceous; lagoonal; sea-level change; shallow marine; tectonics; Western Canada Foreland Basin</t>
  </si>
  <si>
    <t>BOULDER CREEK FORMATION; CENOMANIAN DUNVEGAN FORMATION; NE BRITISH-COLUMBIA; VIKING FORMATION; CENTRAL SASKATCHEWAN; ALLUVIAL SEQUENCES; LATE PLEISTOCENE; INCISED-VALLEY; COLORADO GROUP; JOLI FOU</t>
  </si>
  <si>
    <t>In north-central Alberta and adjacent British Columbia, clastic strata of the middle to late Albian Peace River and Shaftesbury formations were deposited in alluvial to shallow-marine environments across the foredeep of the Western Canada Foreland Basin. A high-resolution, log and core-based allostratigraphic framework for the Paddy Member of the Peace River Formation established nine allomembers, PA to PI, bounded by flooding surfaces and apparently equivalent non-marine surfaces. Within the estimated 2 Myr. duration of the Paddy, allomembers allow the evolving palaeogeography and changing relationship between accommodation and sedimentation rates to be analysed on time-steps on the order of 10(5) years. Paddy strata fill an arcuate depocentre ca 300 km wide, across which the rocks thin eastward from 125 m to ca 5 to 10 m. The northern part of the basin is occupied by muddy, offshore marine deposits that pass abruptly southward into a linear, WSW-ENE-trending body of sandstone deposited in a wave-dominated barrier-strandplain, at least 350 km long. Extending &gt;200 km to the south of the strandplain was a region of shallow brackish to freshwater lagoons and lakes that graded to the SW into alluvial facies. Within the lagoon region, few-m thick, elongate and patchy sandstones represent river-dominated deltas. In allomembers PA to PG, these sandstones are concentrated in the west and south, implying supply from the western Cordillera. In allomembers PH and PI, sandstones are mainly in the east and have a distinctive, quartz-rich composition. They can be correlated eastward into the coeval Pelican Formation, and were sourced probably from the Canadian Shield on the opposite side of the basin. In the western foredeep, alluvial rocks comprise aggradational, unconfined floodplain deposits with ribbon sandstones, dissected, on at least nine separate levels, by palaeovalleys that are confined to the proximal foredeep. Valleys are 10 to 30m deep, few km wide, and filled with multi-storey channel-bars of pebbly coarse sandstone or conglomerate. Valleys cut down from well-developed interfluve palaeosols that record a falling and then rising water table. Alternating aggradation and degradation, and advance and retreat of the alluvial gravel front is attributed to cycles of varying rainfall intensity, rather than tectonism or eustasy. Apparently, coeval transgressive-regressive successions in the lagoon and marine regions are attributed to few-m scale eustatic changes. On the NE margin of the basin, tidal sandstone fills a northward-opening estuary cut on the basal Paddy unconformity. This sandstone contains the first well-documented specimens of Gnesioceramus comancheanus (Cragin), proving contemporaneity with at least part of the marine Joli Fou Formation to the east. Paddy allomembers change shape upward from short blunt wedges, through more acutely tapered wedges, to sheets. This change reflects initially rapid flexural subsidence, attributed to active thickening of the adjacent orogenic wedge. A waning rate of deformation permitted wider dispersal of sediment across the basin, driving broad isostatic subsidence beneath increasingly sheet-like rock bodies. A major hiatal surface, VE3, records non-deposition or subtle erosion attributed to erosional unloading and uplift of the adjacent orogen. A subsequent marine transgression is attributed to renewed thickening of the tectonic wedge that triggered deposition of marine mudstone that thickens westward from 0 to &gt;110 m over 300 km. A postulated Milankovitch-band climatic control on both local gravel supply (via fluctuating rainfall), and shoreline movement (via ?Antarctic glacio-eustasy or groundwater storage), might account for cycles of alternating incision and aggradation in the alluvial realm. The same mechanism may also explain why shallow-marine units such as the Cretaceous Viking and Cardium formations contain abundant conglomerate in lowstand shoreface deposits (higher river discharge), yet have highstand shorelines dominated by sandstone (lower river discharge).</t>
  </si>
  <si>
    <t>[Plint, A. Guy; Krawetz, Jessica R.; Buckley, Robin A.; Vannelli, Kathleen M.] Univ Western Ontario, Dept Earth Sci, London, ON N6A 5B7, Canada; [Walaszczyk, Ireneusz] Univ Warsaw, Inst Geol, Fac Geol, Zwirki &amp; Wigury 93, PL-02089 Warsaw, Poland; [Krawetz, Jessica R.] Canadian Nat Resources Ltd, Suite 2500,855 2nd St SW, Calgary, AB T2P 4J8, Canada; [Buckley, Robin A.] Husky Energy Inc, 707 8th Ave SW,Box 6525 Stn D, Calgary, AB T2P 3G7, Canada; [Vannelli, Kathleen M.] Univ Limerick, Grad Entry Med Sch, Limerick V94 T9PX, Ireland</t>
  </si>
  <si>
    <t>Western University (University of Western Ontario); University of Warsaw; Polish Geological Institute - National Research Institute; University of Limerick</t>
  </si>
  <si>
    <t>Plint, AG (corresponding author), Univ Western Ontario, Dept Earth Sci, London, ON N6A 5B7, Canada.</t>
  </si>
  <si>
    <t>gplint@uwo.ca</t>
  </si>
  <si>
    <t>Walaszczyk, Ireneusz/ABE-7229-2021</t>
  </si>
  <si>
    <t>Vannelli, Kathleen/0000-0001-8357-1906</t>
  </si>
  <si>
    <t>CNRL Ltd.; NSERC; Geoscience BC Scholarship; AAPG Grant-in-Aid program; Anadarko Corp.; Devon Petroleum; EnCana; Exxon-Mobil; Husky Energy; Talisman Energy; NCN Grant [UMO-2015/17/B/ST10/03228]</t>
  </si>
  <si>
    <t>CNRL Ltd.; NSERC(Natural Sciences and Engineering Research Council of Canada (NSERC)); Geoscience BC Scholarship; AAPG Grant-in-Aid program; Anadarko Corp.; Devon Petroleum; EnCana; Exxon-Mobil; Husky Energy; Talisman Energy; NCN Grant</t>
  </si>
  <si>
    <t>Fieldwork for this study took place over eight seasons, during which we were ably and cheerfully assisted by Omar Al-Mufti, Piotr Angiel, Kim Bastedo, Sarah CoDyre, Meriem Grifi, Olivia Henderson, Beth Hooper, Magdalena Hrnkova, Stephen Morrow, Tessa Plint, Joel Shank and Kristyn Smith. Kevin Sharman in Tumbler Ridge facilitated access to the Quintette Mine and other localities. Krawetz is grateful to Anadarko Corp. (now CNRL Ltd.) and NSERC for an Industrial Postgraduate Scholarship; Buckley acknowledges a Geoscience BC Scholarship and funding from the AAPG Grant-in-Aid program; Vannelli acknowledges an NSERC Postgraduate Scholarship. Plint acknowledges NSERC for Discovery Grant funding over three grant cycles. We also thank the British Columbia Ministry of Energy, Mines and Petroleum Resources for charge-free access to the Charlie Lake core library; Divestco Ltd. for free access to digital well logs; Imperial Oil Resources Canada for their donation of a microfiche log library, and EnCana Ltd. for donation of a gamma-ray spectrometer. Additional funding for our regional studies of Albian rocks was provided by Anadarko Corp., Devon Petroleum, EnCana, Exxon-Mobil, Husky Energy and Talisman Energy. Walaszczyk acknowledges NCN Grant UMO-2015/17/B/ST10/03228, and is grateful to Kevin McKinney (U.S. Geological Survey, Denver) for his assistance with access to specimens. We appreciate informal reviews of the manuscript by Matea Drljepan and Slavena Galic. We are grateful to two anonymous referees whose comments improved the clarity and accuracy of the text. The authors declare no conflict of interest with regard to this publication.</t>
  </si>
  <si>
    <t>2055-4877</t>
  </si>
  <si>
    <t>DEPOS REC</t>
  </si>
  <si>
    <t>Depos. Rec.</t>
  </si>
  <si>
    <t>10.1002/dep2.37</t>
  </si>
  <si>
    <t>Geology</t>
  </si>
  <si>
    <t>GF1FC</t>
  </si>
  <si>
    <t>WOS:000431677700001</t>
  </si>
  <si>
    <t>Zhou, TT; Wang, XC; Yan, J; Li, Y</t>
  </si>
  <si>
    <t>Zhou, Tingting; Wang, Xichang; Yan, Juan; Li, Yan</t>
  </si>
  <si>
    <t>Gene analysis and structure prediction for the cold-adaption mechanism of trypsin from the krill Euphausia superba (Dana, 1852)</t>
  </si>
  <si>
    <t>JOURNAL OF THE SCIENCE OF FOOD AND AGRICULTURE</t>
  </si>
  <si>
    <t>Euphausia superba; trypsin; cold adaption; transcriptome sequencing; structure prediction</t>
  </si>
  <si>
    <t>PURIFICATION; ENZYMES; PROTEINASES; FISH; PROTEASES</t>
  </si>
  <si>
    <t>BACKGROUNDThe ability of Antarctic krill, Euphausia superba (Dana, 1852), to thrive in a cold environment comes from its capacity to synthesize cold-adapted enzymes. Its trypsin, as a main substance in the metabolic reactions, plays a key role in the adaption to low temperatures. However, the progress of research on its cold-adaption mechanism is being influenced due to the limited information on its gene and spatial structure. RESULTSWe studied the gene of E. superba trypsin with transcriptome sequencing first, and then discussed its cold-adaption mechanism with the full gene and predicted structure basing on bioinformatics. The results showed the proportion of certain residues played important roles in the cold-adaptation behavior for trypsin. Furthermore, a higher proportion of random coils and reduced steric hindrance might also be key factors promoting its cold adaption. CONCLUSIONThis research aimed to reveal the cold-adaption mechanism of E. superba trypsin and provide support for basic research on molecular modification by site-directed mutagenesis of complementary DNA used to produce new and improved recombinant variants with cold adaption. Furthermore, it may broaden its commercial application on minimizing undesirable changes elevated at higher temperature in food processing and in treatment of trauma and inflammation in medicine. (c) 2017 Society of Chemical Industry</t>
  </si>
  <si>
    <t>[Zhou, Tingting; Wang, Xichang; Yan, Juan; Li, Yan] Shanghai Ocean Univ, Coll Food Sci &amp; Technol, 999 Hu Cheng Huan Rd, Shanghai 201306, Peoples R China; [Wang, Xichang; Yan, Juan] Shanghai Engn Res Ctr Aquat Prod Proc &amp; Preservat, Shanghai, Peoples R China; [Wang, Xichang; Yan, Juan] Minist Agr, Lab Qual &amp; Safety Risk Assessment Aquat Prod Stor, Shanghai, Peoples R China</t>
  </si>
  <si>
    <t>Shanghai Ocean University; Ministry of Agriculture &amp; Rural Affairs</t>
  </si>
  <si>
    <t>Wang, XC; Yan, J (corresponding author), Shanghai Ocean Univ, Coll Food Sci &amp; Technol, 999 Hu Cheng Huan Rd, Shanghai 201306, Peoples R China.</t>
  </si>
  <si>
    <t>xcwang@shou.edu.cn; j-yan@shou.edu.cn</t>
  </si>
  <si>
    <t>State Key Laboratory of Ocean Engineering (Shanghai Jiao Tong University) [1609]; National High Technology Research and Development Program ('863' Program) [2011AA090801]</t>
  </si>
  <si>
    <t>State Key Laboratory of Ocean Engineering (Shanghai Jiao Tong University); National High Technology Research and Development Program ('863' Program)(National High Technology Research and Development Program of China)</t>
  </si>
  <si>
    <t>This research was supported by National High Technology Research and Development Program ('863' Program, grant number 2011AA090801, and State Key Laboratory of Ocean Engineering (Shanghai Jiao Tong University, grant number 1609).</t>
  </si>
  <si>
    <t>0022-5142</t>
  </si>
  <si>
    <t>1097-0010</t>
  </si>
  <si>
    <t>J SCI FOOD AGR</t>
  </si>
  <si>
    <t>J. Sci. Food Agric.</t>
  </si>
  <si>
    <t>10.1002/jsfa.8804</t>
  </si>
  <si>
    <t>Agriculture, Multidisciplinary; Chemistry, Applied; Food Science &amp; Technology</t>
  </si>
  <si>
    <t>Agriculture; Chemistry; Food Science &amp; Technology</t>
  </si>
  <si>
    <t>GF1AB</t>
  </si>
  <si>
    <t>WOS:000431662300023</t>
  </si>
  <si>
    <t>Schwaller, MR; Lynch, HJ; Tarroux, A; Prehn, B</t>
  </si>
  <si>
    <t>Schwaller, Mathew R.; Lynch, Heather J.; Tarroux, Arnaud; Prehn, Brandon</t>
  </si>
  <si>
    <t>A continent-wide search for Antarctic petrel breeding sites with satellite remote sensing</t>
  </si>
  <si>
    <t>Antarctic petrel; Flying seabirds; Landsat; Antarctica; Guano; Breeding colony; Thalassoica antarctica</t>
  </si>
  <si>
    <t>PRINCE-CHARLES MOUNTAINS; DRONNING-MAUD LAND; THALASSOICA-ANTARCTICA; ADELIE PENGUIN; COLONIES; SVARTHAMAREN; SEABIRDS</t>
  </si>
  <si>
    <t>The Antarctic petrel (Thalassoica antarctica) has been identified as a key species for monitoring the status and health of the Southern Ocean and Antarctic ecosystems. Breeding colonies of the Antarctic petrel are often found on isolated nunataks far from inhabited stations, some up to hundreds of kilometers from the shoreline. It is difficult therefore to monitor and census known colonies, and it is believed that undiscovered breeding locations remain to be found. We developed an algorithm that can detect Antarctic petrel colonies and used it to complete a continent-wide survey using Landsat-8 Operational Line Imager (OLI) imagery in Antarctica up to the southernmost extent of Landsat's orbital view at 82.68 degrees S. Our survey successfully identified 8 known Antarctic petrel colonies containing 86% of the known population of Antarctic petrels. The survey also identified what appears to be a significant population of breeding birds in areas not known to host breeding Antarctic petrel colonies. Our survey suggests that the breeding population at Mt. Biscoe (66 degrees 13'S 51 degrees 21'E), currently reported to be in the 1000s, may actually be on the order of 400,000 breeding pairs, which would make it the largest known Antarctic petrel breeding colony in the world. The algorithm represents a first-ever attempt to apply satellite remote sensing to assess the distribution and abundance of the Antarctic petrel on a continent-wide basis. As such, we note several algorithm shortcomings and identify research topics for algorithm improvement. Even with these caveats, our algorithm for identifying Antarctic petrel colonies with Landsat imagery demonstrates the feasibility of monitoring their populations using satellite remote sensing and identifies breeding locations, including Mt. Biscoe, that should be considered high priorities for validation with directed field surveys.</t>
  </si>
  <si>
    <t>[Schwaller, Mathew R.; Lynch, Heather J.] SUNY Stony Brook, Dept Ecol &amp; Evolut, Stony Brook, NY 11794 USA; [Tarroux, Arnaud] Norwegian Polar Res Inst, Tromso, Norway; [Tarroux, Arnaud] Norwegian Inst Nat Res, Trondheim, Norway; [Prehn, Brandon] Univ British Columbia, Fac Forestry, Vancouver, BC, Canada</t>
  </si>
  <si>
    <t>State University of New York (SUNY) System; State University of New York (SUNY) Stony Brook; Norwegian Polar Institute; Norwegian Institute Nature Research; University of British Columbia</t>
  </si>
  <si>
    <t>Schwaller, MR (corresponding author), SUNY Stony Brook, Dept Ecol &amp; Evolut, Stony Brook, NY 11794 USA.</t>
  </si>
  <si>
    <t>matt.schwaller@gmail.com</t>
  </si>
  <si>
    <t>Tarroux, Arnaud/AAE-5173-2021</t>
  </si>
  <si>
    <t>Tarroux, Arnaud/0000-0001-8306-6694</t>
  </si>
  <si>
    <t>Woody Turner and Cindy Schmidt of NASA's Ecological Forecasting Program [NNX14AC32G]; NASA [686208, NNX14AC32G] Funding Source: Federal RePORTER</t>
  </si>
  <si>
    <t>Woody Turner and Cindy Schmidt of NASA's Ecological Forecasting Program; NASA(National Aeronautics &amp; Space Administration (NASA))</t>
  </si>
  <si>
    <t>We wish to thank Woody Turner and Cindy Schmidt of NASA's Ecological Forecasting Program for funding and for enlightened management of this work under grant NNX14AC32G. We also thank Andy Michaelis from NASA Ames Research Center for help in navigating the Pleiades supercomputer, and Joey Griebel from the Harris Corporation for help with licensing ENVI + IDL on Pleiades.</t>
  </si>
  <si>
    <t>10.1016/j.rse.2018.02.071</t>
  </si>
  <si>
    <t>WOS:000431164300032</t>
  </si>
  <si>
    <t>Leroux, E; Aslanian, D; Rabineau, M; Pellen, R; Moulin, M</t>
  </si>
  <si>
    <t>Leroux, Estelle; Aslanian, Daniel; Rabineau, Marina; Pellen, Romain; Moulin, Maryline</t>
  </si>
  <si>
    <t>The late Messinian event: A worldwide tectonic revolution</t>
  </si>
  <si>
    <t>TERRA NOVA</t>
  </si>
  <si>
    <t>PACIFIC-ANTARCTIC RIDGE; SEA-LEVEL; SALINITY CRISIS; LATE MIOCENE; CLIMATE-CHANGE; PLATE MOTIONS; EVOLUTION; EROSION; BASIN; EPISODES</t>
  </si>
  <si>
    <t>A review of geological and geophysical observations points towards a worldwide kinematic change at around 6 Ma. The synchronicity of many manifestations (tectonics, magmatism, kinematics, ecological events, among others) at similar to 6 Ma, similar to those recognized from time to time on the geological time-scale, argues for a global geodynamic event that has led to many regional consequences on Earth's surface. In particular, we propose that this global event was the main trigger for the three fold increase in sediment deposits in the world ocean over the last similar to 5 Ma, but also for the onset of the Messinian Salinity Crisis in the Mediterranean area, one of the most severe ecological crises in the Earth's history. We suggest this Messinian revolution to be the last occurrence of cyclic successions of global events.</t>
  </si>
  <si>
    <t>[Leroux, Estelle; Aslanian, Daniel; Moulin, Maryline] IFREMER, ZI Pointe Diable, Plouzane, France; [Rabineau, Marina; Pellen, Romain] CNRS, LGO, UBO, UBS,UMR6538, Plouzane, France</t>
  </si>
  <si>
    <t>Ifremer; Universite de Bretagne Occidentale; Centre National de la Recherche Scientifique (CNRS); CNRS - National Institute for Earth Sciences &amp; Astronomy (INSU)</t>
  </si>
  <si>
    <t>Leroux, E (corresponding author), IFREMER, REM, GM, LGS, Plouzane, France.</t>
  </si>
  <si>
    <t>Estelle.Leroux@ifremer.fr</t>
  </si>
  <si>
    <t>Marina, RABINEAU/E-3408-2010; Aslanian, Daniel/JWA-0851-2024; Leroux, Estelle/A-5907-2019; Moulin, Maryline/D-5242-2016</t>
  </si>
  <si>
    <t>Marina, RABINEAU/0000-0001-8420-1587; Aslanian, Daniel/0000-0002-9394-606X; Leroux, Estelle/0000-0003-3584-1179; Moulin, Maryline/0000-0002-5685-2451</t>
  </si>
  <si>
    <t>Laboratoire d'Excellence LabexMER [ANR-10-LABX-19]; IFREMER; CNRS; UBO</t>
  </si>
  <si>
    <t>Laboratoire d'Excellence LabexMER; IFREMER; CNRS(Centre National de la Recherche Scientifique (CNRS)); UBO</t>
  </si>
  <si>
    <t>Laboratoire d'Excellence LabexMER, Grant/Award Number: ANR-10-LABX-19; IFREMER; CNRS; UBO</t>
  </si>
  <si>
    <t>0954-4879</t>
  </si>
  <si>
    <t>1365-3121</t>
  </si>
  <si>
    <t>Terr. Nova</t>
  </si>
  <si>
    <t>10.1111/ter.12327</t>
  </si>
  <si>
    <t>Geosciences, Multidisciplinary</t>
  </si>
  <si>
    <t>GE8UU</t>
  </si>
  <si>
    <t>WOS:000431507500005</t>
  </si>
  <si>
    <t>Hernando, M; Schloss, IR; Almandoz, GO; Malanga, G; Varela, DE; De Troch, M</t>
  </si>
  <si>
    <t>Hernando, Marcelo; Schloss, Irene R.; Almandoz, Gaston O.; Malanga, Gabriela; Varela, Diana E.; De Troch, Marleen</t>
  </si>
  <si>
    <t>Combined effects of temperature and salinity on fatty acid content and lipid damage in Antarctic phytoplankton</t>
  </si>
  <si>
    <t>JOURNAL OF EXPERIMENTAL MARINE BIOLOGY AND ECOLOGY</t>
  </si>
  <si>
    <t>High temperature; Low salinity; Unsaturated FAs; TBARS; Phytoplankton assemblage</t>
  </si>
  <si>
    <t>MEMBRANE-LIPIDS; PHAEODACTYLUM-TRICORNUTUM; BIOCHEMICAL-COMPOSITION; COMMUNITY STRUCTURE; DUNALIELLA-SALINA; BATCH CULTURES; SALT STRESS; GROWTH-RATE; MICROALGAE; BACILLARIOPHYCEAE</t>
  </si>
  <si>
    <t>We investigated the effects of ocean warming and glacial melting on phytoplankton assemblage composition and physiology in coastal Antarctica by exposing assemblages to a 4 degrees C increase in seawater temperature (T) and a 4 psu decrease in salinity (S) with respect to ambient values in a 6-day microcosm experiment. Seawater samples from Potter Cove in King George Island (Antarctica) were placed in outdoor microcosms and exposed to four treatments: ambient S-ambient T (S0T0, control), low S-ambient T (S-TO), ambient S-high T (SOT +), and low thigh T (S-T +). The relative abundance of unsaturated fatty acids (UFAs) 20:5 omega 3,18:4 omega 3 and 16: ha in relation to saturated FAs (14:0 and 16:0) significantly increased in all treatments at 24 h, compared to the control. At the same time, we detected a significant increase in the production of Thiobarbituric Acid Reactive Substances (TEARS), used as a proxy for lipid damage, in the S-TO and the SOT + treatments. In contrast, in S-T +, concentrations of TBARS remained significantly lower than in the control throughout the experiment. Although phytoplankton species composition did not change during the experiment, an increase in the relative abundance of diatoms ( &gt; 20 mu m) was found in all treatments compared to the control at 24 h, with no further changes during the rest of the experiment. Furthermore, the relative abundance of small diatoms (10-20 mu m) increased only in SOT +, and small prasinophytes decreased at S-T + at the end of the incubation period. Our results show a stable unsaturated to saturated FA ratio under the synergistic effects of high temperature and lower salinity, which may help protect phytoplankton cells from lipid damage. When phytoplankton assemblages were exposed to high temperature or low salinity, separately, the proportion of unsaturated FAs increased after 48 h. This increase in FAs resulted in greater lipid damage, which could be potentially avoided, as shown by previous studies, by antioxidant responses or changes in osmoregulatory proteins and FA synthesis by the activation or inactivation of desaturase enzymes. Variations in FA content due to changing environmental conditions can alter the quality of phytoplankton as a food source with potentially critical implications for the marine food web.</t>
  </si>
  <si>
    <t>[Hernando, Marcelo] Comis Natl Energia Atom, Dept Radiobiol, Av Gral Paz 1499, San Martin, Buenos Aires, Argentina; [Schloss, Irene R.] Inst Antartico Argentino, 25 Mayo 1143, San Martin, Buenos Aires, Argentina; [Schloss, Irene R.; Almandoz, Gaston O.] Consejo Nacl Invest Cient &amp; Tecn, Ctr Austral Invest Cient CADIC, Bernardo Houssay 200, Ushuaia, Tierra Del Fueg, Argentina; [Schloss, Irene R.] Univ Nacl Tierra del Fuego, Ushuaia, Tierra Del Fueg, Argentina; [Almandoz, Gaston O.] Univ Nacl La Plata, Div Ficol, Fac Ciencias Nat &amp; Museo, Paseo Bosque S-N, La Plata, Buenos Aires, Argentina; [Malanga, Gabriela] Univ Buenos Aires, IBIMOL Fis Quim, Fac Farm &amp; Bioquim, Junin 954, Caba, Argentina; [Varela, Diana E.] Univ Victoria, Dept Biol, 3800 Finnerty Rd, Victoria, BC V8P 5C2, Canada; [Varela, Diana E.] Univ Victoria, Sch Earth &amp; Ocean Sci, 3800 Finnerty Rd, Victoria, BC V8P 5C2, Canada; [De Troch, Marleen] Univ Ghent, Krijgslaan 281-S8, B-9000 Ghent, Belgium</t>
  </si>
  <si>
    <t>Comision Nacional de Energia Atomica (CNEA); Instituto Antartico Argentino; Consejo Nacional de Investigaciones Cientificas y Tecnicas (CONICET); National University of La Plata; Museo La Plata; University of Buenos Aires; University of Victoria; University of Victoria; Ghent University</t>
  </si>
  <si>
    <t>Hernando, M (corresponding author), Comis Natl Energia Atom, Dept Radiobiol, Av Gral Paz 1499, San Martin, Buenos Aires, Argentina.</t>
  </si>
  <si>
    <t>mhernando@cnea.gov.ar</t>
  </si>
  <si>
    <t>De Troch, Marleen/AAB-9809-2019; Schloss, Irene R./U-5411-2018</t>
  </si>
  <si>
    <t>De Troch, Marleen/0000-0002-6800-0299; Schloss, Irene R./0000-0002-5917-8925; Almandoz, Gaston O./0000-0001-7931-582X</t>
  </si>
  <si>
    <t>National Agency for the Promotion of Science and Technology of Argentina (ANPCYT) [PICT 2011-1320]; EU project IMCONet (IRSES) [318718]; EMBRC Belgium - FWO [GOH3817N]; Ghent University (BOF-UGent); Canadian NSERC Discovery Grant; Institute Antartico Argentino; CONICET</t>
  </si>
  <si>
    <t>National Agency for the Promotion of Science and Technology of Argentina (ANPCYT)(ANPCyT); EU project IMCONet (IRSES); EMBRC Belgium - FWO(FWO); Ghent University (BOF-UGent)(Ghent University); Canadian NSERC Discovery Grant(Natural Sciences and Engineering Research Council of Canada (NSERC)); Institute Antartico Argentino; CONICET(Consejo Nacional de Investigaciones Cientificas y Tecnicas (CONICET))</t>
  </si>
  <si>
    <t>This study was supported by the National Agency for the Promotion of Science and Technology of Argentina (ANPCYT) (PICT 2011-1320 to Irene R. Schloss), the Institute Antartico Argentino and CONICET. The present manuscript was developed under the framework of the EU project IMCONet (FP7 IRSES, action no. 318718) to promote Argentinian-European cooperation in Antarctic research. The research leading to the FA results presented in this publication was carried out with infrastructure funded by EMBRC Belgium - FWO project GOH3817N. The FA analyses were supported by Special Research Fund of Ghent University (BOF-UGent) in the form of the starting grant 'Energy transfer at the basis of marine food webs in a changing world' awarded to the last author. Funding from a Canadian NSERC Discovery Grant awarded to D.E.V. was used to support particulate carbon analysis and partial travel costs for D.E.V.</t>
  </si>
  <si>
    <t>0022-0981</t>
  </si>
  <si>
    <t>1879-1697</t>
  </si>
  <si>
    <t>J EXP MAR BIOL ECOL</t>
  </si>
  <si>
    <t>J. Exp. Mar. Biol. Ecol.</t>
  </si>
  <si>
    <t>10.1016/j.jembe.2018.03.004</t>
  </si>
  <si>
    <t>Ecology; Marine &amp; Freshwater Biology</t>
  </si>
  <si>
    <t>Environmental Sciences &amp; Ecology; Marine &amp; Freshwater Biology</t>
  </si>
  <si>
    <t>GE4CD</t>
  </si>
  <si>
    <t>WOS:000431161000015</t>
  </si>
  <si>
    <t>Carravieri, A; Fort, J; Tarroux, A; Cherel, Y; Love, OP; Prieur, S; Brault-Favrou, M; Bustamante, P; Descamps, S</t>
  </si>
  <si>
    <t>Carravieri, Alice; Fort, Jerome; Tarroux, Arnaud; Cherel, Yves; Love, Oliver P.; Prieur, Solene; Brault-Favrou, Maud; Bustamante, Paco; Descamps, Sebastien</t>
  </si>
  <si>
    <t>Mercury exposure and short-term consequences on physiology and reproduction in Antarctic petrels</t>
  </si>
  <si>
    <t>ENVIRONMENTAL POLLUTION</t>
  </si>
  <si>
    <t>Antarctica; Bioaccumulation; Body condition; Breeding success; Stable isotopes; Trophic position</t>
  </si>
  <si>
    <t>PERSISTENT ORGANIC POLLUTANTS; MARINE FOOD-WEB; DRONNING MAUD LAND; TRACE-ELEMENTS; THALASSOICA-ANTARCTICA; ADELIE PENGUINS; ARCTIC SEABIRDS; SEX-DIFFERENCES; BODY CONDITION; ADMIRALTY BAY</t>
  </si>
  <si>
    <t>Mercury (Hg) is a pervasive contaminant reaching Antarctic environments through atmospheric transport and deposition. Seabirds as meso to top predators can accumulate high quantities of Hg through diet. Reproduction is one of the most sensitive endpoints of Hg toxicity in marine birds. Yet, few studies have explored Hg exposure and effects in Antarctic seabirds, where increasing environmental perturbations challenge animal populations. This study focuses on the Antarctic petrel Thalassoica antarctica from Svarthamaren, Antarctica, where the world's largest breeding population is thought to be in decline. Hg and the stable isotopes of carbon (delta C-13, proxy of feeding habitat) and nitrogen (delta N-15, trophic position/diet) were measured in red blood cells from 266 individuals over two breeding years (2012-13, 2013 -14). Our aims were to 1) quantify the influence of individual traits (size and sex) and feeding ecology (foraging location, delta C-13 and 815N values) on Hg exposure, and 2) test the relationship between Hg concentrations with body condition and breeding output (hatching success and chick survival). Hg concentrations in Antarctic petrels (mean +/- SD, 0.84 +/- 0.25, min-max, 0.42-2.71 mu g g(-1) dw) were relatively low when compared to other Antarctic seabirds. Hg concentrations increased significantly with delta N-15 values, indicating that individuals with a higher trophic level (i.e. feeding more on fish) had higher Hg exposure. By contrast, Hg exposure was not driven by feeding habitat (inferred from both foraging location and delta C-13 values), suggesting that Hg transfer to predators in Antarctic waters is relatively homogeneous over a large geographical scale. Hg concentrations were not related to body condition, hatching date and short-term breeding output. At present, Hg exposure is likely not of concern for this population. Nevertheless, further studies on other fitness parameters and long-term breeding output are warranted because Hg can have long-term population-level effects without consequences on current breeding success. (C) 2017 Elsevier Ltd. All rights reserved.</t>
  </si>
  <si>
    <t>[Carravieri, Alice; Cherel, Yves] Univ La Rochelle, CNRS, CEBC, UMR 7372, F-79360 Villiers En Bois, France; [Fort, Jerome; Prieur, Solene; Brault-Favrou, Maud; Bustamante, Paco] Univ La Rochelle, CNRS, Littoral Environm &amp; Soc LIENSs, UMR 7266, 2 Rue Olympe Gouges, F-17000 La Rochelle, France; [Tarroux, Arnaud; Descamps, Sebastien] Norwegian Polar Res Inst, Fram Ctr, N-9296 Tromso, Norway; [Love, Oliver P.] Univ Windsor, Dept Biol Sci, 401 Sunset Ave, Windsor, ON N9B 3P4, Canada</t>
  </si>
  <si>
    <t>Centre National de la Recherche Scientifique (CNRS); CNRS - Institute of Ecology &amp; Environment (INEE); La Rochelle Universite; Centre National de la Recherche Scientifique (CNRS); CNRS - Institute of Ecology &amp; Environment (INEE); La Rochelle Universite; Norwegian Polar Institute; University of Windsor</t>
  </si>
  <si>
    <t>Carravieri, A (corresponding author), Univ La Rochelle, CNRS, CEBC, UMR 7372, F-79360 Villiers En Bois, France.</t>
  </si>
  <si>
    <t>alice.carravieri@gmail.com</t>
  </si>
  <si>
    <t>Bustamante, Paco/G-5833-2011; Tarroux, Arnaud/AAE-5173-2021; Fort, Jerome/F-1157-2016</t>
  </si>
  <si>
    <t>Bustamante, Paco/0000-0003-3877-9390; Tarroux, Arnaud/0000-0001-8306-6694; Fort, Jerome/0000-0002-0860-6707</t>
  </si>
  <si>
    <t>IUF (Institut Universitaire de France)</t>
  </si>
  <si>
    <t>The authors are grateful to the Plateforme Analyses Elementaires and the Plateforme Analyses lsotopiques of the LIENSs laboratory for the access to their analytical facilities, and in particular to G. Guillou for running stable isotope analysis. Dr. H. Weimerskirch and the IUF (Institut Universitaire de France) are acknowledged for their support to AC and PB, respectively. AC is also grateful to L. Avila and his family for their kind help and hospitality.</t>
  </si>
  <si>
    <t>0269-7491</t>
  </si>
  <si>
    <t>1873-6424</t>
  </si>
  <si>
    <t>ENVIRON POLLUT</t>
  </si>
  <si>
    <t>Environ. Pollut.</t>
  </si>
  <si>
    <t>10.1016/j.envpol.2017.11.004</t>
  </si>
  <si>
    <t>GE4BI</t>
  </si>
  <si>
    <t>Green Submitted, Green Published</t>
  </si>
  <si>
    <t>WOS:000431158900084</t>
  </si>
  <si>
    <t>Witts, JD; Newton, RJ; Mills, BJW; Wignall, PB; Bottrell, SH; Hall, JLO; Francis, JE; Crame, JA</t>
  </si>
  <si>
    <t>Witts, James D.; Newton, Robert J.; Mills, Benjamin J. W.; Wignall, Paul B.; Bottrell, Simon H.; Hall, Joanna L. O.; Francis, Jane E.; Crame, J. Alistair</t>
  </si>
  <si>
    <t>The impact of the Cretaceous-Paleogene (K-Pg) mass extinction event on the global sulfur cycle: Evidence from Seymour Island, Antarctica</t>
  </si>
  <si>
    <t>GEOCHIMICA ET COSMOCHIMICA ACTA</t>
  </si>
  <si>
    <t>Sulfur isotopes; delta S-34; Cretaceous-Paleogene boundary; Mass extinction; Global sulfur cycle; Antarctica</t>
  </si>
  <si>
    <t>CARBONATE-ASSOCIATED SULFATE; BOUNDARY STRATOTYPE SECTION; DANIAN STAGE PALEOCENE; MAJOR-ION COMPOSITION; JAMES-ROSS-ISLAND; ISOTOPE FRACTIONATION; CENOZOIC SEAWATER; TERTIARY BOUNDARY; SECULAR VARIATION; CHICXULUB IMPACT</t>
  </si>
  <si>
    <t>The Cretaceous-Paleogene (K-Pg) mass extinction event 66 million years ago led to large changes to the global carbon cycle, primarily via a decrease in primary or export productivity of the oceans. However, the effects of this event and longer-term environmental changes during the Late Cretaceous on the global sulfur cycle are not well understood. We report new carbonate associated sulfate (CAS) sulfur isotope data derived from marine macrofossil shell material from a highly expanded high latitude Maastrichtian to Danian (69-65.5 Ma) succession located on Seymour Island, Antarctica. These data represent the highest resolution seawater sulfate record ever generated for this time interval, and are broadly in agreement with previous low-resolution estimates for the latest Cretaceous and Paleocene. A vigorous assessment of CAS preservation using sulfate oxygen, carbonate carbon and oxygen isotopes and trace element data, suggests factors affecting preservation of primary seawater CAS isotopes in ancient biogenic samples are complex, and not necessarily linked to the preservation of original carbonate mineralogy or chemistry. Primary data indicate a generally stable sulfur cycle in the early-mid Maastrichtian (69 Ma), with some fluctuations that could be related to increased pyrite burial during the 'mid-Maastrichtian Event'. This is followed by an enigmatic +4 parts per thousand increase in delta S-34(CAS) during the late Maastrichtian (68-66 Ma), culminating in a peak in values in the immediate aftermath of the K-Pg extinction which may be related to temporary development of oceanic anoxia in the aftermath of the Chicxulub bolide impact. There is no evidence of the direct influence of Deccan volcanism on the seawater sulfate isotopic record during the late Maastrichtian, nor of a direct influence by the Chicxulub impact itself. During the early Paleocene (magnetochron C29R) a prominent negative excursion in seawater delta(34) S of 3-4 parts per thousand suggests that a global decline in organic carbon burial related to collapse in export productivity, also impacted the sulfur cycle via a significant drop in pyrite burial. Box modelling suggests that to achieve an excursion of this magnitude, pyrite burial must be reduced by &gt;15%, with a possible role for a short term increase in global weathering rates. Recovery of the sulfur cycle to pre-extinction values occurs at the same time (similar to 320 kyrs) as initial carbon cycle recovery globally. These recoveries are also contemporaneous with an initial increase in local alpha diversity of marine macrofossil faunas, suggesting biosphere-geosphere links during recovery from the mass extinction. Modelling further indicates that concentrations of sulfate in the oceans must have been 2 mM, lower than previous estimates for the Late Cretaceous and Paleocene and an order of magnitude lower than today. (C) 2018 The Authors. Published by Elsevier Ltd.</t>
  </si>
  <si>
    <t>[Witts, James D.; Newton, Robert J.; Mills, Benjamin J. W.; Wignall, Paul B.; Bottrell, Simon H.; Hall, Joanna L. O.] Univ Leeds, Sch Earth &amp; Environm, Earth Surface Sci Inst, Woodhouse Lane, Leeds LS2 9JT, W Yorkshire, England; [Francis, Jane E.; Crame, J. Alistair] British Antarctic Survey, Madingley Rd, Cambridge CB3 0ET, England</t>
  </si>
  <si>
    <t>University of Leeds; UK Research &amp; Innovation (UKRI); Natural Environment Research Council (NERC); NERC British Antarctic Survey</t>
  </si>
  <si>
    <t>Witts, JD (corresponding author), Amer Museum Nat Hist, Div Paleontol Invertebrates, Cent Pk West &amp; 79th St, New York, NY 10024 USA.</t>
  </si>
  <si>
    <t>jwitts@amnh.org</t>
  </si>
  <si>
    <t>Wignall, Paul/HPE-6256-2023; Newton, Robert/B-2599-2009</t>
  </si>
  <si>
    <t>Newton, Robert/0000-0003-0144-6867; Witts, James/0000-0002-4002-415X; Mills, Benjamin/0000-0002-9141-0931</t>
  </si>
  <si>
    <t>United Kingdom Natural Environment Research Council (NERC) [NE/C506399/1, NE/I00582X/1, NE/N018559/1]; PhD scholarship from the University of Leeds - United Kingdom; NERC [bas0100036, NE/N018559/1, NE/I00582X/2, NE/I005803/1, NE/I00582X/1] Funding Source: UKRI; Natural Environment Research Council [NE/I005803/1, NE/I00582X/1, NE/C506399/1, bas0100036, NE/I00582X/2, NE/N018559/1] Funding Source: researchfish</t>
  </si>
  <si>
    <t>United Kingdom Natural Environment Research Council (NERC)(UK Research &amp; Innovation (UKRI)Natural Environment Research Council (NERC)); PhD scholarship from the University of Leeds - United Kingdom; NERC(UK Research &amp; Innovation (UKRI)Natural Environment Research Council (NERC)); Natural Environment Research Council(UK Research &amp; Innovation (UKRI)Natural Environment Research Council (NERC))</t>
  </si>
  <si>
    <t>We thank the support staff and students of the Cohen Laboratories (University of Leeds), the Godwin Laboratory (University of Cambridge), National Oceanographic Centre, Southampton, and the School of Geosciences (University of Edinburgh) for technical and analytical assistance. At the University of Leeds, Lesley Neve is gratefully acknowledged for assistance with XRD analyses, and Richard Walshaw for assistance with SEM imaging and analysis. The paper benefited from the helpful reviews and comments of Benjamin Gill (Virginia Tech) and the handling editor Christian Koeberl (University of Vienna). Funding for this study was provided by a PhD scholarship from the University of Leeds - United Kingdom to James Witts, and United Kingdom Natural Environment Research Council (NERC) grants NE/C506399/1 (Antarctic Funding Initiative), NE/I00582X/1 (PALEOPOLAR) and NE/N018559/1. Fieldwork to Seymour Island was supported logistically by the British Antarctic Survey.</t>
  </si>
  <si>
    <t>0016-7037</t>
  </si>
  <si>
    <t>1872-9533</t>
  </si>
  <si>
    <t>GEOCHIM COSMOCHIM AC</t>
  </si>
  <si>
    <t>Geochim. Cosmochim. Acta</t>
  </si>
  <si>
    <t>10.1016/j.gca.2018.02.037</t>
  </si>
  <si>
    <t>GE1TG</t>
  </si>
  <si>
    <t>Green Accepted, Green Published, hybrid</t>
  </si>
  <si>
    <t>WOS:000430999100002</t>
  </si>
  <si>
    <t>Sokolov, SG; Khasanov, FK; Gordeev, II</t>
  </si>
  <si>
    <t>Sokolov, S. G.; Khasanov, F. K.; Gordeev, I. I.</t>
  </si>
  <si>
    <t>New data on the morphology and phylogenetic connections of Postlepidapedon opisthobifurcatum (Trematoda, Lepocreadioidea: Lepidapedidae), a parasite of Antarctic and sub-Antarctic fishes</t>
  </si>
  <si>
    <t>HELMINTHOLOGIA</t>
  </si>
  <si>
    <t>Trematoda; Postlepidapedon opisthobifurcatum; Lepidapedidae</t>
  </si>
  <si>
    <t>DIGENEA; SEA; PLATYHELMINTHES</t>
  </si>
  <si>
    <t>The trematode Postlepidapedon opisthobifurcatum (Zdzitowiecki, 1990) is a common intestinal parasite of the gadiform fishes of the Southern Ocean. In this work, we supplement the description of the species with the anatomy of the terminal part of the reproductive system and with molecular data. The male terminal genitalia are characterised by the presence of the external seminal vesicle and cirrus-sac. The external seminal vesicle is surrounded by aciniform groups of outer prostatic cells. Groups of outer prostatic cells and proximal parts of their ducts are associated with a thin-walled membrane that is connected to the proximal edge of the cirrus-sac. The cirrus-sac is claviform, with a long proximal part accommodating the tubular, thin-walled internal seminal vesicle and ducts of outer prostatic cells. The female terminal genitalia are represented by a thick-walled metraterm, which is surrounded by aciniform groups of glandular cells. Phylogenetic analysis based on 28S rDNA partial sequences data placed P. opisthobifurcatum into the monophyletic group Lepidapedidae, including the species Myzoxenus insolens (Crowcroft, 1945), Intusatrium robustum Durio et Manter, 1968, and Postlepidapedon uberis Bray, Cribb et Barker, 1997. However, we were unable to detect direct phylogenetic connections between P opisthobifurcatum and P uberis.</t>
  </si>
  <si>
    <t>[Sokolov, S. G.; Khasanov, F. K.] RAS, AN Severtsov Inst Ecol &amp; Evolut, Ctr Parasitol, Leninskij Prospect 33, Moscow 119071, Russia; [Gordeev, I. I.] Lomonosov Moscow State Univ, Leninskie Gory 1, Moscow 119234, Russia; [Gordeev, I. I.] Russian Fed Res Inst Fisheries &amp; Oceanog, V Krasnoselskaya Str 17, Moscow 107140, Russia</t>
  </si>
  <si>
    <t>Russian Academy of Sciences; Saratov Scientific Center of the Russian Academy of Sciences; Severtsov Institute of Ecology &amp; Evolution; Lomonosov Moscow State University; Research lnstitute of Fisheries &amp; Oceanography</t>
  </si>
  <si>
    <t>Gordeev, II (corresponding author), Lomonosov Moscow State Univ, Leninskie Gory 1, Moscow 119234, Russia.;Gordeev, II (corresponding author), Russian Fed Res Inst Fisheries &amp; Oceanog, V Krasnoselskaya Str 17, Moscow 107140, Russia.</t>
  </si>
  <si>
    <t>gordeev_ilya@bk.ru</t>
  </si>
  <si>
    <t>Sokolov, Sergey/AAC-3505-2022; Khasanov, Fuat/AAE-9647-2019; Gordeev, Ilya/F-2972-2017</t>
  </si>
  <si>
    <t>Sokolov, Sergey/0000-0002-4822-966X; Gordeev, Ilya/0000-0002-6650-9120</t>
  </si>
  <si>
    <t>Russian Science Foundation [17-74-10203]; Russian Science Foundation [17-74-10203] Funding Source: Russian Science Foundation</t>
  </si>
  <si>
    <t>Russian Science Foundation(Russian Science Foundation (RSF)); Russian Science Foundation(Russian Science Foundation (RSF))</t>
  </si>
  <si>
    <t>The authors are grateful to the crew of f/v Yantar-35 for their help in collecting the specimens. This study was supported by Russian Science Foundation #17-74-10203.</t>
  </si>
  <si>
    <t>SCIENDO</t>
  </si>
  <si>
    <t>WARSAW</t>
  </si>
  <si>
    <t>BOGUMILA ZUGA 32A, WARSAW, MAZOVIA, POLAND</t>
  </si>
  <si>
    <t>0440-6605</t>
  </si>
  <si>
    <t>1336-9083</t>
  </si>
  <si>
    <t>Helminthologia</t>
  </si>
  <si>
    <t>10.2478/helm-2018-0002</t>
  </si>
  <si>
    <t>Parasitology; Zoology</t>
  </si>
  <si>
    <t>GE3BC</t>
  </si>
  <si>
    <t>WOS:000431087400002</t>
  </si>
  <si>
    <t>Zhou, LM; Tinsley, B; Wang, L; Burns, G</t>
  </si>
  <si>
    <t>Zhou, Limin; Tinsley, Brian; Wang, Lin; Burns, Gary</t>
  </si>
  <si>
    <t>The zonal-mean and regional tropospheric pressure responses to changes in ionospheric potential</t>
  </si>
  <si>
    <t>JOURNAL OF ATMOSPHERIC AND SOLAR-TERRESTRIAL PHYSICS</t>
  </si>
  <si>
    <t>VERTICAL ELECTRIC-FIELD; GLOBAL CLOUD COVER; SOLAR-WIND; ATMOSPHERIC ELECTRICITY; LAYER CLOUDS; MODEL; MICROPHYSICS; CIRCUIT</t>
  </si>
  <si>
    <t>Global reanalysis data reveal daily surface pressure responses to changes in the global ionospheric potential in both polar and sub-polar regions. We use 21 years of data to show that the pressure response to externally-induced ionospheric potential changes, that are due to the interplanetary magnetic field east-west (IMF B-y) component, are present in two separate decadal intervals, and follow the opposite ionospheric potential changes in the Arctic and Antarctic for a given B-y. We use the 4 years of available data to show that the pressure responses to changes in internally generated ionospheric potential, that are caused by low-latitude thunderstorms and highly electrified clouds, agree in sign and sensitivity with those externally generated. We have determined that the daily varying pressure responses are stronger in local winter and spring. The pressure responses at polar latitudes are predominantly over the Antarctic and Greenland ice caps, and those at sub-polar latitudes are of opposite sign, mainly over oceans. A lead-lag analysis confirms that the responses maximize within two days of the ionospheric potential input. Regions of surface pressure fluctuating by about 4 hPa in winter are found with ionospheric potential changes of about 40 kV. The consistent pressure response to the independent external and internal inputs strongly supports the reality of a cloud microphysical mechanism affected by the global electric circuit. A speculative mechanism involves the ionosphere-earth current density J(z), which produces space charge at cloud boundaries and electrically charged droplets and aerosol particles. Ultrafine aerosol particles, under the action of electro-anti-scavenging, are enabled to grow to condensation nuclei size, affecting cloud microphysics and cloud opacity and surface pressure on time scales of hours.</t>
  </si>
  <si>
    <t>[Zhou, Limin; Wang, Lin] East China Normal Univ, Key Lab Geog Informat Sci, Shanghai 200062, Peoples R China; [Zhou, Limin; Tinsley, Brian; Wang, Lin] Univ Texas Dallas, Dallas, TX 75080 USA; [Burns, Gary] Australian Govt, Australian Antarctic Div, Kingston, Tas, Australia</t>
  </si>
  <si>
    <t>East China Normal University; University of Texas System; University of Texas Dallas; Australian Antarctic Division</t>
  </si>
  <si>
    <t>Tinsley, B (corresponding author), Univ Texas Dallas, Dallas, TX 75080 USA.</t>
  </si>
  <si>
    <t>Tinsley@utdallas.edu</t>
  </si>
  <si>
    <t>周, 丽敏/JEO-3613-2023</t>
  </si>
  <si>
    <t>National Key Research Science Programmes of China [2012CB957804]; NSFC [41571040]; US NSF Grant [AGS 0836171]; Australian Antarctic Science Advisory Committee [AAS 974]</t>
  </si>
  <si>
    <t>National Key Research Science Programmes of China; NSFC(National Natural Science Foundation of China (NSFC)); US NSF Grant(National Science Foundation (NSF)); Australian Antarctic Science Advisory Committee</t>
  </si>
  <si>
    <t>This work has been partially funded by Grant 2012CB957804 of the National Key Research Science Programmes of China; by NSFC Grant (41571040); and the US NSF Grant AGS 0836171. The electric field instrumentation was developed and funded following approval by the Australian Antarctic Science Advisory Committee (AAS 974). Measurements at Vostok station are obtained in the framework of the Russian Federal Program: 'World Ocean' - 'Study and Research in Antarctica' - 'Determination of Changes in the Antarctic Environment' - 'Environmental Monitoring' and were collected by specialists of the Russian Antarctic program. The Ez measurements are accessible at http://www.geophys.aari.ru/interface2.html. The interplanetary magnetic field (IMF) data are from the OMNI time series at the NASA GFSC website (http://omniweb.gsfc.nasa.gov/ow.html). The reanalysis data was from the National Atmospheric and Oceanic Administration (NOAA) website (http://www.noaa.gov/psd/). We thank R. A. Heelis and W. R. Coley for discussions and assistance.</t>
  </si>
  <si>
    <t>1364-6826</t>
  </si>
  <si>
    <t>1879-1824</t>
  </si>
  <si>
    <t>J ATMOS SOL-TERR PHY</t>
  </si>
  <si>
    <t>J. Atmos. Sol.-Terr. Phys.</t>
  </si>
  <si>
    <t>10.1016/j.jastp.2017.07.010</t>
  </si>
  <si>
    <t>Geochemistry &amp; Geophysics; Meteorology &amp; Atmospheric Sciences</t>
  </si>
  <si>
    <t>GE4BN</t>
  </si>
  <si>
    <t>WOS:000431159400011</t>
  </si>
  <si>
    <t>Lukianova, R; Kozlovsky, A; Lester, M</t>
  </si>
  <si>
    <t>Lukianova, Renata; Kozlovsky, Alexander; Lester, Mark</t>
  </si>
  <si>
    <t>Climatology and inter-annual variability of the polar mesospheric winds inferred from meteor radar observations over Sodankyla (67N, 26E) during solar cycle 24</t>
  </si>
  <si>
    <t>LOWER THERMOSPHERE; MEAN WINDS; ARCTIC MESOSPHERE; PREVAILING WINDS; POKER FLAT; TIDES; DYNAMICS; MF; ATMOSPHERE; VHF</t>
  </si>
  <si>
    <t>The inter-annual variability, climatological mean wind and tide fields in the northern polar mesosphere/lower thermosphere region of 82-98 km height are studied using observations by the meteor radar which has operated continuously during solar cycle 24 (from December 2008 onward) at the Sodankyla Geophysical Observatory (67N, 26E). Summer mean zonal winds are characterized by westward flow, up to 25 m/s, at lower heights and eastward flow, up to 30 m/s, at upper heights. In the winter an eastward flow, up to 10 m/s, dominates at all heights. The meridional winds are characterized by a relatively weak poleward flow (few m/s) in the winter and equatorward flow in the summer, with a jet core (similar to 15 m/s) located slightly below 90 km. These systematically varying winds are dominated by the semidiurnal tides. The largest amplitudes, up to 30 m/s, are observed at higher altitudes in winter and a secondary maximum is seen in August-September. The diurnal tides are almost a factor of two weaker and peak in summer. The variability of individual years is dominated by the winter perturbations. During the period of observations major sudden stratospheric warmings (SSW) occurred in January 2009 and 2013. During these events the wind fields were strongly modified. The lowest altitude eastward winds maximized up to 25 m/s, that is by more twice that of the non-SSW years. The poleward flow considerably increases (up 10 m/s) and extends from the lower heights throughout the whole altitude range. The annual pattern in temperature at-90 km height over Sodankyla consists of warm winters (up to 200 K) and cold summers (similar to 120 K).</t>
  </si>
  <si>
    <t>[Lukianova, Renata] Russian Acad Sci, Geophys Ctr, Moscow, Russia; [Lukianova, Renata] Arctic &amp; Antarctic Res Inst, St Petersburg, Russia; [Kozlovsky, Alexander] Sodankyla Geophys Observ, Sodankyla, Finland; [Lester, Mark] Univ Leicester, Dept Phys &amp; Astron, Leicester, Leics, England</t>
  </si>
  <si>
    <t>Russian Academy of Sciences; Geophysical Center of the Russian Academy of Sciences; Arctic &amp; Antarctic Research Institute; University of Leicester</t>
  </si>
  <si>
    <t>Lukianova, R (corresponding author), Russian Acad Sci, Geophys Ctr, Moscow, Russia.</t>
  </si>
  <si>
    <t>renata@aari.nw.ru</t>
  </si>
  <si>
    <t>Lukianova, Renata/K-3293-2012; Lester, Mark/C-9657-2016</t>
  </si>
  <si>
    <t>Lukianova, Renata/0000-0003-2343-9174; Kozlovsky, Alexander/0000-0003-1468-7600</t>
  </si>
  <si>
    <t>Academy of Finland [287916]; NERC [NE/K011766/1]; Academy of Finland (AKA) [287916] Funding Source: Academy of Finland (AKA); Natural Environment Research Council [NE/K011766/1] Funding Source: researchfish; NERC [NE/K011766/1] Funding Source: UKRI</t>
  </si>
  <si>
    <t>Academy of Finland(Research Council of Finland); NERC(UK Research &amp; Innovation (UKRI)Natural Environment Research Council (NERC)); Academy of Finland (AKA)(Research Council of Finland); Natural Environment Research Council(UK Research &amp; Innovation (UKRI)Natural Environment Research Council (NERC)); NERC(UK Research &amp; Innovation (UKRI)Natural Environment Research Council (NERC))</t>
  </si>
  <si>
    <t>Data of the meteor radar are available from SGO (http://www.sgo.fi/). RL acknowledges support from the Academy of Finland via grant 287916. ML acknowledges support from NERC via grant NE/K011766/1.</t>
  </si>
  <si>
    <t>10.1016/j.jastp.2017.06.005</t>
  </si>
  <si>
    <t>WOS:000431159400024</t>
  </si>
  <si>
    <t>Hill, NA; Barrett, N; Ford, JH; Peel, D; Foster, S; Lawrence, E; Monk, J; Althaus, F; Hayes, KR</t>
  </si>
  <si>
    <t>Hill, Nicole A.; Barrett, Neville; Ford, Jessica H.; Peel, David; Foster, Scott; Lawrence, Emma; Monk, Jacquomo; Althaus, Franziska; Hayes, Keith R.</t>
  </si>
  <si>
    <t>Developing indicators and a baseline for monitoring demersal fish in data-poor, offshore Marine Parks using probabilistic sampling</t>
  </si>
  <si>
    <t>Baited Remote Underwater Videos (BRUV); Marine Protected Area (MPA); Spatially-balanced sampling; Generalised Random Tessellation Stratified (GRTS) sampling</t>
  </si>
  <si>
    <t>TRUMPETER LATRIS-LINEATA; TEMPORAL VARIATION; BIODIVERSITY; AUSTRALIA; ASSEMBLAGES; PROTECTION; TASMANIA; JUVENILE; SNAPPER; RESERVE</t>
  </si>
  <si>
    <t>The number of Marine Protected Areas (MPAs) has increased globally as concerns over the impact that human activities are having on the world's oceans have also increased. Monitoring is a key requirement to determine if MPAs are meeting their objectives. However, many recently declared MPA's are large, offshore, or form part of an expansive network and spatial information about the habitats, communities and species that they contain is often lacking. This presents challenges for deciding exactly what to monitor and developing strategies on how to monitor it efficiently. Here we examine these issues using the Flinders Marine Park in Australia as a case study. We trial a two-stage version of a spatially-balanced, probabilistic sampling design combined with Baited Remote Underwater Videos (BRUVs) to perform an initial inventory, and we evaluate the potential of six commercially and ecologically important demersal fish as indicators within the Marine Park. Using this approach we were able to (1) quantitatively describe the distribution of the fish species in the Marine Park; (2) establish quantitative and representative estimates of their abundance throughout the Marine Park to serve as a baseline for future monitoring; (3) conduct power analyses to estimate the magnitude of increase we may be able to detect with feasible levels of sampling effort. Power analysis suggested that for most of our potential indicator species, detecting increases in abundance as small as 50% from present values should be feasible if sampling is restricted to a species' preferred habitat and the same sites are sampled through time. Our approach is transferrable to other regions where monitoring programs must be designed based on limited spatial and biological data, assisting with decisions on what and how to monitor.</t>
  </si>
  <si>
    <t>[Hill, Nicole A.; Barrett, Neville; Monk, Jacquomo] Univ Tasmania, Inst Marine &amp; Antarctic Studies, Private Bag 129, Hobart, Tas 7001, Australia; [Ford, Jessica H.; Peel, David; Foster, Scott; Hayes, Keith R.] CSIRO, Data 61, GPO Box 1538, Hobart, Tas, Australia; [Lawrence, Emma] CSIRO, Data 61, Brisbane, Qld 4102, Australia; [Althaus, Franziska] CSIRO, Oceans &amp; Atmosphere, GPO BOX 1538, Hobart, Tas 7001, Australia</t>
  </si>
  <si>
    <t>University of Tasmania; Commonwealth Scientific &amp; Industrial Research Organisation (CSIRO); Commonwealth Scientific &amp; Industrial Research Organisation (CSIRO); Commonwealth Scientific &amp; Industrial Research Organisation (CSIRO)</t>
  </si>
  <si>
    <t>Hill, NA (corresponding author), Univ Tasmania, Inst Marine &amp; Antarctic Studies, Private Bag 129, Hobart, Tas 7001, Australia.</t>
  </si>
  <si>
    <t>Nicole.Hill@utas.edu.au</t>
  </si>
  <si>
    <t>Lawrence, Emma/A-5584-2009; Peel, David/E-8888-2010; Hayes, Keith/A-4550-2009; Foster, Scott/E-9311-2010; Barrett, Neville/J-7593-2014; Althaus, Franziska/E-4660-2017</t>
  </si>
  <si>
    <t>Hayes, Keith/0000-0003-4094-3575; Foster, Scott/0000-0002-6719-8002; Monk, Jacquomo/0000-0002-1874-0619; Barrett, Neville/0000-0002-6167-1356; Althaus, Franziska/0000-0002-5336-4612</t>
  </si>
  <si>
    <t>National Environmental Science Program</t>
  </si>
  <si>
    <t>This work was undertaken for the Australian Government's Marine Biodiversity Hub, a collaborative partnership supported through funding from the National Environmental Science Program (and previously through the National Environmental Research Program). NESP Marine Biodiversity Hub partners include the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and the Integrated Marine Observing System.</t>
  </si>
  <si>
    <t>10.1016/j.ecolind.2018.02.039</t>
  </si>
  <si>
    <t>WOS:000430760900060</t>
  </si>
  <si>
    <t>Harper, EM; Crame, JA; Sogot, CE</t>
  </si>
  <si>
    <t>Harper, Elizabeth M.; Crame, J. Alistair; Sogot, Caroline E.</t>
  </si>
  <si>
    <t>Business as usual: Drilling predation across the K-Pg mass extinction event in Antarctica</t>
  </si>
  <si>
    <t>PALAEOGEOGRAPHY PALAEOCLIMATOLOGY PALAEOECOLOGY</t>
  </si>
  <si>
    <t>Seymour Island; Adaptation; Escalation; Molluscs; Prey Effectiveness</t>
  </si>
  <si>
    <t>CRETACEOUS-TERTIARY BOUNDARY; NATICID GASTROPOD PREDATION; HIGH SOUTHERN LATITUDES; SEYMOUR-ISLAND; FOSSIL RECORD; T BOUNDARY; UNSUCCESSFUL PREDATION; COASTAL-PLAIN; NORTH-AMERICA; PALEOGENE</t>
  </si>
  <si>
    <t>A survey of 759 predatory drill holes in Late Cretaceous and Paleogene molluscan and serpulid worm prey from Seymour Island (Antarctica) has allowed exploration of the effects of the K-Pg mass extinction on predator-prey dynamics at this high latitude site. Circular holes (0.62-6.41 mm in diameter), suggesting a large gastropod predator, most probably Vanikoropsis arktowskiana, occur throughout the study interval. Analysis suggests that the driller was a catholic predator capable of attacking a range of prey types, showing some degree of size and stereotypic handling behaviour. Although there were changes in prey choice across the extinction event, these reflect changes in available prey, and in particular limited options immediately post extinction. There were no significant changes in failure rate (Prey Effectiveness) over the mass extinction. Our findings suggest that at this site, for this particular predator, aside from menu choice, predation dynamics post-extinction was business as usual.</t>
  </si>
  <si>
    <t>[Harper, Elizabeth M.; Sogot, Caroline E.] Dept Earth Sci, Downing St, Cambridge CB2 3EQ, England; [Crame, J. Alistair] British Antarctic Survey, Madingley Rd, Cambridge CB3 0ET, England</t>
  </si>
  <si>
    <t>University of Cambridge; UK Research &amp; Innovation (UKRI); Natural Environment Research Council (NERC); NERC British Antarctic Survey</t>
  </si>
  <si>
    <t>Harper, EM (corresponding author), Dept Earth Sci, Downing St, Cambridge CB2 3EQ, England.</t>
  </si>
  <si>
    <t>emh21@cam.ac.uk; jacr@bas.ac.uk</t>
  </si>
  <si>
    <t>Harper, Elizabeth M/B-3890-2008</t>
  </si>
  <si>
    <t>NERC PALAEOPOLAR grant [NE/I005803/1]; Caroline Sogot's NERC studentship; NERC [NE/I005803/1, NE/I00582X/2, bas0100036] Funding Source: UKRI</t>
  </si>
  <si>
    <t>NERC PALAEOPOLAR grant; Caroline Sogot's NERC studentship; NERC(UK Research &amp; Innovation (UKRI)Natural Environment Research Council (NERC))</t>
  </si>
  <si>
    <t>Funding from the NERC PALAEOPOLAR grant, NE/I005803/1, is gratefully acknowledged, as is Caroline Sogot's NERC studentship. We greatly acknowledge help in the field from Jon Ineson, Jane Francis, David Cantrill and Rowan Whittle and also all the efforts made by Argentinian and US field parties to establish the stratigraphy of Seymour Island and develop reference collections. Judith Nagel-Myers facilitated our visit to the W.J. Zinsmeister collection held in the Paleontological Research Institution, Ithaca, N.Y., Peter Bucktrout (British Antarctic Survey) took the specimen photographs and Jamie Oliver (British Antarctic Survey) and Sharon Richards (University of Cambridge) drafted figures. We are grateful for the constructive comments of both the reviewers and editor that improved this paper.</t>
  </si>
  <si>
    <t>0031-0182</t>
  </si>
  <si>
    <t>1872-616X</t>
  </si>
  <si>
    <t>PALAEOGEOGR PALAEOCL</t>
  </si>
  <si>
    <t>Paleogeogr. Paleoclimatol. Paleoecol.</t>
  </si>
  <si>
    <t>10.1016/j.palaeo.2018.03.009</t>
  </si>
  <si>
    <t>Geography, Physical; Geosciences, Multidisciplinary; Paleontology</t>
  </si>
  <si>
    <t>Physical Geography; Geology; Paleontology</t>
  </si>
  <si>
    <t>GD8TO</t>
  </si>
  <si>
    <t>Green Submitted, Green Accepted</t>
  </si>
  <si>
    <t>WOS:000430785200009</t>
  </si>
  <si>
    <t>Tan, B; Wang, L; Lu, P; Li, ZJ; Feng, EM</t>
  </si>
  <si>
    <t>Tan, Bing; Wang, Lei; Lu, Peng; Li, Zhijun; Feng, Enmin</t>
  </si>
  <si>
    <t>A novel strategy to analyse the form drag on pressure ridges and the air-ice drag coefficient in the north-western Weddell Sea</t>
  </si>
  <si>
    <t>APPLIED MATHEMATICAL MODELLING</t>
  </si>
  <si>
    <t>Article; Proceedings Paper</t>
  </si>
  <si>
    <t>10th International Conference on Optimization - Techniques and Applications (ICOTA)</t>
  </si>
  <si>
    <t>JUL 22-26, 2016</t>
  </si>
  <si>
    <t>Ulaanbaatar, MONGOL PEO REP</t>
  </si>
  <si>
    <t>Parameterisation; Form drag; Drag coefficient; Weddell Sea</t>
  </si>
  <si>
    <t>ROUGHNESS; PARAMETER; STRESS</t>
  </si>
  <si>
    <t>As the most important quantities needed in numerical modelling of sea ice dynamics, the form drag on pressure ridges and the air-ice drag coefficient are generally analysed based on wind velocities and sea-ice conditions. However, it is difficult to give exact values because these quantities have not been measured. Based on a large data set measured by a helicopter-borne laser altimeter during the Winter Weddell Outflow Study 2006, the influences of pressure-ridge morphologies and sea-ice surface roughness on the form drag of pressure ridges and the air-ice drag coefficient were considered to seek a novel strategy for analysing these two essential quantities. The results show that the contribution of form drag on pressure ridges to total air-ice drag increases at greater ridging intensity (the ratio of mean ridge height to spacing), but decreases with increasing roughness length. The air-ice drag coefficient shows a similar trend to the contribution of form drag with increasing ridging intensity. Moreover, a ridging intensity threshold was determined for the air-ice drag coefficient. These results imply that large values of the air-ice drag coefficient could be caused by form drag on pressure ridges as well as by skin drag over rough ice surfaces. Finally, the present results are consistent with reported measurements in the north-western Weddell Sea. (C) 2017 Elsevier Inc. All rights reserved.</t>
  </si>
  <si>
    <t>[Tan, Bing] Nanyang Normal Univ, Sch Math &amp; Stat, Nanyang 473061, Henan, Peoples R China; [Tan, Bing; Lu, Peng; Li, Zhijun] Dalian Univ Technol, State Key Lab Coastal &amp; Offshore Engn, Dalian 116024, Liaoning, Peoples R China; [Wang, Lei; Feng, Enmin] Dalian Univ Technol, Sch Math Sci, Dalian 116024, Liaoning, Peoples R China</t>
  </si>
  <si>
    <t>Nanyang Normal College; Dalian University of Technology; Dalian University of Technology</t>
  </si>
  <si>
    <t>Lu, P (corresponding author), Dalian Univ Technol, State Key Lab Coastal &amp; Offshore Engn, Dalian 116024, Liaoning, Peoples R China.</t>
  </si>
  <si>
    <t>lupeng@dlut.edu.cn</t>
  </si>
  <si>
    <t>Wang, lei/E-9879-2011; Lu, Peng/HNR-4786-2023; Li, Zhijun/A-5299-2019</t>
  </si>
  <si>
    <t>Wang, lei/0000-0001-8573-1213; Li, Zhijun/0000-0002-2897-0450</t>
  </si>
  <si>
    <t>Global Change Research Programme of China [2015CB953901]; National Natural Science Foundation of China [41306207, 41276191, 41376186, 51579028]; China Postdoctoral Science Foundation [2016M600204]; Science Foundation for Young Academics in Universities of Henan Province; scientific and technological project in Henan Province of China [172102310702]; Key Science Foundation for Universities of Henan Province [15B110007]</t>
  </si>
  <si>
    <t>Global Change Research Programme of China; National Natural Science Foundation of China(National Natural Science Foundation of China (NSFC)); China Postdoctoral Science Foundation(China Postdoctoral Science Foundation); Science Foundation for Young Academics in Universities of Henan Province; scientific and technological project in Henan Province of China; Key Science Foundation for Universities of Henan Province</t>
  </si>
  <si>
    <t>Christian Haas and Marcel Nicolaus at the Alfred Wegener Institute for Polar and Marine Research (AWI) are both thanked for preparing data. The Chinese Arctic and Antarctic Administration is also thanked for supporting the participation of Zhijun Li in the expedition organized by AWI. Xingang Zhang at Nanyang Normal University is thanked for correcting carefully the spelling and grammar problems and provided revision on the figures according to the comments and suggestions by the reviewers and editor. This work was supported by the Global Change Research Programme of China (2015CB953901), the National Natural Science Foundation of China (Nos. 41306207, 41276191, 41376186 and 51579028), the China Postdoctoral Science Foundation (No. 2016M600204), the Science Foundation for Young Academics in Universities of Henan Province, the scientific and technological project in Henan Province of China (No. 172102310702), and the Key Science Foundation for Universities of Henan Province (No. 15B110007).</t>
  </si>
  <si>
    <t>0307-904X</t>
  </si>
  <si>
    <t>1872-8480</t>
  </si>
  <si>
    <t>APPL MATH MODEL</t>
  </si>
  <si>
    <t>Appl. Math. Model.</t>
  </si>
  <si>
    <t>10.1016/j.apm.2017.09.046</t>
  </si>
  <si>
    <t>Engineering, Multidisciplinary; Mathematics, Interdisciplinary Applications; Mechanics</t>
  </si>
  <si>
    <t>Science Citation Index Expanded (SCI-EXPANDED); Conference Proceedings Citation Index - Science (CPCI-S)</t>
  </si>
  <si>
    <t>Engineering; Mathematics; Mechanics</t>
  </si>
  <si>
    <t>GC8IP</t>
  </si>
  <si>
    <t>WOS:000430037400013</t>
  </si>
  <si>
    <t>Lucieer, V; Roche, M; Degrendele, K; Malik, M; Dolan, M; Lamarche, G</t>
  </si>
  <si>
    <t>Lucieer, Vanessa; Roche, Marc; Degrendele, Koen; Malik, Mashkoor; Dolan, Margaret; Lamarche, Geoffroy</t>
  </si>
  <si>
    <t>User expectations for multibeam echo sounders backscatter strength data-looking back into the future</t>
  </si>
  <si>
    <t>MARINE GEOPHYSICAL RESEARCH</t>
  </si>
  <si>
    <t>Multibeam acoustics; Backscatter; Habitat mapping; Marine geology; Seafloor facies</t>
  </si>
  <si>
    <t>GRAIN-SIZE DISTRIBUTION; SEA-FLOOR; SONAR DATA; NEW-ZEALAND; ACOUSTIC BACKSCATTERING; IMAGE-ANALYSIS; COOK STRAIT; CLASSIFICATION; SEDIMENTS; BEAM</t>
  </si>
  <si>
    <t>With the ability of multibeam echo sounders (MBES) to measure backscatter strength (BS) as a function of true angle of insonification across the seafloor, came a new recognition of the potential of backscatter measurements to remotely characterize the properties of the seafloor. Advances in transducer design, digital electronics, signal processing capabilities, navigation, and graphic display devices, have improved the resolution and particularly the dynamic range available to sonar and processing software manufacturers. Alongside these improvements the expectations of what the data can deliver has also grown. In this paper, we identify these user-expectations and explore how MBES backscatter is utilized by different communities involved in marine seabed research at present, and the aspirations that these communities have for the data in the future. The results presented here are based on a user survey conducted by the GeoHab (Marine Geological and Biological Habitat Mapping) association. This paper summarises the different processing procedures employed to extract useful information from MBES backscatter data and the various intentions for which the user community collect the data. We show how a range of backscatter output products are generated from the different processing procedures, and how these results are taken up by different scientific disciplines, and also identify common constraints in handling MBES BS data. Finally, we outline our expectations for the future of this unique and important data source for seafloor mapping and characterisation.</t>
  </si>
  <si>
    <t>[Lucieer, Vanessa] Univ Tasmania, Inst Marine &amp; Antarctic Studies, Hobart, Tas 7001, Australia; [Roche, Marc; Degrendele, Koen] FPS Econ, Continental Shelf Serv, B-1000 Brussels, Belgium; [Malik, Mashkoor] NOAA, Off Ocean Explorat &amp; Res, Silver Spring, MD 20910 USA; [Dolan, Margaret] Geol Survey Norway, N-7491 Trondheim, Norway; [Lamarche, Geoffroy] Natl Inst Water &amp; Atmosphere, Wellington, New Zealand</t>
  </si>
  <si>
    <t>University of Tasmania; National Oceanic Atmospheric Admin (NOAA) - USA; Geological Survey of Norway; National Institute of Water &amp; Atmospheric Research (NIWA) - New Zealand</t>
  </si>
  <si>
    <t>Lucieer, V (corresponding author), Univ Tasmania, Inst Marine &amp; Antarctic Studies, Hobart, Tas 7001, Australia.</t>
  </si>
  <si>
    <t>vanessa.lucieer@utas.edu.au</t>
  </si>
  <si>
    <t>Dolan, Margaret/AAC-3875-2019; lucieer, vanessa l/D-1697-2009; Lamarche, Geoffroy/C-5777-2008</t>
  </si>
  <si>
    <t>Lamarche, Geoffroy/0000-0003-1933-8258; Dolan, Margaret/0000-0003-4405-9277</t>
  </si>
  <si>
    <t>Marine Biodiversity Hub through Australian Government's National Environmental Science Programme</t>
  </si>
  <si>
    <t>V. Lucieer was supported by the Marine Biodiversity Hub through funding from the Australian Government's National Environmental Science Programme. The authors wish to acknowledge the two anonymous reviewers for their constructive comments and to X. Lurton for his edits, which have substantially improved this manuscript.</t>
  </si>
  <si>
    <t>DORDRECHT</t>
  </si>
  <si>
    <t>VAN GODEWIJCKSTRAAT 30, 3311 GZ DORDRECHT, NETHERLANDS</t>
  </si>
  <si>
    <t>0025-3235</t>
  </si>
  <si>
    <t>1573-0581</t>
  </si>
  <si>
    <t>MAR GEOPHYS RES</t>
  </si>
  <si>
    <t>Mar. Geophys. Res.</t>
  </si>
  <si>
    <t>1-2</t>
  </si>
  <si>
    <t>10.1007/s11001-017-9316-5</t>
  </si>
  <si>
    <t>Geochemistry &amp; Geophysics; Oceanography</t>
  </si>
  <si>
    <t>GC8AY</t>
  </si>
  <si>
    <t>WOS:000430016500003</t>
  </si>
  <si>
    <t>Ierodiaconou, D; Schimel, ACG; Kennedy, D; Monk, J; Gaylard, G; Young, M; Diesing, M; Rattray, A</t>
  </si>
  <si>
    <t>Ierodiaconou, Daniel; Schimel, Alexandre C. G.; Kennedy, David; Monk, Jacquomo; Gaylard, Grace; Young, Mary; Diesing, Markus; Rattray, Alex</t>
  </si>
  <si>
    <t>Combining pixel and object based image analysis of ultra-high resolution multibeam bathymetry and backscatter for habitat mapping in shallow marine waters</t>
  </si>
  <si>
    <t>Multibeam echosounder; Marine habitat mapping; Object based image analysis; Random forests</t>
  </si>
  <si>
    <t>SUPERVISED CLASSIFICATION; SEGMENTATION; MULTISCALE; MODELS; SONAR; UNCERTAINTY; ACCURACY; FORESTS; VIDEO</t>
  </si>
  <si>
    <t>Habitat mapping data are increasingly being recognised for their importance in underpinning marine spatial planning. The ability to collect ultra-high resolution (cm) multibeam echosounder (MBES) data in shallow waters has facilitated understanding of the fine-scale distribution of benthic habitats in these areas that are often prone to human disturbance. Developing quantitative and objective approaches to integrate MBES data with ground observations for predictive modelling is essential for ensuring repeatability and providing confidence measures for habitat mapping products. Whilst supervised classification approaches are becoming more common, users are often faced with a decision whether to implement a pixel based (PB) or an object based (OB) image analysis approach, with often limited understanding of the potential influence of that decision on final map products and relative importance of data inputs to patterns observed. In this study, we apply an ensemble learning approach capable of integrating PB and OB Image Analysis from ultra-high resolution MBES bathymetry and backscatter data for mapping benthic habitats in Refuge Cove, a temperate coastal embayment in south-east Australia. We demonstrate the relative importance of PB and OB seafloor derivatives for the five broad benthic habitats that dominate the site. We found that OB and PB approaches performed well with differences in classification accuracy but not discernible statistically. However, a model incorporating elements of both approaches proved to be significantly more accurate than OB or PB methods alone and demonstrate the benefits of using MBES bathymetry and backscatter combined for class discrimination.</t>
  </si>
  <si>
    <t>[Ierodiaconou, Daniel; Schimel, Alexandre C. G.; Monk, Jacquomo; Gaylard, Grace; Young, Mary; Rattray, Alex] Deakin Univ, Sch Life &amp; Environm Sci, Ctr Integrat Ecol, Warrnambool Campus,Sherwood Pk,POB 423, Warrnambool, Vic 3280, Australia; [Schimel, Alexandre C. G.] Taihoro Nukurangi, Natl Inst Water &amp; Atmospher Res NIWA, 301 Evans Bay Parade, Wellington 6021, New Zealand; [Kennedy, David] Univ Melbourne, Sch Geog, Parkville, Vic 3010, Australia; [Monk, Jacquomo] Univ Tasmania, Inst Marine &amp; Antarctic Studies, Private Bag 49, Hobart, Tas 7001, Australia; [Diesing, Markus] Geol Survey Norway, POB 6315 Torgarden, N-7491 Trondheim, Norway; [Diesing, Markus] Ctr Environm Fisheries &amp; Aquaculture Sci, Pakefield Rd, Lowestoft NR33 0HT, Suffolk, England</t>
  </si>
  <si>
    <t>Deakin University; National Institute of Water &amp; Atmospheric Research (NIWA) - New Zealand; University of Melbourne; University of Tasmania; Geological Survey of Norway; Centre for Environment Fisheries &amp; Aquaculture Science</t>
  </si>
  <si>
    <t>Ierodiaconou, D (corresponding author), Deakin Univ, Sch Life &amp; Environm Sci, Ctr Integrat Ecol, Warrnambool Campus,Sherwood Pk,POB 423, Warrnambool, Vic 3280, Australia.</t>
  </si>
  <si>
    <t>daniel.ierodiaconou@deakin.edu.au</t>
  </si>
  <si>
    <t>Diesing, Markus/D-6868-2011; Rattray, Alex J/I-8172-2012; Ierodiaconou, Daniel A/B-9915-2008; Kennedy, Martin/O-4540-2019; Schimel, Alexandre/C-9273-2013</t>
  </si>
  <si>
    <t>Diesing, Markus/0000-0003-4331-7553; Kennedy, Martin/0000-0002-6445-8526; KENNEDY, DAVID/0000-0002-4878-7717; Ierodiaconou, Daniel/0000-0002-7832-4801; Schimel, Alexandre/0000-0001-9301-0803; Monk, Jacquomo/0000-0002-1874-0619; Rattray, Alex/0000-0002-8591-6688</t>
  </si>
  <si>
    <t>Victorian Marine Habitat Mapping Program; Department of Environment, Land Water and Planning; Parks Victoria; Australian National Data Services (ANDS) from the Australian Government's National Environmental Science Programme; Marine Biodiversity Hub from the Australian Government's National Environmental Science Programme; POZIBLE project Voyages of Discovery; Somers Carroll Productions</t>
  </si>
  <si>
    <t>We thank Dr Matt Edmunds from Australian Marine Ecology and Dr Steffan Howe from Parks Victoria for provision of the AUV data collected as part of an invasive pest survey. We thank Sean Blake for assistance with the collection of MBES data aboard Deakin University's research vessel Yolla. We thank the Port Welshpool Coast Guard for providing accommodation and vessel support during video and sediment surveys. AR and MY were supported by the Victorian Marine Habitat Mapping Program with funds through Department of Environment, Land Water and Planning, Parks Victoria and Australian National Data Services (ANDS) through funding from the Australian Government's National Environmental Science Programme. JM was supported by the Marine Biodiversity Hub through funding from the Australian Government's National Environmental Science Programme. This project was funded by Parks Victoria, POZIBLE project Voyages of Discovery and Somers Carroll Productions.</t>
  </si>
  <si>
    <t>10.1007/s11001-017-9338-z</t>
  </si>
  <si>
    <t>WOS:000430016500017</t>
  </si>
  <si>
    <t>Richter, S; Gerum, R; Winterl, A; Houstin, A; Seifert, M; Peschel, J; Fabry, B; Le Bohec, C; Zitterbart, DP</t>
  </si>
  <si>
    <t>Richter, S.; Gerum, R.; Winterl, A.; Houstin, A.; Seifert, M.; Peschel, J.; Fabry, B.; Le Bohec, C.; Zitterbart, D. P.</t>
  </si>
  <si>
    <t>Phase transitions in huddling emperor penguins</t>
  </si>
  <si>
    <t>JOURNAL OF PHYSICS D-APPLIED PHYSICS</t>
  </si>
  <si>
    <t>collective behaviour; phase transition; emperor penguin; huddling; climate variability; environmental conditions</t>
  </si>
  <si>
    <t>BEHAVIOR; DYNAMICS</t>
  </si>
  <si>
    <t>Emperor penguins (Aptenodytes forsleri) are highly adapted to the harsh conditions of the Antarctic winter: they are able to fast for up to 134 days during breeding. To conserve energy, emperor penguins form tight groups (huddles), which is key for their reproductive success. The effect of different meteorological factors on the huddling behaviour, however, is not well understood. Using time-lapse image recordings of an emperor penguin colony, we show that huddling can be described as a phase transition from a fluid to a solid state. We use the colony density as order parameter, and an apparent temperature that is perceived by the penguins as the thermodynamic variable. We approximate the apparent temperature as a linear combination of four meteorological parameters: ambient temperature, wind speed, global radiation and relative humidity. We find a wind chill factor of 2.9 degrees C(ms(-1))(-1), a humidity chill factor of -0.5 degrees C/% rel. humidity, and a solar radiation heating factor of 0.3 degrees C (Wm(-2))(-1). In the absence of wind, humidity and solar radiation, the phase transition temperature (50% huddling probability) is -48.2 degrees C for the investigated time period (May 2014). We propose that higher phase transition temperatures indicate a shrinking thermal insulation and thus can serve as a proxy for lower energy reserves of the colony, integrating pre-breeding foraging success at sea and energy expenditure at land due to environmental conditions. As current global change is predicted to have strong detrimental effects on emperor penguins within the next decades, our approach may thus contribute towards an urgently needed long-term monitoring system for assessing colony health.</t>
  </si>
  <si>
    <t>[Richter, S.; Gerum, R.; Winterl, A.; Seifert, M.; Peschel, J.; Fabry, B.; Zitterbart, D. P.] Friedrich Alexander Univ, Biophys Grp, Erlangen, Germany; [Richter, S.; Zitterbart, D. P.] Woods Hole Oceanog Inst, Appl Ocean Phys &amp; Engn, Woods Hole, MA 02543 USA; [Houstin, A.; Le Bohec, C.] Ctr Sci Monaco, Dept Biol Polaire, Monaco, Monaco; [Houstin, A.; Le Bohec, C.] Univ Strasbourg, CNRS, IPHC, UMR 7178, Strasbourg, France</t>
  </si>
  <si>
    <t>University of Erlangen Nuremberg; Woods Hole Oceanographic Institution; Centre National de la Recherche Scientifique (CNRS); CNRS - National Institute of Nuclear and Particle Physics (IN2P3); Universites de Strasbourg Etablissements Associes; Universite de Strasbourg</t>
  </si>
  <si>
    <t>Richter, S (corresponding author), Friedrich Alexander Univ, Biophys Grp, Erlangen, Germany.;Richter, S (corresponding author), Woods Hole Oceanog Inst, Appl Ocean Phys &amp; Engn, Woods Hole, MA 02543 USA.</t>
  </si>
  <si>
    <t>sebastian.sr.richter@gmail.com</t>
  </si>
  <si>
    <t>LE BOHEC, CELINE/AAD-3589-2022; Fabry, Ben/C-5496-2013; Zitterbart, Daniel P/N-7489-2013; Gerum, Richard Carl/AAW-8732-2021</t>
  </si>
  <si>
    <t>Fabry, Ben/0000-0003-1737-0465; Gerum, Richard Carl/0000-0001-5893-2650; Winterl, Alexander/0000-0003-0688-9317; LE BOHEC, Celine/0000-0003-0149-6477; Richter, Sebastian/0000-0002-1948-7088; Zitterbart, Daniel/0000-0001-9429-4350</t>
  </si>
  <si>
    <t>Deutsche Forschungsgemeinschaft (DFG) [FA336/5-1, ZI1525/3-1]; Woods Hole Oceanographic Institution; Doherty Foundation; NIH [HL65960]; Centre Scientifique de Monaco; Centre National de la Recherche Scientifique (Programme Zone Atelier de Recherches sur l'Environnement Antarctique et Subantarctique); Programme of the Institut Polaire Francais Paul-Emile Victor (IPEV) [137]</t>
  </si>
  <si>
    <t>Deutsche Forschungsgemeinschaft (DFG)(German Research Foundation (DFG)); Woods Hole Oceanographic Institution; Doherty Foundation; NIH(United States Department of Health &amp; Human ServicesNational Institutes of Health (NIH) - USA); Centre Scientifique de Monaco; Centre National de la Recherche Scientifique (Programme Zone Atelier de Recherches sur l'Environnement Antarctique et Subantarctique); Programme of the Institut Polaire Francais Paul-Emile Victor (IPEV)</t>
  </si>
  <si>
    <t>This study was funded by the Deutsche Forschungsgemeinschaft (DFG) grants FA336/5-1 and ZI1525/3-1 in the framework of the priority program Antarctic research with comparative investigations in 'Arctic ice areas'. This work was supported by the Postdoctoral Scholar Program at the Woods Hole Oceanographic Institution, with funding provided by the Doherty Foundation, by NIH Grant HL65960 and was conducted within the framework of the Programme 137 of the Institut Polaire Francais Paul-Emile Victor (IPEV), with additional support from the Centre Scientifique de Monaco through budget allocated to the Laboratoire International Associe 647 BioSensib (CSM/CNRS-University of Strasbourg), the Centre National de la Recherche Scientifique (Programme Zone Atelier de Recherches sur l'Environnement Antarctique et Subantarctique). We thank IPEV Logistics and the winterers at Dumont d'Urville for their invaluable support, and Meteo France for the meteorological data of Dumont d'Urville. The authors declare no competing interests.</t>
  </si>
  <si>
    <t>IOP PUBLISHING LTD</t>
  </si>
  <si>
    <t>BRISTOL</t>
  </si>
  <si>
    <t>TEMPLE CIRCUS, TEMPLE WAY, BRISTOL BS1 6BE, ENGLAND</t>
  </si>
  <si>
    <t>0022-3727</t>
  </si>
  <si>
    <t>1361-6463</t>
  </si>
  <si>
    <t>J PHYS D APPL PHYS</t>
  </si>
  <si>
    <t>J. Phys. D-Appl. Phys.</t>
  </si>
  <si>
    <t>MAY 31</t>
  </si>
  <si>
    <t>10.1088/1361-6463/aabb8e</t>
  </si>
  <si>
    <t>Physics, Applied</t>
  </si>
  <si>
    <t>Physics</t>
  </si>
  <si>
    <t>GE7PB</t>
  </si>
  <si>
    <t>WOS:000431424200001</t>
  </si>
  <si>
    <t>Fowles, AE; Stuart-Smith, RD; Stuart-Smith, JF; Hill, NA; Kirkpatrick, JB; Edgar, GJ</t>
  </si>
  <si>
    <t>Fowles, Amelia E.; Stuart-Smith, Rick D.; Stuart-Smith, Jemina F.; Hill, Nicole A.; Kirkpatrick, Jamie B.; Edgar, Graham J.</t>
  </si>
  <si>
    <t>Effects of urbanisation on macroalgae and sessile invertebrates in southeast Australian estuaries</t>
  </si>
  <si>
    <t>ESTUARINE COASTAL AND SHELF SCIENCE</t>
  </si>
  <si>
    <t>Ecklonia radiata; Estuarine ecology; Heavy metal pollution; Kelp; Multiple stressors</t>
  </si>
  <si>
    <t>PORT-PHILLIP BAY; URCHIN CENTROSTEPHANUS-RODGERSII; TREATED SEWAGE EFFLUENT; HORMOSIRA-BANKSII; HEAVY-METALS; WATER-QUALITY; DERWENT ESTUARY; SARGASSUM SPP.; CLIMATE-CHANGE; FORMING ALGAE</t>
  </si>
  <si>
    <t>The influence of anthropogenic and environmental factors on the composition, cover and dominance of macroalgae and sessile invertebrates was assessed in three capital city estuaries in south-eastern Australia. Heavy metals and proximity to ports showed the strongest relationships to the distribution of sessile reef biota after accounting for natural environmental gradients. The densities of laminarian, fucoid, brown and red foliose algae were negatively correlated with heavy metals, both in Port Phillip Bay (Melbourne) and the Derwent (Hobart), while turf, filamentous algae and some invertebrates were favoured. Sydney Harbour possessed a different pattern, with the laminarian kelp Ecklonia radiata most abundant near the main shipping port, probably because of biotic interactions involving urchin grazing in the lower estuary. Identifying drivers of benthic community pattern represents a key challenge for effective conservation management, particularly for estuaries affected by multiple anthropogenic impacts. (C) 2018 Elsevier Ltd. All rights reserved.</t>
  </si>
  <si>
    <t>[Fowles, Amelia E.; Stuart-Smith, Rick D.; Stuart-Smith, Jemina F.; Hill, Nicole A.; Edgar, Graham J.] Univ Tasmania, Inst Marine &amp; Antarctic Studies, Hobart, Tas, Australia; [Kirkpatrick, Jamie B.] Univ Tasmania, Sch Land &amp; Food, Discipline Geog &amp; Spatial Sci, Hobart, Tas, Australia</t>
  </si>
  <si>
    <t>University of Tasmania; University of Tasmania</t>
  </si>
  <si>
    <t>Edgar, GJ (corresponding author), Univ Tasmania, Inst Marine &amp; Antarctic Studies, Hobart, Tas, Australia.</t>
  </si>
  <si>
    <t>g.edgar@utas.edu.au</t>
  </si>
  <si>
    <t>Stuart-Smith, Rick/I-5214-2019; Edgar, Graham/AAY-3797-2020; Stuart-Smith, Rick D/M-1829-2013</t>
  </si>
  <si>
    <t>Stuart-Smith, Rick/0000-0002-8874-0083; Edgar, Graham/0000-0003-0833-9001; Stuart-Smith, Rick D/0000-0002-8874-0083</t>
  </si>
  <si>
    <t>Marine Biodiversity Hub (Project C2) through the Australian Government's National Environmental Research Program (NERP); Community Coastcare grant</t>
  </si>
  <si>
    <t>The authors thank Reef Life Survey volunteer divers for data collection and logistics support, particularly Marlene Davey, Antonia Cooper, Joe Duggan, Alyce Hancock, Sue Wragge and Liz Oh. We would like to thank Aquenal Pty Ltd staff, particularly Jeremy Lane, and the many UTAS students for field support. Fiona Scott provided advice on macroalgal species identification. Scholarship funding was provided by the Marine Biodiversity Hub (Project C2), a collaborative partnership supported through funding from the Australian Government's National Environmental Research Program (NERP). Field surveys were supported by a Community Coastcare grant, while environmental data were provided by city councils, Melbourne Water, and the Derwent Estuary Program. Environmental, urban impact and biotic data are available as Supplementary Material.</t>
  </si>
  <si>
    <t>ACADEMIC PRESS LTD- ELSEVIER SCIENCE LTD</t>
  </si>
  <si>
    <t>LONDON</t>
  </si>
  <si>
    <t>24-28 OVAL RD, LONDON NW1 7DX, ENGLAND</t>
  </si>
  <si>
    <t>0272-7714</t>
  </si>
  <si>
    <t>1096-0015</t>
  </si>
  <si>
    <t>ESTUAR COAST SHELF S</t>
  </si>
  <si>
    <t>Estuar. Coast. Shelf Sci.</t>
  </si>
  <si>
    <t>10.1016/j.ecss.2018.02.010</t>
  </si>
  <si>
    <t>GD8RP</t>
  </si>
  <si>
    <t>WOS:000430780100004</t>
  </si>
  <si>
    <t>Pazmiño, A; Godin-Beekmann, S; Hauchecorne, A; Claud, C; Khaykin, S; Goutail, F; Wolfram, E; Salvador, J; Quel, E</t>
  </si>
  <si>
    <t>Pazmino, Andrea; Godin-Beekmann, Sophie; Hauchecorne, Alain; Claud, Chantal; Khaykin, Sergey; Goutail, Florence; Wolfram, Elian; Salvador, Jacobo; Quel, Eduardo</t>
  </si>
  <si>
    <t>Multiple symptoms of total ozone recovery inside the Antarctic vortex during austral spring</t>
  </si>
  <si>
    <t>ATMOSPHERIC CHEMISTRY AND PHYSICS</t>
  </si>
  <si>
    <t>SENSOR REANALYSIS; AEROSOL; TRENDS; PERIOD; LIDAR; OCCURRENCES; VARIABILITY; EMERGENCE; RADIATION; DEPLETION</t>
  </si>
  <si>
    <t>The long-term evolution of total ozone column inside the Antarctic polar vortex is investigated over the 1980-2017 period. Trend analyses are performed using a multilinear regression (MLR) model based on various proxies for the evaluation of ozone interannual variability (heat flux, quasi-biennial oscillation, solar flux, Antarctic oscillation and aerosols). Annual total ozone column measurements corresponding to the mean monthly values inside the vortex in September and during the period of maximum ozone depletion from 15 September to 15 October are used. Total ozone columns from the Multi-Sensor Reanalysis version 2 (MSR-2) dataset and from a combined record based on TOMS and OMI satellite datasets with gaps filled by MSR-2 (1993-1995) are considered in the study. Ozone trends are computed by a piece-wise trend (PWT) proxy that includes two linear functions before and after the turnaround year in 2001 and a parabolic function to account for the saturation of the polar ozone destruction. In order to evaluate average total ozone within the vortex, two classification methods are used, based on the potential vorticity gradient as a function of equivalent latitude. The first standard one considers this gradient at a single isentropic level (475 or 550 K), while the second one uses a range of isentropic levels between 400 and 600 K. The regression model includes a new proxy (GRAD) linked to the gradient of potential vorticity as a function of equivalent latitude and representing the stability of the vortex during the studied month. The determination coefficient (R-2) between observations and modelled values increases by similar to 0.05 when this proxy is included in the MLR model. Highest R-2 (0.92-0.95) and minimum residuals are obtained for the second classification method for both datasets and months. Trends in September over the 2001-2017 period are statistically significant at 2 sigma level with values ranging between 1.84 +/- 1.03 and 2.83 +/- 1.48DUyr(-1) depending on the methods and considered proxies. This result confirms the recent studies of Antarctic ozone healing during that month. Trends from 2001 are 2 to 3 times smaller than before the turnaround year, as expected from the response to the slowly ozonedepleting substances decrease in polar regions. For the first time, significant trends are found for the period of maximum ozone depletion. Estimated trends from 2001 for the 15 September-15 October period over 2001-2017 vary from 1.21 +/- 0.83 to 1.96DU +/- 0.99 yr(-1) and are significant at 2 sigma level. MLR analysis is also applied to the ozone mass deficit (OMD) metric for both periods, considering a threshold at 220DU and total ozone columns south of 60 degrees S. Significant trend values are observed for all cases and periods. A decrease of OMD of 0.86 +/- 0.36 and 0.65 +/- 0.33 Mt yr(-1) since 2001 is observed in September and 15 September-15 October, respectively. Ozone recovery is also confirmed by a steady decrease of the relative area of total ozone values lower than 175DU within the vortex in the 15 September-15 October period since 2010 and a delay in the occurrence of ozone levels below 125 DU since 2005.</t>
  </si>
  <si>
    <t>[Pazmino, Andrea; Godin-Beekmann, Sophie; Hauchecorne, Alain; Khaykin, Sergey; Goutail, Florence] UPMC Univ Paris 06, CNRS, UVSQ Univ Paris Saclay, LATMOS, Guyancourt, France; [Claud, Chantal] Ecole Polytech, CNRS, LMD, Palaiseau, France; [Wolfram, Elian; Salvador, Jacobo; Quel, Eduardo] UMI IFAECI CNRS 3351, CEILAP UNIDEF MINDEF CONICET, Villa Martelli, Argentina; [Wolfram, Elian; Salvador, Jacobo] Univ Tecnol Nacl, Fac Reg Bs As UTN FRBA, Buenos Aires, DF, Argentina; [Salvador, Jacobo] Univ Nacl Patagonia Austral, Unidad Acad Rio Gallegos UNPA UARG, Rio Gallegos, Argentina</t>
  </si>
  <si>
    <t>Centre National de la Recherche Scientifique (CNRS); Sorbonne Universite; Universite Paris Saclay; Centre National de la Recherche Scientifique (CNRS); Ecole des Ponts ParisTech; Institut Polytechnique de Paris; Universidad Nacional de la Patagonia San Juan Bosco</t>
  </si>
  <si>
    <t>Pazmiño, A (corresponding author), UPMC Univ Paris 06, CNRS, UVSQ Univ Paris Saclay, LATMOS, Guyancourt, France.</t>
  </si>
  <si>
    <t>andrea.pazmino@latmos.ipsl.fr</t>
  </si>
  <si>
    <t>Hauchecorne, Alain/A-8489-2013; Salvador, Jacobo/ISV-5414-2023</t>
  </si>
  <si>
    <t>Hauchecorne, Alain/0000-0001-9888-6994; Wolfram, Elian/0000-0001-6297-4327; Quel, Eduardo Jaime/0000-0002-9638-0823</t>
  </si>
  <si>
    <t>Dynozpol/LEFE project - French Institut National des Sciences de l'Univers (INSU) of the Centre National de la Recherche Scientifique (CNRS)</t>
  </si>
  <si>
    <t>The authors thank NASA's GSFC and TEMIS for total ozone column data of TOMS/SBUV/OMI-TOMS and MSR-2, respectively. They are grateful to Cathy Boone of ES-PRI data centre of Institut Pierre Simone Laplace (IPSL) for providing ERA-Interim data. This work was supported by the Dynozpol/LEFE project funded by the French Institut National des Sciences de l'Univers (INSU) of the Centre National de la Recherche Scientifique (CNRS). The authors thank Susan Solomon for fruitful interactions and the two anonymous referees for their constructive reviews.</t>
  </si>
  <si>
    <t>COPERNICUS GESELLSCHAFT MBH</t>
  </si>
  <si>
    <t>GOTTINGEN</t>
  </si>
  <si>
    <t>BAHNHOFSALLEE 1E, GOTTINGEN, 37081, GERMANY</t>
  </si>
  <si>
    <t>1680-7316</t>
  </si>
  <si>
    <t>1680-7324</t>
  </si>
  <si>
    <t>ATMOS CHEM PHYS</t>
  </si>
  <si>
    <t>Atmos. Chem. Phys.</t>
  </si>
  <si>
    <t>10.5194/acp-18-7557-2018</t>
  </si>
  <si>
    <t>GH6MF</t>
  </si>
  <si>
    <t>WOS:000433557700002</t>
  </si>
  <si>
    <t>Le Meur, E; Magand, O; Arnaud, L; Fily, M; Frezzotti, M; Cavitte, M; Mulvaney, R; Urbini, S</t>
  </si>
  <si>
    <t>Le Meur, Emmanuel; Magand, Olivier; Arnaud, Laurent; Fily, Michel; Frezzotti, Massimo; Cavitte, Marie; Mulvaney, Robert; Urbini, Stefano</t>
  </si>
  <si>
    <t>Spatial and temporal distributions of surface mass balance between Concordia and Vostok stations, Antarctica, from combined radar and ice core data: first results and detailed error analysis</t>
  </si>
  <si>
    <t>CRYOSPHERE</t>
  </si>
  <si>
    <t>DOME EAST ANTARCTICA; SNOW ACCUMULATION; VOLCANIC-ERUPTIONS; LAW DOME; VARIABILITY; CLIMATE; RECORD; SIGNAL; CHRONOLOGY; SULFUR</t>
  </si>
  <si>
    <t>Results from ground-penetrating radar (GPR) measurements and shallow ice cores carried out during a scientific traverse between Dome Concordia (DC) and Vostok stations are presented in order to infer both spatial and temporal characteristics of snow accumulation over the East Antarctic Plateau. Spatially continuous accumulation rates along the traverse are computed from the identification of three equally spaced radar reflections spanning about the last 600 years. Accurate dating of these internal reflection horizons (IRHs) is obtained from a depth-age relationship derived from volcanic horizons and bomb testing fallouts on a DC ice core and shows a very good consistency when tested against extra ice cores drilled along the radar profile. Accumulation rates are then inferred by accounting for density profiles down to each IRH. For the latter purpose, a careful error analysis showed that using a single and more accurate density profile along a DC core provided more reliable results than trying to include the potential spatial variability in density from extra (but less accurate) ice cores distributed along the profile. The most striking feature is an accumulation pattern that remains constant through time with persistent gradients such as a marked decrease from 26 mm w.e. yr(-1) at DC to 20 mm w.e. yr(-1) at the south-west end of the profile over the last 234 years on average (with a similar decrease from 25 to 19 mm w.e. yr(-1) over the last 592 years). As for the time dependency, despite an overall consistency with similar measurements carried out along the main East Antarctic divides, interpreting possible trends remains difficult. Indeed, error bars in our measurements are still too large to unambiguously infer an apparent time increase in accumulation rate. For the proposed absolute values, maximum margins of error are in the range 4 mm w.e. yr(-1) (last 234 years) to 2 mm w.e. yr(-1) (last 592 years), a decrease with depth mainly resulting from the time-averaging when computing accumulation rates.</t>
  </si>
  <si>
    <t>[Le Meur, Emmanuel; Magand, Olivier; Arnaud, Laurent; Fily, Michel] Univ Grenoble Alpes, CNRS, IGE, Grenoble, France; [Frezzotti, Massimo] ENEA, Agenzia Nazl Nuove Tecnol Energia &amp; Sviluppo Sost, Rome, Italy; [Cavitte, Marie] Univ Texas Austin, Inst Geophys, Austin, TX 78712 USA; [Mulvaney, Robert] British Antarctic Survey, Cambridge, England; [Urbini, Stefano] Ist Nazl Geofis &amp; Vulcanol, Rome, Italy</t>
  </si>
  <si>
    <t>Communaute Universite Grenoble Alpes; Universite Grenoble Alpes (UGA); Centre National de la Recherche Scientifique (CNRS); Italian National Agency New Technical Energy &amp; Sustainable Economics Development; University of Texas System; University of Texas Austin; UK Research &amp; Innovation (UKRI); Natural Environment Research Council (NERC); NERC British Antarctic Survey; Istituto Nazionale Geofisica e Vulcanologia (INGV)</t>
  </si>
  <si>
    <t>Le Meur, E (corresponding author), Univ Grenoble Alpes, CNRS, IGE, Grenoble, France.</t>
  </si>
  <si>
    <t>emmanuel.lemeur@univ-grenoble-alpes.fr</t>
  </si>
  <si>
    <t>FREZZOTTI, Massimo/AAK-7275-2020; Cavitte, Marie/AAB-8533-2020; Mulvaney, Robert/K-3929-2012</t>
  </si>
  <si>
    <t>FREZZOTTI, Massimo/0000-0002-2461-2883; Cavitte, Marie/0000-0002-5777-0933; urbini, stefano/0000-0002-8053-4197; arnaud, laurent/0000-0002-4432-4205; Mulvaney, Robert/0000-0002-5372-8148</t>
  </si>
  <si>
    <t>French Research National Agency [ANR-07-VULN-013 VANISH]; [ANR-06-VULN-016-01DACOTA]; [ANR-12-BS06-0018-SUMER]; NERC [NE/R016038/1, bas0100034] Funding Source: UKRI</t>
  </si>
  <si>
    <t>French Research National Agency(Agence Nationale de la Recherche (ANR)); ; ; NERC(UK Research &amp; Innovation (UKRI)Natural Environment Research Council (NERC))</t>
  </si>
  <si>
    <t>We would like to thank the French Research National Agency (Project ANR-07-VULN-013 VANISH), who provided significant financial support to the TASTE-IDEA 2010-11 traverse, where data of the present study originate. The French Polar Institute (IPEV) was crucial in the success of this traverse by mastering all the logistical aspects and providing the necessary staff, material, and consumables. The technical staff (IGE: Eric Lefebvre and Gregory Teste; IPEV: Antony Vende, Alexandre Leluc and David Colin) are also heartily thanked for their invaluable expertise. The Russian Arctic and Antarctic Expeditions (AARI, Vostok base) are also thanked for having welcomed the traverse at the Vostok Station. Projects ANR-06-VULN-016-01DACOTA and ANR-12-BS06-0018-SUMER also contributed by funding a significant part of the GPR used in the present study. Lastly, we would like to thank the three reviewers, whose suggestions and remarks considerably improved the manuscript.</t>
  </si>
  <si>
    <t>1994-0416</t>
  </si>
  <si>
    <t>1994-0424</t>
  </si>
  <si>
    <t>Cryosphere</t>
  </si>
  <si>
    <t>10.5194/tc-12-1831-2018</t>
  </si>
  <si>
    <t>GH6KK</t>
  </si>
  <si>
    <t>Green Accepted, gold</t>
  </si>
  <si>
    <t>WOS:000433552900002</t>
  </si>
  <si>
    <t>Badingquiying; Smith, AT; Harris, RB</t>
  </si>
  <si>
    <t>Badingquiying; Smith, Andrew T.; Harris, Richard B.</t>
  </si>
  <si>
    <t>Summer habitat use of plateau pikes (Ochotona curzoniae) in response to winter livestock grazing in the alpine steppe Qinghai-Tibetan Plateau</t>
  </si>
  <si>
    <t>ARCTIC ANTARCTIC AND ALPINE RESEARCH</t>
  </si>
  <si>
    <t>Biodiversity conservation; livestock grazing; Ochotona curzoniae; plateau pika; rangeland degradation; Qinghai-Tibetan Plateau</t>
  </si>
  <si>
    <t>VULPES-FERRILATA; PIKAS; BIODIVERSITY; FOX</t>
  </si>
  <si>
    <t>Plateau pikas (Ochotona curzoniae), burrowing lagomorphs endemic to the Qinghai-Tibetan Plateau (QTP), are considered pests by Chinese authorities because of their association with grasslands that are characterized as degraded. Officials typically blame pikas for causing the degraded conditions, whereas studies increasingly suggest that sparse vegetation encourages population growth and high densities of pikas. Correlational investigations that document pika density while simultaneously describing grassland conditions can quantify this association, but are uninformative regarding causation. We used livestock exclosures and pika reductions in partially controlled experiments to examine how pika habitat use responds to changes in vegetation structure caused by wintertime livestock grazing. Mean counts of pikas were higher on grazed than ungrazed plots. Linear models accounting for experimental pika reduction as well as seasonal phenology indicated that grazing significantly increased pika use compared with ungrazed plots. These results show that moderate livestock density is likely consistent with both biodiversity conservation and economic activity, and that high pika populations alone are not responsible for observed degradation of the QTP alpine grasslands. Moderate levels of livestock grazing and pika presence are consistent with maintaining the integrity of the alpine steppe ecosystem of the QTP.</t>
  </si>
  <si>
    <t>[Badingquiying] Qinghai Normal Univ, Coll Geog Sci, Xining, Qinghai, Peoples R China; [Badingquiying] Qinghai Normal Univ, Qinghai Prov Key Lab Phys Geog &amp; Environm Proc, Xining, Qinghai, Peoples R China; [Smith, Andrew T.] Arizona State Univ, Sch Life Sci, Tempe, AZ USA; [Harris, Richard B.] Univ Montana, Dept Ecosyst &amp; Conservat Sci, Missoula, MT 59812 USA; [Harris, Richard B.] Washington Dept Fish &amp; Wildlife, Olympia, WA USA</t>
  </si>
  <si>
    <t>Qinghai Normal University; Qinghai Normal University; Arizona State University; Arizona State University-Tempe; University of Montana System; University of Montana; Washington Department of Fish &amp; Wildlife (WDFW)</t>
  </si>
  <si>
    <t>Harris, RB (corresponding author), POB 43200, Olympia, WA 98504 USA.</t>
  </si>
  <si>
    <t>rharris@montana.com</t>
  </si>
  <si>
    <t>U.S. National Science Foundation, Dynamics of Coupled Natural and Human Systems Program [0815441]; Keidanren Nature Conservation Fund, Japan; Division Of Behavioral and Cognitive Sci; Direct For Social, Behav &amp; Economic Scie [0815441] Funding Source: National Science Foundation</t>
  </si>
  <si>
    <t>U.S. National Science Foundation, Dynamics of Coupled Natural and Human Systems Program(National Science Foundation (NSF)); Keidanren Nature Conservation Fund, Japan; Division Of Behavioral and Cognitive Sci; Direct For Social, Behav &amp; Economic Scie(National Science Foundation (NSF)NSF - Directorate for Social, Behavioral &amp; Economic Sciences (SBE))</t>
  </si>
  <si>
    <t>Our work was supported by the U.S. National Science Foundation, Dynamics of Coupled Natural and Human Systems Program, Award 0815441, with supplemental funding from the Keidanren Nature Conservation Fund, Japan.</t>
  </si>
  <si>
    <t>1523-0430</t>
  </si>
  <si>
    <t>1938-4246</t>
  </si>
  <si>
    <t>ARCT ANTARCT ALP RES</t>
  </si>
  <si>
    <t>Arct. Antarct. Alp. Res.</t>
  </si>
  <si>
    <t>MAY 30</t>
  </si>
  <si>
    <t>e1447190</t>
  </si>
  <si>
    <t>10.1080/15230430.2018.1447190</t>
  </si>
  <si>
    <t>Environmental Sciences; Geography, Physical</t>
  </si>
  <si>
    <t>Environmental Sciences &amp; Ecology; Physical Geography</t>
  </si>
  <si>
    <t>GN1GT</t>
  </si>
  <si>
    <t>WOS:000438737300001</t>
  </si>
  <si>
    <t>Liang, Q; Peng, S; Niu, BB; Zhou, CX; Wang, ZE</t>
  </si>
  <si>
    <t>Liang, Qi; Peng, Sha; Niu, Beibei; Zhou, Chunxia; Wang, Zhen</t>
  </si>
  <si>
    <t>Mapping glacier-related research in polar regions: a bibliometric analysis of research output from 1987 to 2016</t>
  </si>
  <si>
    <t>POLAR RESEARCH</t>
  </si>
  <si>
    <t>publications; climate change; ice-core records</t>
  </si>
  <si>
    <t>SEA-LEVEL CHANGE; ICE; SCIENCE; OCEAN; TEMPERATURE; ANTARCTICA; CYCLES; ISLAND</t>
  </si>
  <si>
    <t>We carried out a bibliometric analysis of literature related to glaciers in polar regions from the period 1987-2016 indexed in the Science Citation Index Expanded database. A comprehensive review was performed by analysing the research output trends, publication categories, main journals, leading countries and their collaborations, leading scientists, author keywords and Keywords Plus. The results indicated that the number of publications related to glaciers in polar regions has increased rapidly. The USA and several European countries, including the UK, France, Germany and Switzerland, are the leaders in the field of glacial studies, as reflected both in the productivity measures and in the distribution of core scientists. Quaternary Science Reviews, the Journal of Glaciology, and Geophysical Research Letters were the most productive journals for glacial studies. The synthesized analysis of the keywords demonstrated the current research emphases and hinted at future research trends. Reconstructing past climate changes through studies of ice-core records is one of the most important research subjects. Numerical modelling has become a commonly used tool in polar region glacial research. A better understanding of the responses of glaciers to widespread climatic warming is needed now and in the future.</t>
  </si>
  <si>
    <t>[Liang, Qi; Zhou, Chunxia] Wuhan Univ, Chinese Antarctic Ctr Surveying &amp; Mapping, 129 Luoyu Rd, Wuhan 430079, Hubei, Peoples R China; [Peng, Sha] Hubei Univ Econ, Sch Econ &amp; Environm Resources, Wuhan, Hubei, Peoples R China; [Peng, Sha; Niu, Beibei; Wang, Zhen] Wuhan Univ, Sch Resource &amp; Environm Sci, Wuhan, Hubei, Peoples R China; [Niu, Beibei] Shandong Agr Univ, Coll Resources &amp; Environm, Tai An, Shandong, Peoples R China</t>
  </si>
  <si>
    <t>Wuhan University; Hubei University of Economics; Wuhan University; Shandong Agricultural University</t>
  </si>
  <si>
    <t>Zhou, CX (corresponding author), Wuhan Univ, Chinese Antarctic Ctr Surveying &amp; Mapping, 129 Luoyu Rd, Wuhan 430079, Hubei, Peoples R China.</t>
  </si>
  <si>
    <t>zhoucx@whu.edu.cn</t>
  </si>
  <si>
    <t>Liang, Qi/AAI-4973-2020; Wang, Zhen/V-2047-2019; Niu, Beibei/AAA-2144-2020; Wang, Zhen/V-2219-2019</t>
  </si>
  <si>
    <t>Niu, Beibei/0000-0002-0197-5454; Wang, Zhen/0000-0002-7902-4093; Liang, Qi/0000-0002-6766-9361</t>
  </si>
  <si>
    <t>National Natural Science Foundation of China [41376187, 41776200]; Chinese Polar Environment Comprehensive Investigation &amp; Assessment Programme [CHINARE2016-02-04]; Fundamental Research Funds for the Central Universities [2042015kf0189]</t>
  </si>
  <si>
    <t>National Natural Science Foundation of China(National Natural Science Foundation of China (NSFC)); Chinese Polar Environment Comprehensive Investigation &amp; Assessment Programme; Fundamental Research Funds for the Central Universities(Fundamental Research Funds for the Central Universities)</t>
  </si>
  <si>
    <t>This research is funded by the National Natural Science Foundation of China (grant numbers 41376187, 41776200), the Chinese Polar Environment Comprehensive Investigation &amp; Assessment Programme (CHINARE2016-02-04) and the Fundamental Research Funds for the Central Universities (2042015kf0189).</t>
  </si>
  <si>
    <t>OPEN ACADEMIA AB</t>
  </si>
  <si>
    <t>SPANGA</t>
  </si>
  <si>
    <t>STORMBYVAGEN 6, SPANGA, SE-163 55, SWEDEN</t>
  </si>
  <si>
    <t>0800-0395</t>
  </si>
  <si>
    <t>1751-8369</t>
  </si>
  <si>
    <t>POLAR RES-SWEDEN</t>
  </si>
  <si>
    <t>Polar Res.</t>
  </si>
  <si>
    <t>10.1080/17518369.2018.1468196</t>
  </si>
  <si>
    <t>Ecology; Geosciences, Multidisciplinary; Oceanography</t>
  </si>
  <si>
    <t>Environmental Sciences &amp; Ecology; Geology; Oceanography</t>
  </si>
  <si>
    <t>GH9ME</t>
  </si>
  <si>
    <t>WOS:000433992700001</t>
  </si>
  <si>
    <t>Daczko, NR; Halpin, JA; Fitzsimons, ICW; Whittaker, JM</t>
  </si>
  <si>
    <t>Daczko, Nathan R.; Halpin, Jacqueline A.; Fitzsimons, Ian C. W.; Whittaker, Joanne M.</t>
  </si>
  <si>
    <t>A cryptic Gondwana-forming orogen located in Antarctica</t>
  </si>
  <si>
    <t>SCIENTIFIC REPORTS</t>
  </si>
  <si>
    <t>U-PB ZIRCON; OFFSHORE WESTERN-AUSTRALIA; MALANI IGNEOUS SUITE; EAST ANTARCTICA; PRYDZ BAY; TECTONIC FRAMEWORK; DETRITAL ZIRCONS; GROVE MOUNTAINS; GLACIER AREA; WILKES LAND</t>
  </si>
  <si>
    <t>The most poorly exposed and least understood Gondwana-forming orogen lies largely hidden beneath ice in East Antarctica. Called the Kuunga orogen, its interpolation between scattered outcrops is speculative with differing and often contradictory trends proposed, and no consensus on the location of any sutures. While some discount a suture altogether, paleomagnetic data from Indo-Antarctica and Australo-Antarctica do require 3000-5000 km relative displacement during Ediacaran-Cambrian Gondwana amalgamation, suggesting that the Kuunga orogen sutured provinces of broadly Indian versus Australian affinity. Here we use compiled data from detrital zircons offshore of East Antarctica that fingerprint two coastal subglacial basement provinces between 60 and 130 degrees E, one of Indian affinity with dominant ca. 980-900 Ma ages (Indo-Antarctica) and one of Australian affinity with dominant ca. 1190-1140 and ca. 1560 Ma ages (Australo-Antarctica). We combine this offshore compilation with existing and new onshore U-Pb geochronology and previous geophysical interpretations to delimit the Indo-Australo-Antarctic boundary at a prominent geophysical lineament which intersects the coast east of Mirny at similar to 94 degrees E.</t>
  </si>
  <si>
    <t>[Daczko, Nathan R.] Macquarie Univ, ARC Ctr Excellence Core Crust Fluid Syst, Sydney, NSW 2109, Australia; [Daczko, Nathan R.] Macquarie Univ, GEMOC, Dept Earth &amp; Planetary Sci, Sydney, NSW 2109, Australia; [Halpin, Jacqueline A.; Whittaker, Joanne M.] Univ Tasmania, Inst Marine &amp; Antarctic Studies, Private Bag 129, Hobart, Tas 7001, Australia; [Fitzsimons, Ian C. W.] Curtin Univ, Sch Earth &amp; Planetary Sci, GPO Box U1987, Perth, WA 6845, Australia</t>
  </si>
  <si>
    <t>Macquarie University; Macquarie University; University of Tasmania; Curtin University</t>
  </si>
  <si>
    <t>Daczko, NR (corresponding author), Macquarie Univ, ARC Ctr Excellence Core Crust Fluid Syst, Sydney, NSW 2109, Australia.;Daczko, NR (corresponding author), Macquarie Univ, GEMOC, Dept Earth &amp; Planetary Sci, Sydney, NSW 2109, Australia.</t>
  </si>
  <si>
    <t>nathan.daczko@mq.edu.au</t>
  </si>
  <si>
    <t>Fitzsimons, Ian/A-3707-2012; Halpin, Jacqueline A/A-3776-2014; Whittaker, Joanne/B-3695-2010</t>
  </si>
  <si>
    <t>Fitzsimons, Ian/0000-0002-8907-7455; Halpin, Jacqueline A/0000-0002-4992-8681; Daczko, Nathan/0000-0002-3737-3818; Whittaker, Joanne/0000-0002-3170-3935</t>
  </si>
  <si>
    <t>Australian Research Council's Special Research Initiative for Antarctic Gateway Partnership [SR140300001]; Australian Antarctic Science Grant [4355]; ARC [DE140100376]; Australian Research Council [DE140100376] Funding Source: Australian Research Council</t>
  </si>
  <si>
    <t>Australian Research Council's Special Research Initiative for Antarctic Gateway Partnership(Australian Research Council); Australian Antarctic Science Grant; ARC(Australian Research Council); Australian Research Council(Australian Research Council)</t>
  </si>
  <si>
    <t>C. Carson &amp; J. Lankford facilitated access to the Geoscience Australia archives. C. Talavera &amp; R. Taylor (Curtin) assisted with SHRIMP dating. J. Mulder and J. Thompson (Univ. of Tasmania) assisted with LA-ICPMS dating. This is contribution 1171 from the ARC Centre of Excellence for Core to Crust Fluid Systems (http://www.CCFS.mq.edu.au) and 1232 in the GEMOC Key Centre (http://www.GEMOC.mq.edu.au) and is related to IGCP-662. This research was supported under Australian Research Council's Special Research Initiative for Antarctic Gateway Partnership (Project ID SR140300001), an Australian Antarctic Science Grant (project 4355), and ARC DE140100376.</t>
  </si>
  <si>
    <t>NATURE PORTFOLIO</t>
  </si>
  <si>
    <t>BERLIN</t>
  </si>
  <si>
    <t>HEIDELBERGER PLATZ 3, BERLIN, 14197, GERMANY</t>
  </si>
  <si>
    <t>2045-2322</t>
  </si>
  <si>
    <t>SCI REP-UK</t>
  </si>
  <si>
    <t>Sci Rep</t>
  </si>
  <si>
    <t>10.1038/s41598-018-26530-1</t>
  </si>
  <si>
    <t>Multidisciplinary Sciences</t>
  </si>
  <si>
    <t>Science &amp; Technology - Other Topics</t>
  </si>
  <si>
    <t>GH6FD</t>
  </si>
  <si>
    <t>WOS:000433538100012</t>
  </si>
  <si>
    <t>Jakobsson, M; Hogan, KA; Mayer, LA; Mix, A; Jennings, A; Stoner, J; Eriksson, B; Jerram, K; Mohammad, R; Pearce, C; Reilly, B; Stranne, C</t>
  </si>
  <si>
    <t>Jakobsson, Martin; Hogan, Kelly A.; Mayer, Larry A.; Mix, Alan; Jennings, Anne; Stoner, Joe; Eriksson, Bjorn; Jerram, Kevin; Mohammad, Rezwan; Pearce, Christof; Reilly, Brendan; Stranne, Christian</t>
  </si>
  <si>
    <t>The Holocene retreat dynamics and stability of Petermann Glacier in northwest Greenland</t>
  </si>
  <si>
    <t>NATURE COMMUNICATIONS</t>
  </si>
  <si>
    <t>PINE ISLAND BAY; LATE QUATERNARY HISTORY; ICE STREAM-B; WEST ANTARCTICA; SUBMARINE LANDFORMS; TIDEWATER GLACIERS; JAKOBSHAVN ISBRAE; EAST GREENLAND; SHELF; SHEET</t>
  </si>
  <si>
    <t>Submarine glacial landforms in fjords are imprints of the dynamic behaviour of marine-terminating glaciers and are informative about their most recent retreat phase. Here we use detailed multibeam bathymetry to map glacial landforms in Petermann Fjord and Nares Strait, northwestern Greenland. A large grounding-zone wedge (GZW) demonstrates that Petermann Glacier stabilised at the fjord mouth for a considerable time, likely buttressed by an ice shelf. This stability was followed by successive backstepping of the ice margin down the GZW's retrograde backslope forming small retreat ridges to 680 m current depth (similar to 730-800 m palaeodepth). Iceberg ploughmarks occurring somewhat deeper show that thick, grounded ice persisted to these water depths before final breakup occurred. The palaeodepth limit of the recessional moraines is consistent with final collapse driven by marine ice cliff instability (MICI) with retreat to the next stable position located underneath the present Petermann ice tongue, where the seafloor is unmapped.</t>
  </si>
  <si>
    <t>[Jakobsson, Martin; Eriksson, Bjorn; Mohammad, Rezwan; Stranne, Christian] Stockholm Univ, Dept Geol Sci, S-10691 Stockholm, Sweden; [Jakobsson, Martin; Eriksson, Bjorn; Mohammad, Rezwan; Stranne, Christian] Stockholm Univ, Bolin Ctr Climate Res, S-10691 Stockholm, Sweden; [Hogan, Kelly A.] British Antarctic Survey, Nat Environm Res Council, Madingley Rd, Cambridge CB3 0ET, England; [Mayer, Larry A.; Jerram, Kevin] Univ New Hampshire, Ctr Coastal &amp; Ocean Mapping, Durham, NH 03824 USA; [Mix, Alan; Stoner, Joe; Reilly, Brendan] Oregon State Univ, Coll Earth Ocean &amp; Atmospher Sci, Corvallis, OR 97331 USA; [Jennings, Anne] Univ Colorado, Inst Arctic &amp; Alpine Res, Boulder, CO 80309 USA; [Pearce, Christof] Aarhus Univ, Dept Geosci, DK-8000 Aarhus, Denmark</t>
  </si>
  <si>
    <t>Stockholm University; Stockholm University; UK Research &amp; Innovation (UKRI); Natural Environment Research Council (NERC); NERC British Antarctic Survey; University System Of New Hampshire; University of New Hampshire; Oregon State University; University of Colorado System; University of Colorado Boulder; Aarhus University</t>
  </si>
  <si>
    <t>Jakobsson, M (corresponding author), Stockholm Univ, Dept Geol Sci, S-10691 Stockholm, Sweden.;Jakobsson, M (corresponding author), Stockholm Univ, Bolin Ctr Climate Res, S-10691 Stockholm, Sweden.</t>
  </si>
  <si>
    <t>martin.jakobsson@geo.su.se</t>
  </si>
  <si>
    <t>Jakobsson, Martin/JAN-6828-2023; stranne, christian/L-4382-2013; Jakobsson, Martin/F-6214-2010; Pearce, Christof/M-4852-2013</t>
  </si>
  <si>
    <t>Reilly, Brendan/0000-0003-3666-4338; Pearce, Christof/0000-0002-4866-3204; Jennings, Anne/0000-0003-3176-2916; Jakobsson, Martin/0000-0002-9033-3559; Mayer, Larry/0000-0003-1846-5140</t>
  </si>
  <si>
    <t>British Antarctic Survey 'Polar Science for Planet Earth' programme - UK's Natural Environment Research Council; Swedish Research Council (VR); NERC [bas0100030] Funding Source: UKRI</t>
  </si>
  <si>
    <t>British Antarctic Survey 'Polar Science for Planet Earth' programme - UK's Natural Environment Research Council; Swedish Research Council (VR)(Swedish Research Council); NERC(UK Research &amp; Innovation (UKRI)Natural Environment Research Council (NERC))</t>
  </si>
  <si>
    <t>We thank US-NSF Polar Programs, NASA, UNAVCO, CH2M Polar Field Services (Jessy Jenkins), Polar Geospatial Center, the Swedish Polar Research Secretariat and the Swedish Maritime Administration for supporting the Petermann 2015 Expedition. K.A.H. was supported by the British Antarctic Survey 'Polar Science for Planet Earth' programme funded by the UK's Natural Environment Research Council. M.J. and colleagues from Stockholm University were supported by a grant from the Swedish Research Council (VR).</t>
  </si>
  <si>
    <t>NATURE PUBLISHING GROUP</t>
  </si>
  <si>
    <t>MACMILLAN BUILDING, 4 CRINAN ST, LONDON N1 9XW, ENGLAND</t>
  </si>
  <si>
    <t>2041-1723</t>
  </si>
  <si>
    <t>NAT COMMUN</t>
  </si>
  <si>
    <t>Nat. Commun.</t>
  </si>
  <si>
    <t>MAY 29</t>
  </si>
  <si>
    <t>10.1038/s41467-018-04573-2</t>
  </si>
  <si>
    <t>GH3JK</t>
  </si>
  <si>
    <t>Green Submitted, gold, Green Published, Green Accepted</t>
  </si>
  <si>
    <t>WOS:000433298500005</t>
  </si>
  <si>
    <t>Whitehouse, PL</t>
  </si>
  <si>
    <t>Whitehouse, Pippa L.</t>
  </si>
  <si>
    <t>Glacial isostatic adjustment modelling: historical perspectives, recent advances, and future directions</t>
  </si>
  <si>
    <t>EARTH SURFACE DYNAMICS</t>
  </si>
  <si>
    <t>RELATIVE SEA-LEVEL; ANTARCTIC ICE-SHEET; LATERAL VISCOSITY VARIATIONS; FINITE ELEMENT APPROACH; LARGE ENSEMBLE ANALYSIS; SOLID-EARTH RESPONSE; POWER-LAW FLOW; MANTLE VISCOSITY; VISCOELASTIC RELAXATION; OPTIMAL LOCATIONS</t>
  </si>
  <si>
    <t>Glacial isostatic adjustment (GIA) describes the response of the solid Earth, the gravitational field, and the oceans to the growth and decay of the global ice sheets. A commonly studied component of GIA is post-glacial rebound, which specifically relates to uplift of the land surface following ice melt. GIA is a relatively rapid process, triggering 100m scale changes in sea level and solid Earth deformation over just a few tens of thousands of years. Indeed, the first-order effects of GIA could already be quantified several hundred years ago without reliance on precise measurement techniques and scientists have been developing a unifying theory for the observations for over 200 years. Progress towards this goal required a number of significant breakthroughs to be made, including the recognition that ice sheets were once more extensive, the solid Earth changes shape over time, and gravity plays a central role in determining the pattern of sea-level change. This article describes the historical development of the field of GIA and provides an overview of the processes involved. Significant recent progress has been made as concepts associated with GIA have begun to be incorporated into parallel fields of research; these advances are discussed, along with the role that GIA is likely to play in addressing outstanding research questions within the field of Earth system modelling.</t>
  </si>
  <si>
    <t>[Whitehouse, Pippa L.] Univ Durham, Dept Geog, Durham DH1 3LE, England</t>
  </si>
  <si>
    <t>Durham University</t>
  </si>
  <si>
    <t>Whitehouse, PL (corresponding author), Univ Durham, Dept Geog, Durham DH1 3LE, England.</t>
  </si>
  <si>
    <t>pippa.whitehouse@durham.ac.uk</t>
  </si>
  <si>
    <t>Whitehouse, Pippa/0000-0002-9092-3444</t>
  </si>
  <si>
    <t>UK Natural Environment Research Council (NERC) Independent Research Fellowship [NE/K009958/1]; NERC [NE/K009958/1] Funding Source: UKRI; Natural Environment Research Council [NE/K009958/1] Funding Source: researchfish</t>
  </si>
  <si>
    <t>UK Natural Environment Research Council (NERC) Independent Research Fellowship; NERC(UK Research &amp; Innovation (UKRI)Natural Environment Research Council (NERC)); Natural Environment Research Council(UK Research &amp; Innovation (UKRI)Natural Environment Research Council (NERC))</t>
  </si>
  <si>
    <t>Grace Nield is warmly acknowledged for her help in producing the figures and for providing invaluable feedback during the writing of the manuscript. Holger Steffen and an anonymous reviewer are also thanked for their insightful comments during the review process. Many of the ideas explored in the final few sections of the manuscript reflect discussions between the author and researchers from a wide variety of disciplines, as well as a community effort at the 2017 IAG/SCAR-SERCE GIA Workshop to identify current research questions in the field of GIA (see https://www.scar.org/science/serce/news/ (last access: 25 May 2018) for a report on this workshop). Pippa L. Whitehouse is supported by a UK Natural Environment Research Council (NERC) Independent Research Fellowship (NE/K009958/1). This article is a contribution to the SCAR SERCE program.</t>
  </si>
  <si>
    <t>2196-6311</t>
  </si>
  <si>
    <t>2196-632X</t>
  </si>
  <si>
    <t>EARTH SURF DYNAM</t>
  </si>
  <si>
    <t>Earth Surf. Dyn.</t>
  </si>
  <si>
    <t>10.5194/esurf-6-401-2018</t>
  </si>
  <si>
    <t>GH4OA</t>
  </si>
  <si>
    <t>Green Accepted, gold, Green Submitted, Green Published</t>
  </si>
  <si>
    <t>WOS:000433381900001</t>
  </si>
  <si>
    <t>Springer, AM; van Vliet, GB; Bool, N; Crowley, M; Fullagar, P; Lea, MA; Monash, R; Price, C; Vertigan, C; Woehler, EJ</t>
  </si>
  <si>
    <t>Springer, Alan M.; van Vliet, Gus B.; Bool, Natalie; Crowley, Mike; Fullagar, Peter; Lea, Mary-Anne; Monash, Ross; Price, Cassandra; Vertigan, Caitlin; Woehler, Eric J.</t>
  </si>
  <si>
    <t>Transhemispheric ecosystem disservices of pink salmon in a Pacific Ocean macrosystem</t>
  </si>
  <si>
    <t>PROCEEDINGS OF THE NATIONAL ACADEMY OF SCIENCES OF THE UNITED STATES OF AMERICA</t>
  </si>
  <si>
    <t>teleconnection; short-tailed shearwater; carryover effect; interaction chain; ecosystem management</t>
  </si>
  <si>
    <t>SHORT-TAILED SHEARWATERS; SUB-ARCTIC PACIFIC; SEALS CALLORHINUS-URSINUS; EASTERN BERING-SEA; NORTH PACIFIC; CHUM SALMON; ONCORHYNCHUS-KETA; GORBUSCHA ABUNDANCE; SOCKEYE-SALMON; FEEDING-HABITS</t>
  </si>
  <si>
    <t>Pink salmon (Oncorhynchus gorbuscha) in the North Pacific Ocean have flourished since the 1970s, with growth in wild populations augmented by rising hatchery production. As their abundance has grown, so too has evidence that they are having important effects on other species and on ocean ecosystems. In alternating years of high abundance, they can initiate pelagic trophic cascades in the northern North Pacific Ocean and Bering Sea and depress the availability of common prey resources of other species of salmon, resident seabirds, and other pelagic species. We now propose that the geographic scale of ecosystem disservices of pink salmon is far greater due to a 15,000-kilometer transhemispheric teleconnection in a Pacific Ocean macrosystem maintained by short-tailed shearwaters (Ardenna tenuirostris), seabirds that migrate annually between their nesting grounds in the South Pacific Ocean and wintering grounds in the North Pacific Ocean. Over this century, the frequency and magnitude of mass mortalities of shearwaters as they arrive in Australia, and their abundance and productivity, have been related to the abundance of pink salmon. This has influenced human social, economic, and cultural traditions there, and has the potential to alter the role shearwaters play in insular terrestrial ecology. We can view the unique biennial pulses of pink salmon as a large, replicated, natural experiment that offers basin-scale opportunities to better learn how these ecosystems function. By exploring trophic interaction chains driven by pink salmon, we may achieve a deeper conservation conscientiousness for these northern open oceans.</t>
  </si>
  <si>
    <t>[Springer, Alan M.] Univ Alaska, Inst Marine Sci, Fairbanks, AK 99775 USA; [Bool, Natalie; Lea, Mary-Anne; Price, Cassandra; Vertigan, Caitlin; Woehler, Eric J.] Univ Tasmania, Inst Marine &amp; Antarctic Studies, Hobart, Tas 7000, Australia; [Crowley, Mike] State Forests NSW, South Coast Reg, Moruya Heads, NSW, Australia; [Fullagar, Peter] CSIRO, Div Wildlife Res, Belconnen, ACT 2617, Australia; [Lea, Mary-Anne] Antarctic Climate &amp; Ecosyst CRC, Hobart, Tas 7000, Australia; [Monash, Ross] Marine Conservat Program, Dept Primary Ind Pk Water &amp; Environm, Hobart, Tas 7001, Australia; [Woehler, Eric J.] BirdLife Tasmania, Hobart, Tas 7001, Australia</t>
  </si>
  <si>
    <t>University of Alaska System; University of Alaska Fairbanks; University of Tasmania; NSW Department of Primary Industries; Commonwealth Scientific &amp; Industrial Research Organisation (CSIRO); University of Tasmania</t>
  </si>
  <si>
    <t>Springer, AM (corresponding author), Univ Alaska, Inst Marine Sci, Fairbanks, AK 99775 USA.</t>
  </si>
  <si>
    <t>amspringer@alaska.edu</t>
  </si>
  <si>
    <t>crowley, michael F/A-4852-2013; Price, Cas/KHT-2225-2024; Sedran-Price, Cassandra/F-4341-2014; Lea, Mary-Anne/E-9054-2013</t>
  </si>
  <si>
    <t>Woehler, Eric/0000-0002-1125-0748; Sedran-Price, Cassandra/0000-0002-0196-2450; Lea, Mary-Anne/0000-0001-8318-9299</t>
  </si>
  <si>
    <t>NATL ACAD SCIENCES</t>
  </si>
  <si>
    <t>2101 CONSTITUTION AVE NW, WASHINGTON, DC 20418 USA</t>
  </si>
  <si>
    <t>0027-8424</t>
  </si>
  <si>
    <t>1091-6490</t>
  </si>
  <si>
    <t>P NATL ACAD SCI USA</t>
  </si>
  <si>
    <t>Proc. Natl. Acad. Sci. U. S. A.</t>
  </si>
  <si>
    <t>E5038</t>
  </si>
  <si>
    <t>E5045</t>
  </si>
  <si>
    <t>10.1073/pnas.1720577115</t>
  </si>
  <si>
    <t>GH3DX</t>
  </si>
  <si>
    <t>Green Published, Green Accepted, Bronze</t>
  </si>
  <si>
    <t>WOS:000433283700013</t>
  </si>
  <si>
    <t>Almendros, J; Carmona, E; Jiménez, V; Díaz-Moreno, A; Lorenzo, F</t>
  </si>
  <si>
    <t>Almendros, J.; Carmona, E.; Jimenez, V.; Diaz-Moreno, A.; Lorenzo, F.</t>
  </si>
  <si>
    <t>Volcano-Tectonic Activity at Deception Island Volcano Following a Seismic Swarm in the Bransfield Rift (2014-2015)</t>
  </si>
  <si>
    <t>GEOPHYSICAL RESEARCH LETTERS</t>
  </si>
  <si>
    <t>SOUTH SHETLAND ISLANDS; REMOTELY TRIGGERED SEISMICITY; LONG-VALLEY CALDERA; AFTERSHOCK SEQUENCES; MAGMA PATHWAY; ANTARCTICA; EARTHQUAKES; ERUPTIONS; PROPAGATION; EVOLUTION</t>
  </si>
  <si>
    <t>In September 2014 there was a sharp increase in the seismic activity of the Bransfield Strait, Antarctica. More than 9,000 earthquakes with magnitudes up to 4.6 located SE of Livingston Island were detected over a period of 8months. A few months after the series onset, local seismicity at the nearby (similar to 35km) Deception Island volcano increased, displaying enhanced long-period seismicity and several outbursts of volcano-tectonic (VT) earthquakes. Before February 2015, VT earthquakes occurred mainly at 5-20km SW of Deception Island. In mid-February the numbers and sizes of VT earthquakes escalated, and their locations encompassed the whole volcanic edifice, suggesting a situation of generalized unrest. The activity continued in anomalously high levels at least until May 2015. Given the spatial and temporal coincidence, it is unlikely that the Livingston series and the Deception VT swarm were unrelated. We propose that the Livingston series may have produced a triggering effect on Deception Island volcano. Dynamic stresses associated to the seismic swarm may have induced overpressure in the unstable volcanic system, leading to a magmatic intrusion that may in turn have triggered the VT swarm. Alternatively, both the Livingston earthquakes and the VT swarm could be consequences of a magmatic intrusion at Deception Island. The Livingston series would be an example of precursory distal VT swarm, which seems to be a common feature preceding volcanic eruptions and magma intrusions in long-dormant volcanoes. Plain Language Summary In September 2014 a seismic series occurred near Livingston Island, Bransfield Strait, Antarctica. With 9,000 earthquakes and magnitudes up to 4.6, it is the most numerous swarm ever reported in this region. In February 2015, a volcano-tectonic swarm took place at Deception Island volcano, a nearby, active volcanic system located 35km SE. The swarm comprised several hundred earthquakes with magnitudes up to 3.2. The spatial and temporal coincidence of these two events suggests that they could be either cause and effect or consequences of a common process. We propose that the Livingston earthquakes may have induced overpressure in the volcanic system of Deception Island that could trigger the seismic swarm. Alternatively, both swarms could represent the delayed effect of a magmatic intrusion below the volcano. This relationship adds to a growing body of evidence of earthquake-volcano interactions that must be taken into account in order to properly assess volcanic hazards.</t>
  </si>
  <si>
    <t>[Almendros, J.; Carmona, E.; Jimenez, V.; Lorenzo, F.] Univ Granada, Andalusian Inst Geophys, Granada, Spain; [Almendros, J.] Univ Granada, Dept Theoret &amp; Cosmos Phys, Granada, Spain; [Diaz-Moreno, A.] Univ Liverpool, Sch Environm Sci, Liverpool, Merseyside, England; [Lorenzo, F.] IES Martin Aldehuela, Malaga, Spain</t>
  </si>
  <si>
    <t>University of Granada; University of Granada; University of Liverpool</t>
  </si>
  <si>
    <t>Almendros, J (corresponding author), Univ Granada, Andalusian Inst Geophys, Granada, Spain.;Almendros, J (corresponding author), Univ Granada, Dept Theoret &amp; Cosmos Phys, Granada, Spain.</t>
  </si>
  <si>
    <t>vikingo@ugr.es</t>
  </si>
  <si>
    <t>Almendros, Javier/M-2468-2014; Diaz Moreno, Alejandro/L-5594-2014</t>
  </si>
  <si>
    <t>Almendros, Javier/0000-0001-5936-6160; Jimenez, vanessa/0000-0003-3346-9254; Diaz Moreno, Alejandro/0000-0003-3288-3728; Lorenzo Capel, Francisco/0000-0001-8959-6864</t>
  </si>
  <si>
    <t>Spanish Ministry of Economy [POL2006-08663, CTM2009-08085, CTM2010-11740, CTM2011-16049]; NERC grant [NE/P00105X/1, TEC2015-68752]; [IGME-1198]; [CTM2016-77315-R]; NERC [NE/P00105X/1] Funding Source: UKRI</t>
  </si>
  <si>
    <t>Spanish Ministry of Economy(Spanish Government); NERC grant(UK Research &amp; Innovation (UKRI)Natural Environment Research Council (NERC)); ; ; NERC(UK Research &amp; Innovation (UKRI)Natural Environment Research Council (NERC))</t>
  </si>
  <si>
    <t>This work was partially funded by the Spanish Ministry of Economy through projects POL2006-08663, CTM2009-08085, CTM2010-11740, and CTM2011-16049 and by the Assignment IGME-1198 for Supporting Activities to the Spanish Polar Committee. Additional support comes from project CTM2016-77315-R. The work of A. Diaz-Moreno has been partially supported also by the NERC grant NE/P00105X/1 and project TEC2015-68752. We are grateful to the Spanish Army, Spanish Navy, and Marine Technology Unit of the Spanish Council for Scientific Research for providing logistical support and to all collaborators in the field works. Comments by G. Hayes, D. Bohnenstiehl, and D. Hill have contributed to improve the manuscript and are greatly appreciated. Raw seimic data are available at the Australian Antarctic Data Center (https://data.aad.gov.au) with DOIs https://doi.org/10.4225/15/5ac56ba111460 and https://doi.org/10.4225/15/5ac5681e2f528 for permanent stations and temporary network data, respectively (Almendros et al., 2018a, 2018b). Bathymetry data were obtained from the Global Multi-Resolution Topography project (Ryan et al., 2009) of the Interdisciplinary Earth Data Alliance (https://www.gmrt.org). Antarctic coastline data come from the SCAR Antarctic Digital Database (http://www.add.scar.org). Epicenter data were obtained from the International Seismological Center (http://www.isc.ac.uk).</t>
  </si>
  <si>
    <t>0094-8276</t>
  </si>
  <si>
    <t>1944-8007</t>
  </si>
  <si>
    <t>GEOPHYS RES LETT</t>
  </si>
  <si>
    <t>Geophys. Res. Lett.</t>
  </si>
  <si>
    <t>MAY 28</t>
  </si>
  <si>
    <t>10.1029/2018GL077490</t>
  </si>
  <si>
    <t>GJ3XN</t>
  </si>
  <si>
    <t>WOS:000435262000030</t>
  </si>
  <si>
    <t>Winter, K; Ross, N; Ferraccioli, F; Jordan, TA; Corr, HFJ; Forsberg, R; Matsuoka, K; Olesen, AV; Casal, TG</t>
  </si>
  <si>
    <t>Winter, Kate; Ross, Neil; Ferraccioli, Fausto; Jordan, Tom A.; Corr, Hugh F. J.; Forsberg, Rene; Matsuoka, Kenichi; Olesen, Arne V.; Casal, Tania G.</t>
  </si>
  <si>
    <t>Topographic Steering of Enhanced Ice Flow at the Bottleneck Between East and West Antarctica</t>
  </si>
  <si>
    <t>radio echo sounding; ice flow dynamics; ice divide migration; Foundation Ice Stream; Kamb Ice Stream; Whillans Ice Stream</t>
  </si>
  <si>
    <t>WEDDELL SEA SECTOR; SUBGLACIAL SEDIMENTS; STREAM; SHEET; RADAR; SURFACE; ONSET; SHELF; BED</t>
  </si>
  <si>
    <t>Hypothesized drawdown of the East Antarctic Ice Sheet through the bottleneck zone between East and West Antarctica would have significant impacts for a large proportion of the Antarctic Ice Sheet. Earth observation satellite orbits and a sparseness of radio echo sounding data have restricted investigations of basal boundary controls on ice flow in this region until now. New airborne radio echo sounding surveys reveal complex topography of high relief beneath the southernmost Weddell/Ross ice divide, with three subglacial troughs connecting interior Antarctica to the Foundation and Patuxent Ice Streams and Siple Coast ice streams. These troughs route enhanced ice flow through the interior of Antarctica but limit potential drawdown of the East Antarctic Ice Sheet through the bottleneck zone. In a thinning or retreating scenario, these topographically controlled corridors of enhanced flow could however drive ice divide migration and increase mass discharge from interior West Antarctica to the Southern Ocean. Plain Language Summary The East and West Antarctic Ice Sheets meet at the inland termination of the Transantarctic Mountains. The ice sheets coalesce at a major ice divide, which could migrate and impact ice flow across large parts of Antarctica. A lack of satellite observations of ice flow and ice thickness has previously restricted characterization of this region, its glaciology, and its subglacial landscape. Our ice-penetrating radar surveys reveal three deep subglacial valleys and mountainous subglacial topography beneath the ice divide. New measurements of ice flow evidence faster ice flow within these troughs than in the surrounding thinner ice. Were the ice sheet to shrink in size, an increase in the speed at which ice flows through these troughs could lead to the ice divide moving and increase the rate at which ice flows out from the center of Antarctica to its edges.</t>
  </si>
  <si>
    <t>[Winter, Kate] Northumbria Univ, Fac Engn &amp; Environm, Dept Geog &amp; Environm Sci, Newcastle Upon Tyne, Tyne &amp; Wear, England; [Winter, Kate; Ross, Neil] Newcastle Univ, Sch Geog Polit &amp; Sociol, Newcastle Upon Tyne, Tyne &amp; Wear, England; [Ferraccioli, Fausto; Jordan, Tom A.; Corr, Hugh F. J.] British Antarctic Survey, Cambridge, England; [Forsberg, Rene; Olesen, Arne V.] Tech Univ Denmark, Natl Space Inst, Geodynam, Lyngby, Denmark; [Matsuoka, Kenichi] Norwegian Polar Res Inst, Tromso, Norway; [Casal, Tania G.] European Space Agcy, ESTEC, Noordwijk, Netherlands</t>
  </si>
  <si>
    <t>Northumbria University; Newcastle University - UK; UK Research &amp; Innovation (UKRI); Natural Environment Research Council (NERC); NERC British Antarctic Survey; Technical University of Denmark; Norwegian Polar Institute; European Space Agency</t>
  </si>
  <si>
    <t>Winter, K (corresponding author), Northumbria Univ, Fac Engn &amp; Environm, Dept Geog &amp; Environm Sci, Newcastle Upon Tyne, Tyne &amp; Wear, England.;Winter, K (corresponding author), Newcastle Univ, Sch Geog Polit &amp; Sociol, Newcastle Upon Tyne, Tyne &amp; Wear, England.</t>
  </si>
  <si>
    <t>k.winter@northumbria.ac.uk</t>
  </si>
  <si>
    <t>Corr, Hugh/C-5398-2011; Olesen, Arne V/M-3398-2016; Matsuoka, Kenichi/B-7298-2017</t>
  </si>
  <si>
    <t>Winter, Kate/0000-0003-2389-8637; Jordan, Tom/0000-0003-2780-1986; Matsuoka, Kenichi/0000-0002-3587-3405; Ferraccioli, Fausto/0000-0002-9347-4736; Gil Duarte Casal, Tania/0000-0001-7119-3928; Forsberg, Rene/0000-0002-7288-9545</t>
  </si>
  <si>
    <t>European Space Agency; Newcastle University Humanities and Social Science (HASS); NERC [NE/R016038/1, bas0100029] Funding Source: UKRI</t>
  </si>
  <si>
    <t>European Space Agency(European Space Agency); Newcastle University Humanities and Social Science (HASS); NERC(UK Research &amp; Innovation (UKRI)Natural Environment Research Council (NERC))</t>
  </si>
  <si>
    <t>Financial support for the PolarGAP project was provided by the European Space Agency. Project work was funded by Newcastle University Humanities and Social Science (HASS) bid preparation funding. We thank the British Antarctic Survey and the Center for Ice, Climate and Ecosystems (ICE) of the Norwegian Polar Institute for field and logistics support and Danish Technical University (DTU) staff for their contributions in data collection and laser altimetry processing. We thank R. G. Bingham and an anonymous reviewer for their constructive comments, which improved the manuscript. PolarGAP radar data used in this article are available from the European Space Agency data portal: https://earth.esa.int/web/guest/campaigns. IMAFI ice thickness picks are available from https://secure.antarctica.ac.uk/data/aerogeo/. Data related to surface ice velocity from MEaSUREs Version 2 (Rignot et al., 2017) can be downloaded from https://daacdata.apps.nsidc.org/DATASETS/nsidc0484_MEASURES_antarc_vel_ v02/directory.</t>
  </si>
  <si>
    <t>10.1029/2018GL077504</t>
  </si>
  <si>
    <t>Green Published, hybrid, Green Accepted</t>
  </si>
  <si>
    <t>WOS:000435262000041</t>
  </si>
  <si>
    <t>Stone, KA; Solomon, S; Kinnison, DE</t>
  </si>
  <si>
    <t>Stone, Kane A.; Solomon, Susan; Kinnison, Douglas E.</t>
  </si>
  <si>
    <t>On the Identification of Ozone Recovery</t>
  </si>
  <si>
    <t>ozone; recovery; stratosphere; variability</t>
  </si>
  <si>
    <t>STRATOSPHERIC OZONE; INTERANNUAL VARIABILITY; SOLAR-CYCLE; DEPLETION; DECLINE</t>
  </si>
  <si>
    <t>As ozone depleting substances decline, stratospheric ozone is displaying signs of healing in the Antarctic lower stratosphere. Here we focus on higher altitudes and the global stratosphere. Two key processes that can influence ozone recovery are evaluated: dynamical variability and solar proton events (SPEs). A nine-member ensemble of free-running simulations indicates that dynamical variability dominates the relatively small ozone recovery signal over 1998-2016 in the subpolar lower stratosphere, particularly near the tropical tropopause. The absence of observed recovery there to date is therefore not unexpected. For the upper stratosphere, high latitudes (50-80 degrees N/S) during autumn and winter show the largest recovery. Large halogen-induced odd oxygen loss there provides a fingerprint of seasonal sensitivity to chlorine trends. However, we show that SPEs also have a profound effect on ozone trends within this region since 2000. Thus, accounting for SPEs is important for detection of recovery in the upper stratosphere. Plain Language Summary With the continuing decline in ozone depleting substances, upper-atmospheric ozone is displaying signs of healing in the Antarctic region. Using a state-of-the-art model that simulates the Earth system, the nature of future ozone recovery outside of the Antarctic region is investigated to identify potential fingerprints for observing future ozone recovery. The model results show that ozone recovery near 40km is expected to be largest near the poles in both hemispheres during winter and spring, while there is still large variability in the tropical region. However, energetic protons from solar events also have an effect on ozone in these regions through well-known chemical mechanisms. Therefore, taking these effects into account will be important for detecting this ozone recovery in observations.</t>
  </si>
  <si>
    <t>[Stone, Kane A.; Solomon, Susan] MIT, Dept Earth Atmospher &amp; Planetary Sci, Cambridge, MA 02139 USA; [Kinnison, Douglas E.] Natl Ctr Atmospher Res, Atmospher Chem Observat &amp; Modeling Lab, POB 3000, Boulder, CO 80307 USA</t>
  </si>
  <si>
    <t>Massachusetts Institute of Technology (MIT); National Center Atmospheric Research (NCAR) - USA</t>
  </si>
  <si>
    <t>Stone, KA (corresponding author), MIT, Dept Earth Atmospher &amp; Planetary Sci, Cambridge, MA 02139 USA.</t>
  </si>
  <si>
    <t>stonek@mit.edu</t>
  </si>
  <si>
    <t>Kinnison, Douglas/0000-0002-3418-0834</t>
  </si>
  <si>
    <t>NSF atmospheric chemistry division [1539972]; NASA LWS [NNX14AH54G]; U.S. National Science Foundation; National Science Foundation (NSF); Office of Science of the U. S. Department of Energy; Directorate For Geosciences; Div Atmospheric &amp; Geospace Sciences [1539972] Funding Source: National Science Foundation</t>
  </si>
  <si>
    <t>NSF atmospheric chemistry division; NASA LWS(National Aeronautics &amp; Space Administration (NASA)); U.S. National Science Foundation(National Science Foundation (NSF)); National Science Foundation (NSF)(National Science Foundation (NSF)); Office of Science of the U. S. Department of Energy(United States Department of Energy (DOE)); Directorate For Geosciences; Div Atmospheric &amp; Geospace Sciences(National Science Foundation (NSF)NSF - Directorate for Geosciences (GEO))</t>
  </si>
  <si>
    <t>K. S. and S. S. were partially supported by NSF atmospheric chemistry division grant 1539972. D. K. was partially supported by the NASA LWS grant NNX14AH54G. The National Center for Atmospheric Research (NCAR) is sponsored by the U.S. National Science Foundation. WACCM is a component of the Community Earth System Model (CESM), which is supported by the National Science Foundation (NSF) and the Office of Science of the U. S. Department of Energy. Computing resources were provided by NCAR's Climate Simulation Laboratory, sponsored by NSF and other agencies. This research was enabled by the computational and storage resources of NCAR's Computational and Information System Laboratory (CISL). We thank NASA Goddard Space Flight Center for the MERRA data (accessed freely online at http://disc.sci.gsfc.nasa.gov/). We thank Sean Davis and Karen Rosenlof, from the National Oceanic and Atmospheric Administration, Chemical Sciences Division, for access to the SWOOSH ozone data set. Model results shown in this paper are available on request to Doug Kinnison (dkin@ucar.edu).</t>
  </si>
  <si>
    <t>10.1029/2018GL077955</t>
  </si>
  <si>
    <t>Green Published, Bronze</t>
  </si>
  <si>
    <t>WOS:000435262000069</t>
  </si>
  <si>
    <t>Baylis, AMM; Tierney, M; Orben, RA; Staniland, IJ; Brickle, P</t>
  </si>
  <si>
    <t>Baylis, Alastair M. M.; Tierney, Megan; Orben, Rachael A.; Staniland, Iain J.; Brickle, Paul</t>
  </si>
  <si>
    <t>Geographic variation in the foraging behaviour of South American fur seals</t>
  </si>
  <si>
    <t>MARINE ECOLOGY PROGRESS SERIES</t>
  </si>
  <si>
    <t>Colony segregation; Arctocephalus austrails; Patagonian Shelf; Stable isotopes; Resource partitioning; Satellite telemetry; Movement ecology</t>
  </si>
  <si>
    <t>INTRA-SPECIFIC COMPETITION; CENTRAL-PLACE FORAGER; ARCTOCEPHALUS-AUSTRALIS; MARINE PREDATOR; TRACKING; ECOLOGY; VARIABILITY; PHYSIOLOGY; HABITATS; FIDELITY</t>
  </si>
  <si>
    <t>The implicit assumption of many ecological studies is that animal behaviour and resource use are geographically uniform. However, central place foraging species often have geographically isolated breeding colonies that are associated with markedly different habitats. South American fur seals Arctocephalus australis (SAFS) are abundant and widely distributed colonial breeding central place foragers that provide potentially useful insights into geographic variation in animal behaviour and resource use. However, SAFS movement ecology is poorly understood. To address knowledge gaps and to explicitly test geographic variation in behaviour, we examined the foraging behaviour of 9 adult female SAFS from 2 Falkland Islands breeding colonies separated in distance by 200 km. A total of 150 foraging trips over 7 mo revealed striking colony differences. Specifically, SAFS that bred at Volunteer Rocks undertook long foraging trips (mean +/- SD: 314 +/- 70 km and 15.2 +/- 2.7 d) to the Patagonian Shelf and shelf slope (bathymetric depth: 263 +/- 28 m). In contrast, SAFS that bred at North Fur Island undertook short foraging trips (94 +/- 40 km and 5.3 +/- 2.1 d) and typically foraged near the Falkland Islands' coastline (bathymetric depth: 85 +/- 24 m). Stable isotope analysis of vibrissae delta C-13 and delta N-15 values also revealed colony differences in the isotopic niche area occupied, which indicated that resource use also differed. Contrary to popular models (Ashmole's halo, hinterland model), colony size was unrelated to distance travelled, and SAFS did not necessarily use foraging grounds closest to their breeding colony. SAFS are likely subject to different selective pressures related to different environmental demands at the 2 breeding colonies. Accordingly, we reason that behavioural differences between breeding colonies reflect different phenotypes, and habitat use is more immediately influenced by phenotype, philopatry and the local environment, rather than density-dependent competition typically attributed to colony segregation in foraging areas.</t>
  </si>
  <si>
    <t>[Baylis, Alastair M. M.; Tierney, Megan; Brickle, Paul] South Atlantic Environm Res Inst, Stanley FIQQ 1ZZ, Falkland Island; [Baylis, Alastair M. M.] Macquarie Univ, Dept Biol Sci, Sydney, NSW 2109, Australia; [Orben, Rachael A.] Oregon State Univ, Hatfield Marine Sci Ctr, Dept Fisheries &amp; Wildlife, Newport, OR 97365 USA; [Staniland, Iain J.] British Antarctic Survey, NERC, Madingley Rd, Cambridge CB3 0ET, England; [Brickle, Paul] Univ Aberdeen, Sch Biol Sci Zool, Tillydrone Ave, Aberdeen AB24 2TZ, Scotland</t>
  </si>
  <si>
    <t>Macquarie University; Oregon State University; UK Research &amp; Innovation (UKRI); Natural Environment Research Council (NERC); NERC British Antarctic Survey; University of Aberdeen</t>
  </si>
  <si>
    <t>Baylis, AMM (corresponding author), South Atlantic Environm Res Inst, Stanley FIQQ 1ZZ, Falkland Island.;Baylis, AMM (corresponding author), Macquarie Univ, Dept Biol Sci, Sydney, NSW 2109, Australia.</t>
  </si>
  <si>
    <t>al_baylis@yahoo.com.au</t>
  </si>
  <si>
    <t>Orben, Rachael A./H-9460-2019; Staniland, Iain/I-4725-2012; Baylis, Alastair/H-9471-2019</t>
  </si>
  <si>
    <t>Orben, Rachael A./0000-0002-0802-407X; Staniland, Iain/0000-0003-2736-9134; Baylis, Alastair/0000-0002-5167-0472; Brickle, Paul/0000-0002-9870-3518</t>
  </si>
  <si>
    <t>South Atlantic Environmental Research Institute's GAP project, an initiative of the Falkland Islands Offshore Hydrocarbons Environmental Forum; Falkland Islands Government; Falkland Islands Petroleum Licensees Association; Shackleton Scholarship Fund; National Geographic Society; NERC [bas0100035] Funding Source: UKRI</t>
  </si>
  <si>
    <t>South Atlantic Environmental Research Institute's GAP project, an initiative of the Falkland Islands Offshore Hydrocarbons Environmental Forum; Falkland Islands Government; Falkland Islands Petroleum Licensees Association; Shackleton Scholarship Fund; National Geographic Society(National Geographic Society); NERC(UK Research &amp; Innovation (UKRI)Natural Environment Research Council (NERC))</t>
  </si>
  <si>
    <t>We gratefully acknowledge the expertise of L. Poncet, who safely sailed us around the Falklands. Field work was made possible with funding from the South Atlantic Environmental Research Institute's GAP project, an initiative of the Falkland Islands Offshore Hydrocarbons Environmental Forum, funded by the Falkland Islands Government and Falkland Islands Petroleum Licensees Association. Field work was also supported by funding from the Shackleton Scholarship Fund and the National Geographic Society. Research was conducted under permit R14/2015 issued by the Falkland Islands Government.</t>
  </si>
  <si>
    <t>INTER-RESEARCH</t>
  </si>
  <si>
    <t>OLDENDORF LUHE</t>
  </si>
  <si>
    <t>NORDBUNTE 23, D-21385 OLDENDORF LUHE, GERMANY</t>
  </si>
  <si>
    <t>0171-8630</t>
  </si>
  <si>
    <t>1616-1599</t>
  </si>
  <si>
    <t>MAR ECOL PROG SER</t>
  </si>
  <si>
    <t>Mar. Ecol.-Prog. Ser.</t>
  </si>
  <si>
    <t>10.3354/meps12557</t>
  </si>
  <si>
    <t>Ecology; Marine &amp; Freshwater Biology; Oceanography</t>
  </si>
  <si>
    <t>Environmental Sciences &amp; Ecology; Marine &amp; Freshwater Biology; Oceanography</t>
  </si>
  <si>
    <t>GI0ID</t>
  </si>
  <si>
    <t>WOS:000434051700017</t>
  </si>
  <si>
    <t>Jean-Baptiste, P; Fourré, E; Petit, JR; Lipenkov, V; Bulat, S; Chetverikov, Y; Raynaud, D</t>
  </si>
  <si>
    <t>Jean-Baptiste, P.; Fourre, E.; Petit, J. R.; Lipenkov, V.; Bulat, S.; Chetverikov, Y.; Raynaud, D.</t>
  </si>
  <si>
    <t>Helium and Neon in the Accreted Ice of the Subglacial Antarctic Lake Vostok</t>
  </si>
  <si>
    <t>EAST ANTARCTICA; WATER EXCHANGE; GASES; FRACTIONATION; CONSTRAINTS; DIFFUSION; INVENTORY; ISOTOPES; SHEET</t>
  </si>
  <si>
    <t>We analyzed helium and neon in 24 samples from between 3,607 and 3,767m (i.e., down to 2m above the lake-ice interface) of the accreted ice frozen to the ceiling of Lake Vostok. Within uncertainties, the neon budget of the lake is balanced, the neon supplied to the lake by the melting of glacier ice being compensated by the neon exported by lake ice. The helium concentration in the lake is about 12 times more than in the glacier ice, with a measured He-3/He-4 ratio of 0.120.01R(a). This shows that Lake Vostok's waters are enriched by a terrigenic helium source. The He-3/He-4 isotope ratio of this helium source was determined. Its radiogenic value (0.057xR(a)) is typical of an old continental province, ruling out any magmatic activity associated with the tectonic structure of the lake. It corresponds to a low geothermal heat flow estimated at 51mW/m(2). Plain Language Summary Extending over 15,000km(2) in a deep trough north of Vostok station, Lake Vostok is the largest and the deepest among the many subglacial lakes to have been discovered in Antarctica. Its ice ceiling is tilted, with an ice thickness of 3,750m in the south and 4,300m in the north. As the melting point is pressure dependent, the base of the glacier melts on the thick side (northern region) whereas lake water refreezes in the south, where the Vostok station is located. Unlike most gases, helium and neon can be incorporated into the crystal structure of ice during freezing. This property makes helium and neon isotopes in the accreted ice a valuable source of information on the concentration and isotope composition of both gases in the lake water itself. Between 2006 and 2012, we collected 24 samples from between 3,607 and 3,767m (i.e., down to 2m above the lake-ice interface) of the accreted ice frozen to the ceiling of Lake Vostok (lake ice) for analyzing helium and neon. Within uncertainties, the neon concentration measured in the lake ice is equal to that in the glacier ice. This indicates that the neon budget of the lake is balanced, the neon supply to the lake by the melting of glacier ice being compensated by the Ne export by lake ice. This confirms earlier suggestions from radar data and GPS measurements of surface ice velocity that the water added to the lake by the melting of glacier ice is balanced by the lake ice, which is exported by the glacier's movement out of the lake. Helium isotopes (He-3 and He-4) are sensitive indicators of tectonic-magmatic activity. In continental areas of recent tectonic-magmatic activity such as geothermal areas, the ratio He-3/He-4 is at its highest, accompanied by excess heat flow. On the contrary, in stable continental areas, low He-3/He-4 ratios are found. The low He-3/He-4 ratio in Lake Vostok clearly demonstrates the absence of volcanic and/or magmatic activity associated with the tectonic structure of the lake, in agreement with the absence of magnetic anomaly. The helium concentration in the lake is about 12 times the concentration measured in the glacier ice. This shows that the Lake Vostok's waters are enriched from beneath by a flux of helium typical of an old stable continental province. Helium isotopes points to a low geothermal heat flow beneath the lake. We estimate this heat flow at 51mW/m(2). This value is fully consistent with the heat flow map for Antarctica inferred from satellite magnetic data and corresponds to the baseline heat flow in Antarctica. Our data do not allow us to determine the helium flux and the residence time of the lake waters independently, but only as the product of these two quantities. If we adopt the previously determined residence time of 13,300years based on geophysical inferences, we note that the helium flux value is close to the maximum of the lognormal distribution of continental helium fluxes, corresponding to the maximum likelihood of the continental helium flux.</t>
  </si>
  <si>
    <t>[Jean-Baptiste, P.; Fourre, E.] UVSQ, CNRS, CEA, Lab Sci Climat &amp; Environm, Gif Sur Yvette, France; [Petit, J. R.; Raynaud, D.] Univ Grenoble Alpes, CNRS, IRD, Inst Sci Environm IGE, Grenoble, France; [Lipenkov, V.] Arctic &amp; Antarctic Res Inst, St Petersburg, Russia; [Bulat, S.; Chetverikov, Y.] Petersburg Nucl Phys Inst, Natl Res Ctr, Kurchatov Inst, Gatchina, Russia; [Bulat, S.] Ural Fed Univ, Inst Phys &amp; Technol, Ekaterinburg, Russia</t>
  </si>
  <si>
    <t>Universite Paris Cite; Universite Paris Saclay; CEA; Centre National de la Recherche Scientifique (CNRS); Centre National de la Recherche Scientifique (CNRS); Communaute Universite Grenoble Alpes; Universite Grenoble Alpes (UGA); Institut de Recherche pour le Developpement (IRD); Arctic &amp; Antarctic Research Institute; National Research Centre - Kurchatov Institute; Petersburg Nuclear Physics Institute; Ural Federal University</t>
  </si>
  <si>
    <t>Jean-Baptiste, P (corresponding author), UVSQ, CNRS, CEA, Lab Sci Climat &amp; Environm, Gif Sur Yvette, France.</t>
  </si>
  <si>
    <t>pjb@lsce.ipsl.fr</t>
  </si>
  <si>
    <t>raynaud, dominique/ABG-4718-2020; Chetverikov, Yuriy/JOZ-2546-2023</t>
  </si>
  <si>
    <t>FOURRE, Elise/0000-0002-2554-9660; Chetverikov, Yuriy/0000-0003-0144-7456</t>
  </si>
  <si>
    <t>Russian Science Foundation [16-05-00845]; Act 211 of the Government of the Russian Federation [02.A03.21.0006]</t>
  </si>
  <si>
    <t>Russian Science Foundation(Russian Science Foundation (RSF)); Act 211 of the Government of the Russian Federation</t>
  </si>
  <si>
    <t>Data supporting this study are available in Table 1 of the present manuscript. This research was partially supported by grant 16-05-00845 of the Russian Science Foundation as well as by the Act 211 of the Government of the Russian Federation, agreement 02.A03.21.0006.</t>
  </si>
  <si>
    <t>10.1029/2018GL078068</t>
  </si>
  <si>
    <t>WOS:000435262000044</t>
  </si>
  <si>
    <t>Mallett, HKW; Boehme, L; Fedak, M; Heywood, KJ; Stevens, DP; Roquet, F</t>
  </si>
  <si>
    <t>Mallett, Helen K. W.; Boehme, Lars; Fedak, Mike; Heywood, Karen J.; Stevens, David P.; Roquet, Fabien</t>
  </si>
  <si>
    <t>Variation in the Distribution and Properties of Circumpolar Deep Water in the Eastern Amundsen Sea, on Seasonal Timescales, Using Seal-Borne Tags</t>
  </si>
  <si>
    <t>Pine Island Glacier; ice melt; Circumpolar Deep Water; Amundsen Sea</t>
  </si>
  <si>
    <t>PINE ISLAND GLACIER; WEST ANTARCTICA; ICE-SHELF; OCEAN; CIRCULATION; VARIABILITY; SENSITIVITY; EMBAYMENT; RETREAT; INFLOW</t>
  </si>
  <si>
    <t>In the Amundsen Sea, warm saline Circumpolar Deep Water (CDW) crosses the continental shelf toward the vulnerable West Antarctic ice shelves, contributing to their basal melting. Due to lack of observations, little is known about the spatial and temporal variability of CDW, particularly seasonally. A new data set of 6,704 seal tag temperature and salinity profiles in the easternmost trough between February and December 2014 reveals a CDW layer on average 49dbar thicker in late winter (August to October) than in late summer (February to April), the reverse seasonality of that seen at moorings in the western trough. This layer contains more heat in winter, but on the 27.76 kg/m(3) density surface CDW is 0.32 degrees C warmer in summer than in winter, across the northeastern Amundsen Sea, which may indicate that wintertime shoaling offshelf changes CDW properties onshelf. In Pine Island Bay these seasonal changes on density surfaces are reduced, likely by gyre circulation. Plain Language Summary In the Amundsen Sea, Antarctica, warm salty water crosses the continental shelf from the deep open ocean, toward the vulnerable West Antarctic ice shelves, bringing heat to help melt them from underneath. Due to lack of observations, little is known about how this flow of warm water varies in space and time, particularly seasonally. Between February and December 2014, in a trough in the eastern Amundsen Sea, 6,704 profiles were collected by sensors attached to seals, measuring temperature and salinity as the seals return from dives up to 1,200m deep. These data showed that this warm (similar to 1 degrees C) deep layer is on average similar to 50m thicker in late winter (August to October) than in late summer (February to April), the reverse seasonality of that seen within a trough in the western Amundsen Sea. This warm layer contains more heat in winter but on a surface of constant density is 0.32 degrees C warmer in summer than in winter, across the northeastern Amundsen Sea. This may indicate that in winter the deep waters offshelf rise, allowing different water onto the continental shelf. In Pine Island Bay these seasonal changes on density surfaces are reduced, probably because here the water circulates and mixes.</t>
  </si>
  <si>
    <t>[Mallett, Helen K. W.; Heywood, Karen J.; Stevens, David P.] Univ East Anglia, Ctr Ocean &amp; Atmospher Sci, Norwich, Norfolk, England; [Boehme, Lars; Fedak, Mike] Univ St Andrews, Sea Mammal Res Unit, St Andrews, Fife, Scotland; [Roquet, Fabien] Stockholm Univ, Dept Meteorol, Stockholm, Sweden; [Roquet, Fabien] Univ Gothenburg, Dept Marine Sci, Gothenburg, Sweden</t>
  </si>
  <si>
    <t>University of East Anglia; University of St Andrews; Stockholm University; University of Gothenburg</t>
  </si>
  <si>
    <t>Heywood, KJ (corresponding author), Univ East Anglia, Ctr Ocean &amp; Atmospher Sci, Norwich, Norfolk, England.</t>
  </si>
  <si>
    <t>k.heywood@uea.ac.uk</t>
  </si>
  <si>
    <t>Roquet, Fabien/D-4848-2013; Boehme, Lars/B-6567-2009; Stevens, David/F-2509-2010; Fedak, Michael/B-3987-2009; Heywood, Karen/L-1757-2016</t>
  </si>
  <si>
    <t>Boehme, Lars/0000-0003-3513-6816; Stevens, David/0000-0002-7283-4405; Roquet, Fabien/0000-0003-1124-4564; Fedak, Michael/0000-0002-9569-1128; Heywood, Karen/0000-0001-9859-0026</t>
  </si>
  <si>
    <t>UK Natural Environment Research Council (NERC) iSTAR Programme [NE/J005703/1, NE/JOO5649/1]; NERC [NE/L002582/1]; MASTS pooling initiative (The Marine Alliance for Science and Technology for Scotland); Scottish Funding Council [HR09011]; Natural Environment Research Council [NE/J005703/1] Funding Source: researchfish; NERC [NE/J005649/1, NE/J005703/1] Funding Source: UKRI</t>
  </si>
  <si>
    <t>UK Natural Environment Research Council (NERC) iSTAR Programme(UK Research &amp; Innovation (UKRI)Natural Environment Research Council (NERC)); NERC(UK Research &amp; Innovation (UKRI)Natural Environment Research Council (NERC)); MASTS pooling initiative (The Marine Alliance for Science and Technology for Scotland); Scottish Funding Council; Natural Environment Research Council(UK Research &amp; Innovation (UKRI)Natural Environment Research Council (NERC)); NERC(UK Research &amp; Innovation (UKRI)Natural Environment Research Council (NERC))</t>
  </si>
  <si>
    <t>We thank the crew and scientists of the RSS James Clark Ross on the iSTAR JR294/295 cruise, the Ocean2ice project team, and Simon Moss (SMRU) for help with seal tagging. The work was funded by the UK Natural Environment Research Council (NERC) iSTAR Programme through grants NE/J005703/1 (Karen Heywood and David Stevens) and NE/JOO5649/1 (Mike Fedak) and by the NERC EnvEast Doctoral Training Partnership through grant NE/L002582/1 (Helen Mallett). Lars Boehme was supported by the MASTS pooling initiative (The Marine Alliance for Science and Technology for Scotland), and their support is gratefully acknowledged. MASTS is funded by the Scottish Funding Council (grant reference HR09011) and contributing institutions. The IBCSO bathymetry data are available at https://www.scar.org/science/ibcso/resources/. The seal tag data are available at http://www.meop.net/ and the British Oceanographic Data Centre, and the ship-based CTD data are available at the British Oceanographic Data Centre.</t>
  </si>
  <si>
    <t>10.1029/2018GL077430</t>
  </si>
  <si>
    <t>WOS:000435262000050</t>
  </si>
  <si>
    <t>Ogle, SE; Tamsitt, V; Josey, SA; Gille, ST; Cerovecki, I; Talley, LD; Weller, RA</t>
  </si>
  <si>
    <t>Ogle, S. E.; Tamsitt, V.; Josey, S. A.; Gille, S. T.; Cerovecki, I.; Talley, L. D.; Weller, R. A.</t>
  </si>
  <si>
    <t>Episodic Southern Ocean Heat Loss and Its Mixed Layer Impacts Revealed by the Farthest South Multiyear Surface Flux Mooring</t>
  </si>
  <si>
    <t>Southern Ocean; mixed layer; Subantarctic Mode Water; air-sea heat flux; mooring; interannual variability</t>
  </si>
  <si>
    <t>ANTARCTIC MODE WATER; SEA INTERACTION RESEARCH; ANTHROPOGENIC CARBON; INTERMEDIATE WATER; VARIABILITY; TRANSPORT</t>
  </si>
  <si>
    <t>The Ocean Observatories Initiative air-sea flux mooring deployed at 54.08 degrees S, 89.67 degrees W, in the southeast Pacific sector of the Southern Ocean, is the farthest south long-term open ocean flux mooring ever deployed. Mooring observations (February 2015 to August 2017) provide the first in situ quantification of annual net air-sea heat exchange from one of the prime Subantarctic Mode Water formation regions. Episodic turbulent heat loss events (reaching a daily mean net flux of -294W/m(2)) generally occur when northeastward winds bring relatively cold, dry air to the mooring location, leading to large air-sea temperature and humidity differences. Wintertime heat loss events promote deep mixed layer formation that lead to Subantarctic Mode Water formation. However, these processes have strong interannual variability; a higher frequency of 2 sigma and 3 sigma turbulent heat loss events in winter 2015 led to deep mixed layers (&gt;300m), which were nonexistent in winter 2016.</t>
  </si>
  <si>
    <t>[Ogle, S. E.; Tamsitt, V.; Gille, S. T.; Cerovecki, I.; Talley, L. D.] Scripps Inst Oceanog, La Jolla, CA 92037 USA; [Tamsitt, V.] Ctr Southern Hemisphere Ocean Res, Hobart, Tas, Australia; [Tamsitt, V.] Univ New South Wales, Climate Change Res Ctr, Sydney, NSW, Australia; [Josey, S. A.] Natl Oceanog Ctr, Southampton, Hants, England; [Weller, R. A.] Woods Hole Oceanog Inst, Woods Hole, MA 02543 USA</t>
  </si>
  <si>
    <t>University of California System; University of California San Diego; Scripps Institution of Oceanography; University of New South Wales Sydney; NERC National Oceanography Centre; Woods Hole Oceanographic Institution</t>
  </si>
  <si>
    <t>Tamsitt, V (corresponding author), Scripps Inst Oceanog, La Jolla, CA 92037 USA.;Tamsitt, V (corresponding author), Ctr Southern Hemisphere Ocean Res, Hobart, Tas, Australia.;Tamsitt, V (corresponding author), Univ New South Wales, Climate Change Res Ctr, Sydney, NSW, Australia.</t>
  </si>
  <si>
    <t>v.tamsitt@unsw.edu.au</t>
  </si>
  <si>
    <t>Tamsitt, Veronica/U-1838-2019; Gille, Sarah T./B-3171-2012; Tamsitt, Veronica/M-4271-2019</t>
  </si>
  <si>
    <t>Gille, Sarah/0000-0001-9144-4368; Tamsitt, Veronica/0000-0001-8816-2239; Talley, Lynne/0000-0003-1574-729X; Weller, Robert/0000-0001-8001-6886</t>
  </si>
  <si>
    <t>Southern Ocean Carbon and Climate Observations and Modeling Project [NSFPLR-1425989]; UK Natural Environment Research Council; ORCHESTRA grant [NE/N018095/1]; [NSFOCE-1357072]; [NSFOCE-1658001]; Directorate For Geosciences; Office of Polar Programs (OPP) [1425989] Funding Source: National Science Foundation; Natural Environment Research Council [NE/N018095/1, noc010012, noc010010] Funding Source: researchfish; NERC [noc010010, NE/N018095/1] Funding Source: UKRI</t>
  </si>
  <si>
    <t>Southern Ocean Carbon and Climate Observations and Modeling Project; UK Natural Environment Research Council(UK Research &amp; Innovation (UKRI)Natural Environment Research Council (NERC)); ORCHESTRA grant; ; ; Directorate For Geosciences; Office of Polar Programs (OPP)(National Science Foundation (NSF)NSF - Directorate for Geosciences (GEO)); Natural Environment Research Council(UK Research &amp; Innovation (UKRI)Natural Environment Research Council (NERC)); NERC(UK Research &amp; Innovation (UKRI)Natural Environment Research Council (NERC))</t>
  </si>
  <si>
    <t>S. E. O., L. D. T., S. T. G., and V. T. (at sea) were supported by the Southern Ocean Carbon and Climate Observations and Modeling Project under NSFPLR-1425989; V. T. and I. C. received significant support from NSFOCE-1357072. S. T. G. and I. C. were also supported by NSFOCE-1658001. S. A. J. is supported by the UK Natural Environment Research Council, including the ORCHESTRA grant (NE/N018095/1). Original flux data can be obtained from the NSF Ocean Observatories Initiative Data Portal, http://ooinet.oceanobservatories.org. Quality controlled derived fluxes used in this analysis are available through UC San Diego Library Digital Collections (Ogle et al., 2018). Argo data were accessed using the USGODAE Argo GDAC Data Browser: http://www.usgodae.org/cgi-bin/argo_select.pl. The authors thank the OOI data management team for their support in working with the mooring data and Sebastian Bigorre and Marie Le Naour for helpful discussion.</t>
  </si>
  <si>
    <t>10.1029/2017GL076909</t>
  </si>
  <si>
    <t>Green Accepted, Bronze, Green Published</t>
  </si>
  <si>
    <t>WOS:000435262000052</t>
  </si>
  <si>
    <t>Song, H; Long, MC; Gaube, P; Frenger, I; Marshall, J; McGillicuddy, DJ</t>
  </si>
  <si>
    <t>Song, Hajoon; Long, Matthew C.; Gaube, Peter; Frenger, Ivy; Marshall, John; McGillicuddy, Dennis J., Jr.</t>
  </si>
  <si>
    <t>Seasonal Variation in the Correlation Between Anomalies of Sea Level and Chlorophyll in the Antarctic Circumpolar Current</t>
  </si>
  <si>
    <t>mesoscale eddy; vertical mixing; chlorophyll; Southern Ocean; iron; light</t>
  </si>
  <si>
    <t>NONLINEAR MESOSCALE EDDIES; SOUTHERN-OCEAN; SURFACE CHLOROPHYLL; IRON; PHYTOPLANKTON; MODEL</t>
  </si>
  <si>
    <t>The Antarctic Circumpolar Current has highly energetic mesoscale phenomena, but their impacts on phytoplankton biomass, productivity, and biogeochemical cycling are not understood well. We analyze satellite observations and an eddy-rich ocean model to show that they drive chlorophyll anomalies of opposite sign in winter versus summer. In winter, deeper mixed layers in positive sea surface height (SSH) anomalies reduce light availability, leading to anomalously low chlorophyll concentrations. In summer with abundant light, however, positive SSH anomalies show elevated chlorophyll concentration due to higher iron level, and an iron budget analysis reveals that anomalously strong vertical mixing enhances iron supply to the mixed layer. Features with negative SSH anomalies exhibit the opposite tendencies: higher chlorophyll concentration in winter and lower in summer. Our results suggest that mesoscale modulation of iron supply, light availability, and vertical mixing plays an important role in causing systematic variations in primary productivity over the seasonal cycle.</t>
  </si>
  <si>
    <t>[Song, Hajoon] Yonsei Univ, Dept Atmospher Sci, Seoul, South Korea; [Long, Matthew C.] Natl Ctr Atmospher Res, Climate &amp; Global Dynam Lab, POB 3000, Boulder, CO 80307 USA; [Gaube, Peter] Univ Washington, Appl Phys Lab, Seattle, WA 98105 USA; [Frenger, Ivy] GEOMAR Helmholtz Ctr Ocean Res Kiel, Kiel, Germany; [Marshall, John] MIT, Dept Earth Atmospher &amp; Planetary Sci, 77 Massachusetts Ave, Cambridge, MA 02139 USA; [McGillicuddy, Dennis J., Jr.] Woods Hole Oceanog Inst, Dept Appl Ocean Phys &amp; Engn, Falmouth, MA USA</t>
  </si>
  <si>
    <t>Yonsei University; National Center Atmospheric Research (NCAR) - USA; University of Washington; University of Washington Seattle; Helmholtz Association; GEOMAR Helmholtz Center for Ocean Research Kiel; Massachusetts Institute of Technology (MIT); Woods Hole Oceanographic Institution</t>
  </si>
  <si>
    <t>Song, H (corresponding author), Yonsei Univ, Dept Atmospher Sci, Seoul, South Korea.</t>
  </si>
  <si>
    <t>hajsong@mit.edu</t>
  </si>
  <si>
    <t>Long, Matthew C/H-4632-2016; Frenger, Ivy/B-9023-2017</t>
  </si>
  <si>
    <t>Frenger, Ivy/0000-0002-3490-7239; Gaube, Peter/0000-0002-3282-5803; McGillicuddy, Dennis/0000-0002-1437-2425; Long, Matthew/0000-0003-1273-2957</t>
  </si>
  <si>
    <t>National Science Foundation; NSF MOBY [OCE-1048926]; NSF [OCE-1048897, OCE-1558809]; NASA [NNX13AE47G, NNX16AH9G]; NASA [475362, NNX13AE47G] Funding Source: Federal RePORTER</t>
  </si>
  <si>
    <t>National Science Foundation(National Science Foundation (NSF)); NSF MOBY; NSF(National Science Foundation (NSF)); NASA(National Aeronautics &amp; Space Administration (NASA)); NASA(National Aeronautics &amp; Space Administration (NASA))</t>
  </si>
  <si>
    <t>The altimeter products were produced and distributed by AVISO (http://www.aviso.altimetry.fr/), as part of the Ssalto ground processing segment. The CHL observations are available through NASA MEaSUREs Ocean Color Product Evaluation Project (ftp://ftp.oceancolor.ucsb.edu/). The observational data for the depth of the mixed layer are from Dong et al. (2008) and for iron concentration are from Tagliabue et al. (2014). Computational facilities have been provided by the Climate Simulation Laboratory, which is managed by CISL at NCAR. NCAR is supported by the National Science Foundation. The CESM source code is freely available at http://www2.cesm.ucar.edu. The analysis code for the Fe budget averaged over the mixed layer is available at https://github.com hajsong/tracerbudget. H. S., J. M., and D. J. M. were supported by the NSF MOBY project (OCE-1048926). D. J. M. also acknowledges support from NSF (OCE-1048897) and NASA (NNX13AE47G). In addition, P. G. acknowledges support from NSF (OCE-1558809) and NASA (NNX13AE47G and NNX16AH9G).</t>
  </si>
  <si>
    <t>10.1029/2017GL076246</t>
  </si>
  <si>
    <t>WOS:000435262000053</t>
  </si>
  <si>
    <t>Rossi, S; Elias-Piera, F</t>
  </si>
  <si>
    <t>Rossi, S.; Elias-Piera, F.</t>
  </si>
  <si>
    <t>Trophic ecology of three echinoderms in deep waters of the Weddell Sea (Antarctica)</t>
  </si>
  <si>
    <t>Suspension feeders; Deposit feeders; Fatty acids; Stable isotopes; Energy storage; Antarctica; Biomarkers; Deep sea</t>
  </si>
  <si>
    <t>NORTHEAST ATLANTIC-OCEAN; FATTY-ACID-COMPOSITION; LABILE ORGANIC-MATTER; FOOD-WEB STRUCTURE; ABYSSAL HOLOTHURIANS; LIPID CONCENTRATIONS; FEEDING CONSTRAINTS; DELTA-N-15 ANALYSIS; SUSPENSION FEEDERS; MARINE-ENVIRONMENT</t>
  </si>
  <si>
    <t>In the Southern Ocean, the trophic ecology of deep-sea communities is probably one of the most neglected fields in the discipline. In the present study, the trophic position and energy storage-mobilization of 3 different deep-sea echinoderms living in the Weddell Sea (around 1500 m depth) weie investigated with indirect tools (i.e. stable isotopes, caibohydiate-lipid-protein balance, and free fatty acid [FFA] contents). The stalked crinoid Dumetocrmus antarcticus, the holothurian Rhipidothuna racovitzai, and the ophiuioid Ophiura cannifera were sampled in spring 2003 during a Polaistern cruise. We found that stable isotopes were in line with previous results of other species (delta C-13 ranging from -24.3 parts per thousand to -26.5 parts per thousand; delta N-15 ranging from 6.8 parts per thousand to 7.9 parts per thousand), showing similarities in the trophic position of the 3 echinoderms. The capability of these 3 organisms to store energy is conspicuous and different, e.g. fiom 18 to 45 % of the organic matter (OM) consists of lipids. The capability to mobilize energy in the form of carbohydrates and FFAs among species was also very different (e.g. biomolecules ranging from 9 to 22 mu g carbohydrates mgOM(-1 )and from 4 to 39 mu g FFA mgOM(-1)). It is suggested that even if the trophic level is similar in the 3 echinoderms, the strategies to invest the energy inputs in these deep-sea organisms in polar environments may be quite different.</t>
  </si>
  <si>
    <t>[Rossi, S.] Univ Salento, DiSTeBA, I-73100 Lecce, Italy; [Rossi, S.; Elias-Piera, F.] UAB, Inst Ciencia &amp; Tecnol Ambientals, Campus UAB S-N, Barcelona 08193, Spain; [Elias-Piera, F.] Korea Polar Res Inst, Div Polar Ocean Environm, Incheon 21990, South Korea</t>
  </si>
  <si>
    <t>University of Salento; Autonomous University of Barcelona; Korea Polar Research Institute (KOPRI)</t>
  </si>
  <si>
    <t>Rossi, S (corresponding author), Univ Salento, DiSTeBA, I-73100 Lecce, Italy.;Rossi, S (corresponding author), UAB, Inst Ciencia &amp; Tecnol Ambientals, Campus UAB S-N, Barcelona 08193, Spain.</t>
  </si>
  <si>
    <t>sergio.rossi@unisalento.it</t>
  </si>
  <si>
    <t>Elias-Piera, Francyne/D-4484-2013</t>
  </si>
  <si>
    <t>Rossi, Sergio/0000-0003-4402-3418</t>
  </si>
  <si>
    <t>Spanish Antarctic Research Programme [REN2000-3096-E/ANT]; Marie Curie International Outgoing Fellowship (ANIMAL FOREST HEALTH) [327845]; P-SPHERE (COFUND Marie Curie) [665919]; National Research Council Brazil (CNPq) [237677/2012-1]; Korea Polar Research Institute [PE17070]; Generalitat de Catalunya [2014 SGR-1356]</t>
  </si>
  <si>
    <t>Spanish Antarctic Research Programme; Marie Curie International Outgoing Fellowship (ANIMAL FOREST HEALTH)(European Union (EU)); P-SPHERE (COFUND Marie Curie); National Research Council Brazil (CNPq)(Conselho Nacional de Desenvolvimento Cientifico e Tecnologico (CNPQ)); Korea Polar Research Institute(Korea Polar Research Institute of Marine Research Placement (KOPRI)); Generalitat de Catalunya(Generalitat de Catalunya)</t>
  </si>
  <si>
    <t>We are grateful to Professor Wolf Arntz for suggestions in the early stages of this paper. Josep-Maria Gili, Enrique Isla, Dieter Gerdes, Pablo Lopez-Gonzalez and Covadonga Orejas helped in the collection and taxonomical recognition of the samples. Lucia Rizzo helped with her critical view in advanced versions of the manuscript. Thanks to C. Barboza for helping with statistical analyses. Financial support for this study was provided by the Spanish Antarctic Research Programme REN2000-3096-E/ANT. S.R. was funded with a Marie Curie International Outgoing Fellowship (ANIMAL FOREST HEALTH, Grant Agreement Number 327845) and P-SPHERE (COFUND Marie Curie, Grant Agreement Number 665919). F.E.P. received a grant from the National Research Council Brazil (CNPq, process 237677/2012-1) and is now funded by the Korea Polar Research Institute (PE17070). We are thankful for the support of the Generalitat de Catalunya to Marine Ecosystems Research Group (MERS) (2014 SGR-1356), as well as the Alfred Wegener Institute for Polar and Marine Research (AWI), which kindly invited us to join both EASIZ expeditions. The assistance of many colleagues on board, and the crew of the RV 'Polar stern' is also gratefully acknowledged. This work is contributing to the ICTA Maria de Maetzu 'Unit of Excellence' (MinECo, MDM2015-0552).</t>
  </si>
  <si>
    <t>10.3354/meps12544</t>
  </si>
  <si>
    <t>WOS:000434051700011</t>
  </si>
  <si>
    <t>Kogure, M; Nakamura, T; Ejiri, MK; Nishiyama, T; Tomikawa, Y; Tsutsumi, M</t>
  </si>
  <si>
    <t>Kogure, Masaru; Nakamura, Takuji; Ejiri, Mitsumu K.; Nishiyama, Takanori; Tomikawa, Yoshihiro; Tsutsumi, Masaki</t>
  </si>
  <si>
    <t>Effects of Horizontal Wind Structure on a Gravity Wave Event in the Middle Atmosphere Over Syowa (69°S, 40°E), the Antarctic</t>
  </si>
  <si>
    <t>gravity wave; middle atmosphere; lidar; synoptic-scale disturbance; polar night jet; intermittency</t>
  </si>
  <si>
    <t>LIDAR OBSERVATIONS; GENERAL-CIRCULATION; RAYLEIGH LIDAR; CLIMATE MODELS; MOMENTUM FLUX; STRATOSPHERE; INTERMITTENCY; 69-DEGREES-S; VORTEX; RADAR</t>
  </si>
  <si>
    <t>Nightly mean potential energy of gravity waves (GWs) per unit mass (E-p) over Syowa Station (69 degrees S, 40 degrees E) was calculated from temperature profiles observed by the Rayleigh/Raman lidar from 2011 to 2015. The E-p values in the upper stratosphere and lower mesosphere were significantly enhanced on 8-21 August 2014, except on 12 August. A ray-tracing analysis showed that large-scale GWs emitted from various latitudes could be refracted and forced to converge above Syowa due to the poleward tilting of the polar night jet with altitude. It should be noted that E-p on 12 August was smaller than the other values during the enhancement, despite similar polar night jet conditions. A synoptic-scale disturbance, which passed on 12 August, could have blocked the GWs from propagating upward through critical level filtering. These results suggest that convergence of the wave should be considered as a part of the intermittency of the GWs. Plain Language Summary Atmospheric waves of short horizontal scale, known as gravity waves (GW), transport momentum through the atmosphere from the Earth's surface, and drive north-south circulations. These airflows profoundly influence the temperature structure at heights corresponding to the ozone layer. However, the small scale of GWs makes it necessary to artificially represent them in atmospheric models. GW activity is quite variable in space and time, and the representation of this variation is a key to improve long-term climate forecasts. Previous observational studies mainly discussed variations of GW sources and wind filtering, but such variations do not explain the observations in this study. We suggest that the GWs generated at various latitudes converged to our observation area enhancing the local GW activity. Moreover, the convergence was found to be related to the structure of the polar night jet. This result suggests that the lack of wave horizontal propagation typical in model wave parameterizations could contribute to their cold bias and unrealistic representation of ozone hole over the Antarctic in spring.</t>
  </si>
  <si>
    <t>[Kogure, Masaru; Nakamura, Takuji; Ejiri, Mitsumu K.; Nishiyama, Takanori; Tomikawa, Yoshihiro; Tsutsumi, Masaki] Grad Univ Adv Studies SOKENDAI, Dept Polar Sci, Tachikawa, Tokyo, Japan; [Kogure, Masaru; Nakamura, Takuji; Ejiri, Mitsumu K.; Nishiyama, Takanori; Tomikawa, Yoshihiro; Tsutsumi, Masaki] Natl Inst Polar Res, Tachikawa, Tokyo, Japan</t>
  </si>
  <si>
    <t>Graduate University for Advanced Studies - Japan; Research Organization of Information &amp; Systems (ROIS); National Institute of Polar Research (NIPR) - Japan</t>
  </si>
  <si>
    <t>Kogure, M (corresponding author), Grad Univ Adv Studies SOKENDAI, Dept Polar Sci, Tachikawa, Tokyo, Japan.;Kogure, M (corresponding author), Natl Inst Polar Res, Tachikawa, Tokyo, Japan.</t>
  </si>
  <si>
    <t>kogure.masaru@nipr.ac.jp</t>
  </si>
  <si>
    <t>Nishiyama, Takanori/ABA-2671-2020; Kogure, Masaru/IUP-8537-2023; Tomikawa, Yoshihiro/D-5304-2012</t>
  </si>
  <si>
    <t>Nishiyama, Takanori/0000-0002-3648-6589; Kogure, Masaru/0000-0003-0774-8647; Tomikawa, Yoshihiro/0000-0002-5652-3017; Nakamura, Takuji/0000-0002-3876-2946</t>
  </si>
  <si>
    <t>JSPS KAKENHI [JP24340121, JP15H02137]; NIPR [KP-2, KP-301]; JSPS Overseas Challenge Program for Young Researchers [201780038]</t>
  </si>
  <si>
    <t>JSPS KAKENHI(Ministry of Education, Culture, Sports, Science and Technology, Japan (MEXT)Japan Society for the Promotion of ScienceGrants-in-Aid for Scientific Research (KAKENHI)); NIPR(National Institute of Polar Research (NIPR) - Japan); JSPS Overseas Challenge Program for Young Researchers</t>
  </si>
  <si>
    <t>The authors would like to thank Damian Murphy (Australian Antarctic Division) for useful discussions that improve this study. This work was supported by JSPS KAKENHI grants JP24340121 and JP15H02137 and by NIPR projects KP-2 and KP-301. This study was also supported by JSPS Overseas Challenge Program for Young Researchers (No. 201780038). The Syowa Rayleigh/Raman lidar was operated by the Japanese Antarctic Research Expedition (JARE) under the prioritized project AJ1. The lidar data can be accessed at http://id.nii.ac.jp/1291/00014824/.</t>
  </si>
  <si>
    <t>10.1029/2018GL078264</t>
  </si>
  <si>
    <t>Green Submitted, Bronze</t>
  </si>
  <si>
    <t>WOS:000435262000068</t>
  </si>
  <si>
    <t>Huang, KM; Yang, ZX; Wang, R; Zhang, SD; Huang, CM; Yi, F; Hu, F</t>
  </si>
  <si>
    <t>Huang, Kai Ming; Yang, Zun Xun; Wang, Rui; Zhang, Shao Dong; Huang, Chun Ming; Yi, Fan; Hu, Fei</t>
  </si>
  <si>
    <t>A Statistical Study of Inertia Gravity Waves in the Lower Stratosphere Over the Arctic Region Based on Radiosonde Observations</t>
  </si>
  <si>
    <t>JOURNAL OF GEOPHYSICAL RESEARCH-ATMOSPHERES</t>
  </si>
  <si>
    <t>IGWs; the Arctic</t>
  </si>
  <si>
    <t>MIDDLE-ATMOSPHERE; LIDAR OBSERVATIONS; SPECTRAL-ANALYSIS; MESOPAUSE REGION; MOMENTUM FLUX; NA LIDAR; FREQUENCY; SATELLITE; RADAR; AIRS</t>
  </si>
  <si>
    <t>Relative to many investigations of inertial gravity waves (IGWs) in the Antarctic, IGW activity in the Arctic region was paid less attention to. We use radiosonde observations at the Ny-Alesund station (78.9 degrees N, 11.9 degrees E) from April 2012 to June 2016 to study the IGW characteristics in the lower stratosphere over the Arctic. The observation reveals a prevailing eastward zonal background wind below 20km and an obvious annual cycle of the background temperature from the troposphere to the lower stratosphere, which is different from the results in the middle and low latitudes. By combining Lomb-Scargle spectrum and hodograph technique, case study demonstrates that the lower stratospheric IGWs exhibit a feature of freely propagating waves. Statistical analysis indicates that the IGWs have dominant horizontal (vertical) wavelength of 50-1,050km (1-4km) and ratio (1-2.5) of the intrinsic to inertia frequencies. Wave energy exhibits an annual oscillation with the maximum in winter and the minimum in summer. In winter, the downward propagating waves increase to about 20% due to polar stratospheric vortex. Because of the lower atmospheric filtering, the IGWs display a dominant direction of westward propagation, thus have a mean vertical flux of -0.647mPa for the zonal momentum, which indicates that the IGWs can put a westward drag on the atmospheric wind field over the Arctic as they break and dissipate. All the vertical wavenumber spectra have spectral slopes from -2.23 to -2.99 close to the universal spectrum index of -3.</t>
  </si>
  <si>
    <t>[Huang, Kai Ming; Yang, Zun Xun; Zhang, Shao Dong; Huang, Chun Ming; Yi, Fan; Hu, Fei] Wuhan Univ, Sch Elect Informat, Wuhan, Hubei, Peoples R China; [Huang, Kai Ming] Univ Sci &amp; Technol China, Chinese Acad Sci, Key Lab Geospace Environm, Hefei, Anhui, Peoples R China; [Huang, Kai Ming; Yang, Zun Xun; Zhang, Shao Dong; Huang, Chun Ming; Yi, Fan; Hu, Fei] Minist Educ, Key Lab Geospace Environm &amp; Geodesy, Wuhan, Hubei, Peoples R China; [Huang, Kai Ming; Yi, Fan] State Observ Atmospher Remote Sensing, Wuhan, Hubei, Peoples R China; [Wang, Rui] Polar Res Inst China, SOA Key Lab Polar Sci, Shanghai, Peoples R China</t>
  </si>
  <si>
    <t>Wuhan University; Chinese Academy of Sciences; University of Science &amp; Technology of China, CAS; Polar Research Institute of China</t>
  </si>
  <si>
    <t>Huang, KM (corresponding author), Wuhan Univ, Sch Elect Informat, Wuhan, Hubei, Peoples R China.;Huang, KM (corresponding author), Univ Sci &amp; Technol China, Chinese Acad Sci, Key Lab Geospace Environm, Hefei, Anhui, Peoples R China.;Huang, KM (corresponding author), Minist Educ, Key Lab Geospace Environm &amp; Geodesy, Wuhan, Hubei, Peoples R China.;Huang, KM (corresponding author), State Observ Atmospher Remote Sensing, Wuhan, Hubei, Peoples R China.</t>
  </si>
  <si>
    <t>hkm@whu.edu.cn</t>
  </si>
  <si>
    <t>Zhang, Shaodong/F-9888-2013; Huang, Kai/JVO-5066-2024</t>
  </si>
  <si>
    <t>Zhang, Shaodong/0000-0003-3345-1927; Wang, Rui/0000-0003-1905-2647; Huang, Kaiming/0000-0002-8688-5262</t>
  </si>
  <si>
    <t>National Natural Science Foundation of China [41474127, 41674151, 41531070, 41521063]; Specialized Fund for Comprehensive Study and Evaluation of the Polar Environment [CHINARE2017-0204]; Open Program of Key Laboratory of Geospace Environment, CAS</t>
  </si>
  <si>
    <t>National Natural Science Foundation of China(National Natural Science Foundation of China (NSFC)); Specialized Fund for Comprehensive Study and Evaluation of the Polar Environment; Open Program of Key Laboratory of Geospace Environment, CAS</t>
  </si>
  <si>
    <t>We are grateful to the Editor and anonymous reviewers for their valuable comments on our paper. We also thank GCOS Reference Upper-Air Network for providing the radiosonde data freely at https://www.gruan.org/. This work was jointly supported by the National Natural Science Foundation of China (through grants 41474127, 41674151, 41531070, and 41521063), the Specialized Fund for Comprehensive Study and Evaluation of the Polar Environment (grant CHINARE2017-0204), and the Open Program of Key Laboratory of Geospace Environment, CAS.</t>
  </si>
  <si>
    <t>2169-897X</t>
  </si>
  <si>
    <t>2169-8996</t>
  </si>
  <si>
    <t>J GEOPHYS RES-ATMOS</t>
  </si>
  <si>
    <t>J. Geophys. Res.-Atmos.</t>
  </si>
  <si>
    <t>MAY 27</t>
  </si>
  <si>
    <t>10.1029/2017JD027998</t>
  </si>
  <si>
    <t>GJ5TM</t>
  </si>
  <si>
    <t>WOS:000435445600011</t>
  </si>
  <si>
    <t>Wales, PA; Salawitch, RJ; Nicely, JM; Anderson, DC; Canty, TP; Baidar, S; Dix, B; Koenig, TK; Volkamer, R; Chen, DX; Huey, LG; Tanner, DJ; Cuevas, CA; Fernandez, RP; Kinnison, DE; Lamarque, JF; Saiz-Lopez, A; Atlas, EL; Hall, SR; Navarro, MA; Pan, LL; Schauffler, SM; Stell, M; Tilmes, S; Ullmann, K; Weinheimer, AJ; Akiyoshi, H; Chipperfield, MP; Deushi, M; Dhomse, SS; Feng, WH; Graf, P; Hossaini, R; Jöckel, P; Mancini, E; Michou, M; Morgenstern, O; Oman, LD; Pitari, G; Plummer, DA; Revell, LE; Rozanov, E; Saint-Martin, D; Schofield, R; Stenke, A; Stone, KA; Visioni, D; Yamashita, Y; Zeng, G</t>
  </si>
  <si>
    <t>Wales, Pamela A.; Salawitch, Ross J.; Nicely, Julie M.; Anderson, Daniel C.; Canty, Timothy P.; Baidar, Sunil; Dix, Barbara; Koenig, Theodore K.; Volkamer, Rainer; Chen, Dexian; Huey, L. Gregory; Tanner, David J.; Cuevas, Carlos A.; Fernandez, Rafael P.; Kinnison, Douglas E.; Lamarque, Jean-Francois; Saiz-Lopez, Alfonso; Atlas, Elliot L.; Hall, Samuel R.; Navarro, Maria A.; Pan, Laura L.; Schauffler, Sue M.; Stell, Meghan; Tilmes, Simone; Ullmann, Kirk; Weinheimer, Andrew J.; Akiyoshi, Hideharu; Chipperfield, Martyn P.; Deushi, Makoto; Dhomse, Sandip S.; Feng, Wuhu; Graf, Phoebe; Hossaini, Ryan; Joeckel, Patrick; Mancini, Eva; Michou, Martine; Morgenstern, Olaf; Oman, Luke D.; Pitari, Giovanni; Plummer, David A.; Revell, Laura E.; Rozanov, Eugene; Saint-Martin, David; Schofield, Robyn; Stenke, Andrea; Stone, Kane A.; Visioni, Daniele; Yamashita, Yousuke; Zeng, Guang</t>
  </si>
  <si>
    <t>Stratospheric Injection of Brominated Very Short-Lived Substances: Aircraft Observations in the Western Pacific and Representation in Global Models</t>
  </si>
  <si>
    <t>bromine; CONTRAST; CCMI; VSLS</t>
  </si>
  <si>
    <t>CHEMISTRY-CLIMATE MODEL; TROPICAL TROPOPAUSE LAYER; TROPOSPHERIC BRO COLUMNS; EARTH SYSTEM MODEL; MIDLATITUDE LOWER STRATOSPHERE; POLAR OZONE DEPLETION; AIRBORNE MAX-DOAS; INORGANIC BROMINE; ATMOSPHERIC CHEMISTRY; AEROSOL EXTINCTION</t>
  </si>
  <si>
    <t>We quantify the stratospheric injection of brominated very short-lived substances (VSLS) based on aircraft observations acquired in winter 2014 above the Tropical Western Pacific during the CONvective TRansport of Active Species in the Tropics (CONTRAST) and the Airborne Tropical TRopopause EXperiment (ATTREX) campaigns. The overall contribution of VSLS to stratospheric bromine was determined to be 5.02.1ppt, in agreement with the 53ppt estimate provided in the 2014 World Meteorological Organization (WMO) Ozone Assessment report (WMO 2014), but with lower uncertainty. Measurements of organic bromine compounds, including VSLS, were analyzed using CFC-11 as a reference stratospheric tracer. From this analysis, 2.90.6ppt of bromine enters the stratosphere via organic source gas injection of VSLS. This value is two times the mean bromine content of VSLS measured at the tropical tropopause, for regions outside of the Tropical Western Pacific, summarized in WMO 2014. A photochemical box model, constrained to CONTRAST observations, was used to estimate inorganic bromine from measurements of BrO collected by two instruments. The analysis indicates that 2.12.1ppt of bromine enters the stratosphere via inorganic product gas injection. We also examine the representation of brominated VSLS within 14 global models that participated in the Chemistry-Climate Model Initiative. The representation of stratospheric bromine in these models generally lies within the range of our empirical estimate. Models that include explicit representations of VSLS compare better with bromine observations in the lower stratosphere than models that utilize longer-lived chemicals as a surrogate for VSLS.</t>
  </si>
  <si>
    <t>[Wales, Pamela A.; Salawitch, Ross J.; Nicely, Julie M.] Univ Maryland, Dept Chem &amp; Biochem, College Pk, MD 20742 USA; [Salawitch, Ross J.; Anderson, Daniel C.; Canty, Timothy P.] Univ Maryland, Dept Atmospher &amp; Ocean Sci, College Pk, MD 20742 USA; [Salawitch, Ross J.] Univ Maryland, Earth Syst Sci Interdisciplinary Ctr, College Pk, MD 20742 USA; [Nicely, Julie M.; Oman, Luke D.] NASA, Goddard Space Flight Ctr, Atmospher Chem &amp; Dynam Lab, Greenbelt, MD USA; [Nicely, Julie M.] Univ Space Res Assoc, Columbia, MD USA; [Anderson, Daniel C.] Drexel Univ, Dept Chem, Philadelphia, PA 19104 USA; [Baidar, Sunil; Dix, Barbara; Koenig, Theodore K.; Volkamer, Rainer] Univ Colorado Boulder, Dept Chem &amp; Biochem, Boulder, CO USA; [Baidar, Sunil; Koenig, Theodore K.; Volkamer, Rainer] Cooperat Inst Res Environm Sci, Boulder, CO USA; [Baidar, Sunil] NOAA, Boulder, CO USA; [Baidar, Sunil] NOAA, Earth Syst Res Lab, Div Chem Sci, Boulder, CO USA; [Chen, Dexian; Huey, L. Gregory; Tanner, David J.] Georgia Tech, Sch Earth &amp; Atmospher Sci, Atlanta, GA USA; [Cuevas, Carlos A.; Fernandez, Rafael P.; Saiz-Lopez, Alfonso] CSIC, Inst Phys Chem Rocasolano, Dept Atmospher Chem &amp; Climate, Madrid, Spain; [Fernandez, Rafael P.] UTN FRM, Argentine Natl Res Council CONICET, FCEN UNCuyo, Mendoza, Argentina; [Kinnison, Douglas E.; Lamarque, Jean-Francois; Hall, Samuel R.; Pan, Laura L.; Schauffler, Sue M.; Stell, Meghan; Tilmes, Simone; Ullmann, Kirk; Weinheimer, Andrew J.] Natl Ctr Atmospher Res, POB 3000, Boulder, CO 80307 USA; [Atlas, Elliot L.; Navarro, Maria A.] Univ Miami, Rosenstiel Sch Marine &amp; Atmospher Sci, Dept Atmospher Sci, 4600 Rickenbacker Causeway, Miami, FL 33149 USA; [Stell, Meghan] Calif State Univ, Undergrad Res Opportun Ctr, Seaside, CA USA; [Akiyoshi, Hideharu; Yamashita, Yousuke] Natl Inst Environm Studies, Tsukuba, Ibaraki, Japan; [Chipperfield, Martyn P.; Dhomse, Sandip S.; Feng, Wuhu] Univ Leeds, Sch Earth &amp; Environm, Leeds, W Yorkshire, England; [Deushi, Makoto] Meteorol Res Inst, Tsukuba, Ibaraki, Japan; [Graf, Phoebe; Joeckel, Patrick] Deutsch Zentrum Luft &amp; Raumfahrt, Inst Phys Atmosphare, Oberpfaffenhofen, Germany; [Hossaini, Ryan] Univ Lancaster, Lancaster Environm Ctr, Lancaster, England; [Mancini, Eva; Visioni, Daniele] Univ Aquila, Dept Phys &amp; Chem Sci, Laquila, Italy; [Mancini, Eva; Visioni, Daniele] Univ Aquila, Ctr Excellence CETEMPS, Laquila, Italy; [Michou, Martine; Saint-Martin, David] Meteo France CNRS, CNRM UMR 3589, Toulouse, France; [Morgenstern, Olaf; Zeng, Guang] Natl Inst Water &amp; Atmospher Res, Wellington, New Zealand; [Pitari, Giovanni] Univ Aquila, Dept Phys &amp; Chem Sci, Laquila, Italy; [Plummer, David A.] Environm &amp; Climate Change Canada, Montreal, PQ, Canada; [Revell, Laura E.; Rozanov, Eugene; Stenke, Andrea] ETH, Inst Atmospher &amp; Climate Sci, Zurich, Switzerland; [Revell, Laura E.] Bodeker Sci, Christchurch, New Zealand; [Rozanov, Eugene] World Radiat Ctr, Phys Meteorol Observatorium Davos, Davos, Switzerland; [Schofield, Robyn; Stone, Kane A.] Univ Melbourne, Sch Earth Sci, Melbourne, Vic, Australia; [Schofield, Robyn; Stone, Kane A.] ARC Ctr Excellence Climate Syst Sci, Sydney, NSW, Australia; [Stone, Kane A.] MIT, Boston, MA USA; [Yamashita, Yousuke] Japan Agcy Marine Earth Sci &amp; Technol, Yokohama, Kanagawa, Japan</t>
  </si>
  <si>
    <t>University System of Maryland; University of Maryland College Park; University System of Maryland; University of Maryland College Park; University System of Maryland; University of Maryland College Park; National Aeronautics &amp; Space Administration (NASA); NASA Goddard Space Flight Center; Universities Space Research Association (USRA); Drexel University; University of Colorado System; University of Colorado Boulder; National Oceanic Atmospheric Admin (NOAA) - USA; National Oceanic Atmospheric Admin (NOAA) - USA; University System of Georgia; Georgia Institute of Technology; Consejo Superior de Investigaciones Cientificas (CSIC); CSIC - Instituto de Quimica Fisica Rocasolano (IQFR); National Center Atmospheric Research (NCAR) - USA; University of Miami; National Institute for Environmental Studies - Japan; University of Leeds; Meteorological Research Institute - Japan; Helmholtz Association; German Aerospace Centre (DLR); Lancaster University; University of L'Aquila; University of L'Aquila; Centre National de la Recherche Scientifique (CNRS); CNRS - National Institute for Earth Sciences &amp; Astronomy (INSU); Meteo France; National Institute of Water &amp; Atmospheric Research (NIWA) - New Zealand; University of L'Aquila; Environment &amp; Climate Change Canada; Swiss Federal Institutes of Technology Domain; ETH Zurich; University of Melbourne; Melbourne Bioinformatics; ARC Centre of Excellence for Climate System Science; Massachusetts Institute of Technology (MIT); Japan Agency for Marine-Earth Science &amp; Technology (JAMSTEC)</t>
  </si>
  <si>
    <t>Wales, PA (corresponding author), Univ Maryland, Dept Chem &amp; Biochem, College Pk, MD 20742 USA.</t>
  </si>
  <si>
    <t>pwales@umd.edu</t>
  </si>
  <si>
    <t>Stenke, Andrea/GYJ-6299-2022; Hall, Samuel/AAG-9516-2020; Hossaini, Ryan/F-7134-2015; Rozanov, Eugene/V-1881-2018; Atlas, Elliot/AAE-4605-2021; Yamashita, Yousuke/AAB-4754-2019; Saiz-Lopez, Alfonso/B-3759-2015; Jöckel, Patrick/C-3687-2009; Koenig, Theodore Konstantinos/KHX-8389-2024; Tilmes, Simone/JUV-6618-2023; Pitari, Giovanni/O-7458-2016; Chipperfield, Martyn/H-6359-2013; Pan, Laura L/A-9296-2008; Canty, Tim/F-2631-2010; Nicely, Julie M/E-3668-2016; Revell, Laura/ABG-7040-2020; Fernandez, Rafael Pedro/ABF-2323-2020; BAIDAR, SUNIL/ABH-7817-2020; Dhomse, Sandip/C-8198-2011; Lamarque, Jean-Francois/L-2313-2014; FENG, WUHU/B-8327-2008; Schofield, Robyn/A-4062-2010; Anderson, Daniel Craig/W-4323-2019; Visioni, Daniele/O-7824-2016; Saint-Martin, David/P-7006-2018; Oman, Luke D/C-2778-2009; Salawitch, Ross/B-4605-2009; Akiyoshi, Hideharu/H-8170-2018; VOLKAMER, RAINER/B-8925-2016</t>
  </si>
  <si>
    <t>Hall, Samuel/0000-0002-2060-7112; Rozanov, Eugene/0000-0003-0479-4488; Yamashita, Yousuke/0000-0002-6813-4668; Saiz-Lopez, Alfonso/0000-0002-0060-1581; Jöckel, Patrick/0000-0002-8964-1394; Koenig, Theodore Konstantinos/0000-0002-3756-4315; Tilmes, Simone/0000-0002-6557-3569; Chipperfield, Martyn/0000-0002-6803-4149; Pan, Laura L/0000-0001-7377-2114; Canty, Tim/0000-0003-0618-056X; Revell, Laura/0000-0002-8974-7703; Fernandez, Rafael Pedro/0000-0002-4114-5500; BAIDAR, SUNIL/0000-0002-9837-294X; Dhomse, Sandip/0000-0003-3854-5383; FENG, WUHU/0000-0002-9907-9120; Schofield, Robyn/0000-0002-4230-717X; Anderson, Daniel Craig/0000-0002-9826-9811; Visioni, Daniele/0000-0002-7342-2189; Saint-Martin, David/0000-0002-8478-6914; Chen, Dexian/0000-0001-6963-5205; Atlas, Elliot/0000-0003-3847-5346; Stenke, Andrea/0000-0002-5916-4013; DIX, BARBARA/0000-0001-6753-8620; Hossaini, Ryan/0000-0003-2395-6657; Morgenstern, Olaf/0000-0002-9967-9740; Akiyoshi, Hideharu/0000-0001-6463-9004; Nicely, Julie/0000-0003-4828-0032; Salawitch, Ross/0000-0001-8597-5832; Wales, Pamela/0000-0002-6445-9254; VOLKAMER, RAINER/0000-0002-0899-1369; Cuevas Rodriguez, Carlos Alberto/0000-0002-9251-5460; Zeng, Guang/0000-0002-9356-5021; Deushi, Makoto/0000-0002-0373-3918</t>
  </si>
  <si>
    <t>NSF; NASA Atmospheric Composition Modeling and Analysis Program (ACMAP); NASA Modeling, Analysis, and Prediction (MAP); NASA Upper Atmospheric Research Program; NASA Postdoctoral Program at the NASA Goddard Space Flight Center; NASA; NSF [AGS-1261740, AGS-1620530]; Australian Research Council's Centre of Excellence for Climate System Science [CE110001028]; Australian Government's National Computational Merit Allocation Scheme [q90]; Australian Antarctic science grant program [FoRCES 4012]; Environment Research and Technology Development Fund of the Ministry of the Environment, Japan [2-1303, 2-1709]; SISLAC project [NE/R001782/1]; NERC [NE/R015244/1, NE/N014375/1, NE/J02449X/1, NE/R001782/1, ncas10003] Funding Source: UKRI; Div Atmospheric &amp; Geospace Sciences; Directorate For Geosciences [1620530] Funding Source: National Science Foundation; Grants-in-Aid for Scientific Research [16K16186] Funding Source: KAKEN</t>
  </si>
  <si>
    <t>NSF(National Science Foundation (NSF)); NASA Atmospheric Composition Modeling and Analysis Program (ACMAP)(National Aeronautics &amp; Space Administration (NASA)); NASA Modeling, Analysis, and Prediction (MAP); NASA Upper Atmospheric Research Program(National Aeronautics &amp; Space Administration (NASA)); NASA Postdoctoral Program at the NASA Goddard Space Flight Center(National Aeronautics &amp; Space Administration (NASA)); NASA(National Aeronautics &amp; Space Administration (NASA)); NSF(National Science Foundation (NSF)); Australian Research Council's Centre of Excellence for Climate System Science(Australian Research Council); Australian Government's National Computational Merit Allocation Scheme; Australian Antarctic science grant program; Environment Research and Technology Development Fund of the Ministry of the Environment, Japan(Ministry of the Environment, Japan); SISLAC project; NERC(UK Research &amp; Innovation (UKRI)Natural Environment Research Council (NERC)); Div Atmospheric &amp; Geospace Sciences; Directorate For Geosciences(National Science Foundation (NSF)NSF - Directorate for Geosciences (GEO)); Grants-in-Aid for Scientific Research(Ministry of Education, Culture, Sports, Science and Technology, Japan (MEXT)Japan Society for the Promotion of ScienceGrants-in-Aid for Scientific Research (KAKENHI))</t>
  </si>
  <si>
    <t>We sincerely appreciate the helpful comments from three anonymous reviewers that have led to a substantial improvement in the paper. The CONTRAST field deployment was supported by the U.S. NSF, and the ATTREX field deployment was supported by the National Aeronautics and Space Administration (NASA). We greatly appreciate the support of pilots, meteorological forecasters, flight planners, and a wide range of logistical support that enabled the acquisition of the observations. P. A. W., R. J. S., T. P. C., J. M. N., and D. C. A. received support from NSF, NASA Atmospheric Composition Modeling and Analysis Program (ACMAP), and the NASA Modeling, Analysis, and Prediction (MAP). D. C. A. also received support from the NASA Upper Atmospheric Research Program. J. M. N. was also supported by the NASA Postdoctoral Program at the NASA Goddard Space Flight Center, administered by Universities Space Research Association under contract with NASA. R. V. acknowledges funding from NSF awards AGS-1261740 and AGS-1620530. CONTRAST data are publicly available at http://data.eol.ucar.edu/master_list/?project= CONTRAST. ATTREX data are publicly available at https://espoarchive.nasa.gov/archive/browse/attrex/id4/GHawk. The National Center for Environmental Prediction (NCEP) meteorological data are available at https://doi.org/10.5065/D6M043C6. CCMI outputs from CESM1-WACCM and CESM1-CAM4Chem are archived by the National Center for Atmospheric Research (NCAR) at www.earthsystem-grid.org, and NCAR is sponsored by NSF. CCMI output from the EMAC-L90MA-SD simulation is available at https://doi.org/10.5281/zenodo.1204495. All other CCMI simulations are archived by the British Atmospheric Data Centre at http://badc.nerc.ac.uk/. Output from CAM-chem-SD is available as NCAR/ACD CAMChem 1 Degree Forecast at http://catalog.eol.ucar.edu/contrast/model/CAMChem_NCAR_1deg/. WACCM and CAM-Chem are components of the Community Earth System Model (CESM), which is also supported by NSF. Computing resources were provided by NCAR's Climate Simulation Laboratory, sponsored by NSF and other agencies. This research was enabled by the computational and storage resources of NCAR's Computational and Information System Laboratory (CISL). R. S. and K. A. S., with ACCESS-CCM, acknowledge support from Australian Research Council's Centre of Excellence for Climate System Science (CE110001028), the Australian Government's National Computational Merit Allocation Scheme (q90), and Australian Antarctic science grant program (FoRCES 4012). CCSRNIES research was supported by the Environment Research and Technology Development Fund (2-1303 and 2-1709) of the Ministry of the Environment, Japan, and computations were performed on NEC-SX9/A(ECO) computers at the CGER, NIES. The EMAC simulations have been performed at the German Climate Computing Centre (DKRZ) through support from the Bundesministerium fur Bildung und Forschung (BMBF). DKRZ and its scientific steering committee are gratefully acknowledged for providing the HPC and data archiving resources for the consortial project ESCiMo (Earth System Chemistry integrated Modelling). The TOMCAT modeling was supported by NERC NCAS and the SISLAC project (NE/R001782/1), and the simulations were performed on the Archer and Leeds HPC Systems.</t>
  </si>
  <si>
    <t>10.1029/2017JD027978</t>
  </si>
  <si>
    <t>WOS:000435445600054</t>
  </si>
  <si>
    <t>France, JA; Randall, CE; Lieberman, RS; Harvey, VL; Eckermann, SD; Siskind, DE; Lumpe, JD; Bailey, SM; Carstens, JN; Russell, JM</t>
  </si>
  <si>
    <t>France, J. A.; Randall, C. E.; Lieberman, R. S.; Harvey, V. L.; Eckermann, S. D.; Siskind, D. E.; Lumpe, J. D.; Bailey, S. M.; Carstens, J. N.; Russell, J. M., III</t>
  </si>
  <si>
    <t>Local and Remote Planetary Wave Effects on Polar Mesospheric Clouds in the Northern Hemisphere in 2014</t>
  </si>
  <si>
    <t>polar mesospheric clouds; interhemispheric coupling; two-day wave; planetary waves; five-day wave; teleconnections</t>
  </si>
  <si>
    <t>MIDDLE-ATMOSPHERE; 2-DAY WAVE; GENERAL-CIRCULATION; SUMMER PROGRAM; MODEL; VARIABILITY; SYSTEM</t>
  </si>
  <si>
    <t>Observations by the Cloud Imaging and Particle Size (CIPS) instrument on the Aeronomy of Ice in the Mesosphere (AIM) satellite show an anomalous decline in Northern Hemisphere polar mesospheric clouds (PMCs) from 26 July to 6 August 2014. The decline is attributed to local warming associated with the quasi-two-day wave and interhemispheric coupling (IHC) triggered by planetary wave breaking in the Antarctic (winter) stratosphere. The results indicate that the IHC in 2014 occurred via a pathway that previous studies have not emphasized. Based on observations from the Aura Microwave Limb Sounder (MLS) and reanalyses from both the Modern-Era Retrospective analysis for Research and Applications, Version 2 (MERRA-2) and the Navy Global Environmental Model (NAVGEM), we argue that a strengthening of the summer easterly jet gave rise to enhanced meridional and vertical shear along its equatorward flank, which supported growth of the two-day wave. The two-day wave led to enhanced meridional mixing in northern midlatitudes and a weakening of the northern branch of the mesospheric residual circulation, reducing ascent and warming the polar summer mesopause. In 2014, the five-day planetary wave modulated the response to IHC such that PMCs persisted in its cold phases even though zonal mean temperatures were too high to support PMCs, and were absent in the warm phases when zonal mean temperatures were low enough to support PMCs.</t>
  </si>
  <si>
    <t>[France, J. A.; Randall, C. E.; Harvey, V. L.] Univ Colorado Boulder, Boulder, CO 80309 USA; [France, J. A.; Lieberman, R. S.] GATS Inc, Boulder, CO USA; [Randall, C. E.; Harvey, V. L.] Univ Colorado Boulder, Dept Atmospher &amp; Ocean Sci, Boulder, CO USA; [Eckermann, S. D.; Siskind, D. E.] US Naval Res Lab, Div Space Sci, Washington, DC USA; [Lumpe, J. D.] Computat Phys Inc, Boulder, CO USA; [Bailey, S. M.; Carstens, J. N.] Virginia Tech, Bradley Dept Elect &amp; Comp Engn, Blacksburg, VA USA; [Russell, J. M., III] Hampton Univ, Ctr Atmospher Sci, Hampton, VA 23668 USA</t>
  </si>
  <si>
    <t>University of Colorado System; University of Colorado Boulder; University of Colorado System; University of Colorado Boulder; United States Department of Defense; United States Navy; Naval Research Laboratory; Virginia Polytechnic Institute &amp; State University; Hampton University</t>
  </si>
  <si>
    <t>France, JA (corresponding author), Univ Colorado Boulder, Boulder, CO 80309 USA.</t>
  </si>
  <si>
    <t>jeffrey.france@colorado.edu</t>
  </si>
  <si>
    <t>France, Jeffrey A/N-4507-2018; Siskind, David/GOK-1398-2022; RANDALL, CORA/L-8760-2014; HARVEY, V LYNN/M-3995-2017</t>
  </si>
  <si>
    <t>France, Jeffrey A/0000-0003-2446-0303; RANDALL, CORA/0000-0002-4313-4397; Carstens, Justin/0000-0003-0396-3980; Eckermann, Stephen/0000-0002-8534-1909; HARVEY, V LYNN/0000-0002-7928-0804; Siskind, David/0000-0003-1394-7730</t>
  </si>
  <si>
    <t>NASA Small Explorer Program [NAS5-03132]; NASA Heliophysics Guest Investigator grant [80NSSC18K0051]; NSF CEDAR grant [1343031]; NASA HGI grant [NNX17AB80G]; DoD High Performance Computer Modernization Program; NASA [1003831, NNX17AB80G] Funding Source: Federal RePORTER</t>
  </si>
  <si>
    <t>NASA Small Explorer Program; NASA Heliophysics Guest Investigator grant; NSF CEDAR grant; NASA HGI grant; DoD High Performance Computer Modernization Program; NASA(National Aeronautics &amp; Space Administration (NASA))</t>
  </si>
  <si>
    <t>This work was supported by the NASA Small Explorer Program through contract NAS5-03132 and through the NASA Heliophysics Guest Investigator grant 80NSSC18K0051. NRL authors acknowledge generous support of the Chief of Naval Research via the base 6.1, 6.2, and platform support programs. V. L. H. was supported by NSF CEDAR grant 1343031 and NASA HGI grant NNX17AB80G. S. D. E. acknowledges support for NAVGEM runs from the DoD High Performance Computer Modernization Program via grants of computer time at the Navy DoD Supercomputing Resource Center. CIPS level 3c summary files and software for reading the files are available at http://lasp.colorado.edu/aim. We thank the CIPS data processing team and AIM mission operations team for their exceptional contributions. MLS v4.2 data are available from the NASA Goddard Space Flight Center Earth Sciences (GES) Data and Information Services Center (DISC) at https://mls.jpl.nasa.gov/data/. MERRA-2 data are available at MDISC, managed by the NASA GES DISC at https://gmao.gsfc.nasa.gov/reanalysis/MERRA-2/. The quasigeostrophic model output of two-day wave forcing is available through Open Science Framework at https://osf.io/4hky3/. J. A. F. and R. S. L. wish to dedicate this paper to the memory of Brian Laughman.</t>
  </si>
  <si>
    <t>10.1029/2017JD028224</t>
  </si>
  <si>
    <t>WOS:000435445600022</t>
  </si>
  <si>
    <t>Orbe, C; Yang, H; Waugh, DW; Zeng, G; Morgenstern, O; Kinnison, DE; Lamarque, JF; Tilmes, S; Plummer, DA; Scinocca, JF; Josse, B; Marecal, V; Jöckel, P; Oman, LD; Strahan, SE; Deushi, M; Tanaka, TY; Yoshida, K; Akiyoshi, H; Yamashita, Y; Stenke, A; Revell, L; Sukhodolov, T; Rozanov, E; Pitari, G; Visioni, D; Stone, KA; Schofield, R; Banerjee, A</t>
  </si>
  <si>
    <t>Orbe, Clara; Yang, Huang; Waugh, Darryn W.; Zeng, Guang; Morgenstern, Olaf; Kinnison, Douglas E.; Lamarque, Jean-Francois; Tilmes, Simone; Plummer, David A.; Scinocca, John F.; Josse, Beatrice; Marecal, Virginie; Joeckel, Patrick; Oman, Luke D.; Strahan, Susan E.; Deushi, Makoto; Tanaka, Taichu Y.; Yoshida, Kohei; Akiyoshi, Hideharu; Yamashita, Yousuke; Stenke, Andreas; Revell, Laura; Sukhodolov, Timofei; Rozanov, Eugene; Pitari, Giovanni; Visioni, Daniele; Stone, Kane A.; Schofield, Robyn; Banerjee, Antara</t>
  </si>
  <si>
    <t>Large-scale tropospheric transport in the Chemistry-Climate Model Initiative (CCMI) simulations</t>
  </si>
  <si>
    <t>CUMULUS PARAMETERIZATION; POLLUTION TRANSPORT; TRACER TRANSPORT; OZONE; CONVECTION; AIR; IMPLEMENTATION; SENSITIVITY; ATMOSPHERE; AEROSOLS</t>
  </si>
  <si>
    <t>Understanding and modeling the large-scale transport of trace gases and aerosols is important for interpreting past (and projecting future) changes in atmospheric composition. Here we show that there are large differences in the global-scale atmospheric transport properties among the models participating in the IGAC SPARC Chemistry-Climate Model Initiative (CCMI). Specifically, we find up to 40% differences in the transport timescales connecting the Northern Hemisphere (NH) midlatitude surface to the Arctic and to Southern Hemisphere high latitudes, where the mean age ranges between 1.7 and 2.6 years. We show that these differences are related to large differences in vertical transport among the simulations, in particular to differences in parameterized convection over the oceans. While stronger convection over NH midlatitudes is associated with slower transport to the Arctic, stronger convection in the tropics and subtropics is associated with faster interhemispheric transport. We also show that the differences among simulations constrained with fields derived from the same reanalysis products are as large as (and in some cases larger than) the differences among free-running simulations, most likely due to larger differences in parameterized convection. Our results indicate that care must be taken when using simulations constrained with analyzed winds to interpret the influence of meteorology on tropospheric composition.</t>
  </si>
  <si>
    <t>[Orbe, Clara] Goddard Earth Sci Technol &amp; Res GESTAR, Columbia, MD 21044 USA; [Orbe, Clara] NASA, Goddard Space Flight Ctr, Global Modeling &amp; Assimilat Off, Greenbelt, MD 20771 USA; [Orbe, Clara; Yang, Huang; Waugh, Darryn W.] Johns Hopkins Univ, Dept Earth &amp; Planetary Sci, Baltimore, MD 21218 USA; [Zeng, Guang; Morgenstern, Olaf] Natl Inst Water &amp; Atmospher Res, Wellington, New Zealand; [Kinnison, Douglas E.; Lamarque, Jean-Francois; Tilmes, Simone] NCAR, ACOM, Boulder, CO USA; [Plummer, David A.] Environm &amp; Climate Change Canada, Climate Res Branch, Montreal, PQ, Canada; [Scinocca, John F.] Environm &amp; Climate Change Canada, Climate Res Branch, Victoria, BC, Canada; [Josse, Beatrice; Marecal, Virginie] Meteo France, CNRS, UMR 3589, Ctr Natl Rech Meteorol, Toulouse, France; [Joeckel, Patrick] Deutsch Zentrum Luft &amp; Raumfahrt DLR, Inst Phys Atmosphare, Oberpfaffenhofen, Germany; [Oman, Luke D.; Strahan, Susan E.] NASA, Goddard Space Flight Ctr, Atmospher Chem &amp; Dynam Lab, Greenbelt, MD USA; [Strahan, Susan E.] Univ Space Res Assoc, Columbia, MD USA; [Deushi, Makoto; Tanaka, Taichu Y.; Yoshida, Kohei] Mission Res Inc, Tsukuba, Ibaraki, Japan; [Akiyoshi, Hideharu; Yamashita, Yousuke] Natl Inst Environm Studies, Ctr Global Environm Res, Climate Modeling &amp; Anal Sect, Tsukuba, Ibaraki, Japan; [Yamashita, Yousuke] Japan Agcy Marine Earth Sci &amp; Technol JAMSTEC, Yokohama, Kanagawa, Japan; [Stenke, Andreas; Revell, Laura; Sukhodolov, Timofei; Rozanov, Eugene] Swiss Fed Inst Technol, Inst Atmospher &amp; Climate Sci, Zurich, Switzerland; [Revell, Laura] Bodeker Sci, Christchurch, New Zealand; [Sukhodolov, Timofei; Rozanov, Eugene] Davos World Radiat Ctr, Phys Meteorol Observ, Davos, Switzerland; [Pitari, Giovanni; Visioni, Daniele] Univ Aquila, Dept Phys &amp; Chem Sci, Laquila, Italy; [Stone, Kane A.; Schofield, Robyn] Univ Melbourne, Sch Earth Sci, Melbourne, Vic 3010, Australia; [Stone, Kane A.; Schofield, Robyn] Univ New South Wales, ARC Ctr Excellence Climate Syst Sci, Sydney, NSW 2052, Australia; [Banerjee, Antara] Columbia Univ, Dept Appl Phys &amp; Appl Math, New York, NY USA; [Orbe, Clara] NASA, Goddard Inst Space Studies, New York, NY 10025 USA; [Stone, Kane A.] MIT, Dept Earth Atmospher &amp; Planetary Sci, Cambridge, MA 02139 USA</t>
  </si>
  <si>
    <t>National Aeronautics &amp; Space Administration (NASA); NASA Goddard Space Flight Center; Johns Hopkins University; National Institute of Water &amp; Atmospheric Research (NIWA) - New Zealand; National Center Atmospheric Research (NCAR) - USA; Environment &amp; Climate Change Canada; Environment &amp; Climate Change Canada; Meteo France; Centre National de la Recherche Scientifique (CNRS); CNRS - National Institute for Earth Sciences &amp; Astronomy (INSU); Helmholtz Association; German Aerospace Centre (DLR); National Aeronautics &amp; Space Administration (NASA); NASA Goddard Space Flight Center; Universities Space Research Association (USRA); National Institute for Environmental Studies - Japan; Japan Agency for Marine-Earth Science &amp; Technology (JAMSTEC); Swiss Federal Institutes of Technology Domain; ETH Zurich; University of L'Aquila; University of Melbourne; Melbourne Bioinformatics; ARC Centre of Excellence for Climate System Science; University of New South Wales Sydney; Columbia University; National Aeronautics &amp; Space Administration (NASA); NASA Goddard Space Flight Center; Goddard Institute for Space Studies; Massachusetts Institute of Technology (MIT)</t>
  </si>
  <si>
    <t>Orbe, C (corresponding author), Goddard Earth Sci Technol &amp; Res GESTAR, Columbia, MD 21044 USA.;Orbe, C (corresponding author), NASA, Goddard Space Flight Ctr, Global Modeling &amp; Assimilat Off, Greenbelt, MD 20771 USA.;Orbe, C (corresponding author), Johns Hopkins Univ, Dept Earth &amp; Planetary Sci, Baltimore, MD 21218 USA.</t>
  </si>
  <si>
    <t>clara.orbe@nasa.gov</t>
  </si>
  <si>
    <t>Yamashita, Yousuke/AAB-4754-2019; , John/IQU-7911-2023; Visioni, Daniele/O-7824-2016; Oman, Luke D/C-2778-2009; Revell, Laura/ABG-7040-2020; Jöckel, Patrick/C-3687-2009; Tilmes, Simone/JUV-6618-2023; Sukhodolov, Timofei/U-2561-2019; Strahan, Susan E/H-1965-2012; Pitari, Giovanni/O-7458-2016; Banerjee, Antara/ABC-1903-2020; Schofield, Robyn/A-4062-2010; Rozanov, Eugene/V-1881-2018; Stenke, Andrea/GYJ-6299-2022; Akiyoshi, Hideharu/H-8170-2018; Lamarque, Jean-Francois/L-2313-2014; Waugh, Darryn/K-3688-2016</t>
  </si>
  <si>
    <t>Yamashita, Yousuke/0000-0002-6813-4668; Visioni, Daniele/0000-0002-7342-2189; Revell, Laura/0000-0002-8974-7703; Jöckel, Patrick/0000-0002-8964-1394; Tilmes, Simone/0000-0002-6557-3569; Schofield, Robyn/0000-0002-4230-717X; Rozanov, Eugene/0000-0003-0479-4488; Yang, Huang/0000-0002-5693-0392; Yoshida, Kohei/0000-0002-2422-5584; Lamarque, Jean-Francois/0000-0002-4225-5074; Zeng, Guang/0000-0002-9356-5021; Sukhodolov, Timofei/0000-0001-7100-738X; Waugh, Darryn/0000-0001-7692-2798; Deushi, Makoto/0000-0002-0373-3918; Morgenstern, Olaf/0000-0002-9967-9740; Tanaka, Taichu Yasumichi/0000-0003-0600-2122; Stenke, Andrea/0000-0002-5916-4013; Plummer, David/0000-0001-8087-3976; Marecal, Virginie/0000-0003-1077-909X</t>
  </si>
  <si>
    <t>NASA Modeling, Analysis and Prediction (MAP) program; Environment Research and Technology Development Fund of the Environmental Restoration and Conservation Agency, Japan [2-1709]; NZ government's Strategic Science Investment Fund (SSIF) through the NIWA program CACV; New Zealand Royal Society Marsden Fund [12-NIW-006]; Deep South National Science Challenge; Ministry of Business, Innovation and Employment's Research Infrastructure program; NSF [AGS-1403676]; NASA [NNX14AP58G]; Swiss National Science Foundation [200021169241]; Australian Research Council's Centre of Excellence for Climate System Science [CE110001028]; Australian government's National Computational Merit Allocation Scheme [q90]; Australian Antarctic science grant program [FoRCES 4012]; Bundesministerium fur Bildung und Forschung (BMBF); Div Atmospheric &amp; Geospace Sciences; Directorate For Geosciences [1403676] Funding Source: National Science Foundation</t>
  </si>
  <si>
    <t>NASA Modeling, Analysis and Prediction (MAP) program(National Aeronautics &amp; Space Administration (NASA)); Environment Research and Technology Development Fund of the Environmental Restoration and Conservation Agency, Japan; NZ government's Strategic Science Investment Fund (SSIF) through the NIWA program CACV; New Zealand Royal Society Marsden Fund(Royal Society of New ZealandMarsden Fund (NZ)); Deep South National Science Challenge; Ministry of Business, Innovation and Employment's Research Infrastructure program(New Zealand Ministry of Business, Innovation and Employment (MBIE)); NSF(National Science Foundation (NSF)); NASA(National Aeronautics &amp; Space Administration (NASA)); Swiss National Science Foundation(Swiss National Science Foundation (SNSF)); Australian Research Council's Centre of Excellence for Climate System Science(Australian Research Council); Australian government's National Computational Merit Allocation Scheme(Australian Government); Australian Antarctic science grant program; Bundesministerium fur Bildung und Forschung (BMBF)(Federal Ministry of Education &amp; Research (BMBF)); Div Atmospheric &amp; Geospace Sciences; Directorate For Geosciences(National Science Foundation (NSF)NSF - Directorate for Geosciences (GEO))</t>
  </si>
  <si>
    <t>We thank the Centre for Environmental Data Analysis (CEDA) for hosting the CCMI data archive. We acknowledge the modeling groups for making their simulations available for this analysis and the joint WCRP SPARC/IGAC Chemistry-Climate Model Initiative (CCMI) for organizing and coordinating this model data analysis activity. In addition, Clara Orbe and Luke D. Oman want to acknowledge the high-performance computing resources provided by the NASA Center for Climate Simulation (NCCS) and support from the NASA Modeling, Analysis and Prediction (MAP) program. Hideharu Akiyoshi acknowledges the Environment Research and Technology Development Fund of the Environmental Restoration and Conservation Agency, Japan (2-1709) and NECSX9/A(ECO) computers at CGER, NIES. Olaf Morgenstern and Guang Zeng acknowledge the UK Met Office for use of the MetUM. Their research was supported by the NZ government's Strategic Science Investment Fund (SSIF) through the NIWA program CACV. Olaf Morgenstern acknowledges funding by the New Zealand Royal Society Marsden Fund (grant 12-NIW-006) and by the Deep South National Science Challenge (http://www.deepsouthchallenge.co.nz). Olaf Morgenstern and Guang Zeng also wish to acknowledge the contribution of the NeSI high-performance computing facilities to the results of this research. New Zealand's national facilities are provided by the New Zealand eScience Infrastructure (NeSI) and funded jointly by NeSI's collaborator institutions and through the Ministry of Business, Innovation and Employment's Research Infrastructure program (https://www.nesi.org.nz). Darryn W. Waugh acknowledges support from NSF grant AGS-1403676 and NASA grant NNX14AP58G. The EMAC model simulations have been performed at the German Climate Computing Centre (DKRZ) through support from the Bundesministerium fur Bildung und Forschung (BMBF). DKRZ and its scientific steering committee are gratefully acknowledged for providing the HPC and data archiving resources for the consortial project ESCiMo (Earth System Chemistry integrated Modeling). Eugene Rozanov and Timofei Sukhodolov acknowledge support from the Swiss National Science Foundation under grant 200021169241 (VEC). Robyn Schofield and Kane A. Stone acknowledge support from the Australian Research Council's Centre of Excellence for Climate System Science (CE110001028), the Australian government's National Computational Merit Allocation Scheme (q90) and the Australian Antarctic science grant program (FoRCES 4012).</t>
  </si>
  <si>
    <t>MAY 25</t>
  </si>
  <si>
    <t>10.5194/acp-18-7217-2018</t>
  </si>
  <si>
    <t>GH1JQ</t>
  </si>
  <si>
    <t>Green Published, Green Submitted, gold, Green Accepted</t>
  </si>
  <si>
    <t>WOS:000433159600001</t>
  </si>
  <si>
    <t>Deng, D; Zhang, Y; Sun, AJ; Sai, K; Hu, YF</t>
  </si>
  <si>
    <t>Deng, Dun; Zhang, Yun; Sun, Aijun; Sai, Ke; Hu, Yunfeng</t>
  </si>
  <si>
    <t>Functional Characterization of a New Antarctic Microbial Esterase EST112-2 and Its Use in the Preparation of Chiral Tertiary Alcohol (S)-Linalool</t>
  </si>
  <si>
    <t>CHINESE JOURNAL OF ORGANIC CHEMISTRY</t>
  </si>
  <si>
    <t>biocatalysis; antarctic microbial esterase; kinetic resolution; chiral tertiary alcohol; (S)-linalool</t>
  </si>
  <si>
    <t>ENANTIOSELECTIVE ADDITION; ASYMMETRIC-SYNTHESIS; ESSENTIAL OILS; RESOLUTION; LIPASE; KETONES</t>
  </si>
  <si>
    <t>Chiral tertiary alcohols (TAs) are key building blocks for the synthesis of many crucial flavor compounds and pharmaceuticals. The two enantiomers of tertiary alcohol, linalool, differ in odor. So, sustainable strategies for the manufacture of optically pure TAs represented by linalool, are highly desirable. But the enzymatic synthesis of chiral tertian' alcohols through kinetic resolution was not easily achieved, possibly because of the steric hindrance from the chemical structures of tertiary alcohols. Herein, we identified and functionally characterized a new microbial esterase EST112-2 from the antarctic sediments and utilized esterase EST112-2 as a green biocatalyst in the synthesis of chiral tertiary alcohol (S)-linalool through asymmetric hydrolysis of racemic linalyl acetate. Parameters such as pH, temperature, co-solvents, substrate concentrations, enzyme loading and reaction time were optimized for the kinetic resolutions. Desired chiral product (S)-linalool was finally obtained with an enantiomeric excess of over 66% and a yield of over 72% after process optimization. The enantiomeric excess of (S)-linalool prepared by esterase EST112-2 was much higher than that from previous reports.</t>
  </si>
  <si>
    <t>[Deng, Dun; Zhang, Yun; Sun, Aijun; Hu, Yunfeng] Chinese Acad Sci, South China Sea Inst Oceanol, CAS Key Lab Trop Marine Bioresources &amp; Ecol, Guangzhou 510301, Guangdong, Peoples R China; [Sai, Ke] Sun Yat Sen Univ, Canc Ctr, Dept Neurosurg Neurooncol, Guangzhou 510060, Guangdong, Peoples R China; [Deng, Dun; Zhang, Yun; Sun, Aijun; Hu, Yunfeng] Chinese Acad Sci, South China Sea Inst Oceanol, Guangdong Key Lab Marine Mat Med, Guangzhou 510301, Guangdong, Peoples R China; [Deng, Dun] Guangdong Acad Agr Sci, Inst Anim Sci, Guangzhou 510640, Guangdong, Peoples R China; [Sai, Ke] Collaborat Innovat Ctr Canc Med, Guangzhou 510060, Guangdong, Peoples R China; [Sai, Ke] State Key Lab Oncol South China, Guangzhou 510060, Guangdong, Peoples R China</t>
  </si>
  <si>
    <t>Chinese Academy of Sciences; South China Sea Institute of Oceanology, CAS; Sun Yat Sen University; Chinese Academy of Sciences; South China Sea Institute of Oceanology, CAS; Guangdong Academy of Agricultural Sciences; State Key Lab Oncology South China</t>
  </si>
  <si>
    <t>Hu, YF (corresponding author), Chinese Acad Sci, South China Sea Inst Oceanol, CAS Key Lab Trop Marine Bioresources &amp; Ecol, Guangzhou 510301, Guangdong, Peoples R China.;Sai, K (corresponding author), Sun Yat Sen Univ, Canc Ctr, Dept Neurosurg Neurooncol, Guangzhou 510060, Guangdong, Peoples R China.;Hu, YF (corresponding author), Chinese Acad Sci, South China Sea Inst Oceanol, Guangdong Key Lab Marine Mat Med, Guangzhou 510301, Guangdong, Peoples R China.;Sai, K (corresponding author), Collaborat Innovat Ctr Canc Med, Guangzhou 510060, Guangdong, Peoples R China.;Sai, K (corresponding author), State Key Lab Oncol South China, Guangzhou 510060, Guangdong, Peoples R China.</t>
  </si>
  <si>
    <t>saike@sysucc.org.cn; yunfeng.hu@scsio.ac.cn</t>
  </si>
  <si>
    <t>Deng, Dun/J-9036-2016; Ma, Mingyang/JXM-3330-2024</t>
  </si>
  <si>
    <t>Priority Research Program of the Chinese Academy of Sciences [XDA11030404]; Scientific and Technological Project of Ocean and Fishery from Guangdong Province [A201701C12]; Guangzhou Science and Technology Plan Projects [201510010012]; National Natural Science Foundation of China [21302199]</t>
  </si>
  <si>
    <t>Priority Research Program of the Chinese Academy of Sciences; Scientific and Technological Project of Ocean and Fishery from Guangdong Province; Guangzhou Science and Technology Plan Projects; National Natural Science Foundation of China(National Natural Science Foundation of China (NSFC))</t>
  </si>
  <si>
    <t>Project supported by the Priority Research Program of the Chinese Academy of Sciences (No. XDA11030404), the Scientific and Technological Project of Ocean and Fishery from Guangdong Province (No. A201701C12), the Guangzhou Science and Technology Plan Projects (No. 201510010012) and the National Natural Science Foundation of China (No. 21302199).</t>
  </si>
  <si>
    <t>SCIENCE PRESS</t>
  </si>
  <si>
    <t>BEIJING</t>
  </si>
  <si>
    <t>16 DONGHUANGCHENGGEN NORTH ST, BEIJING 100717, PEOPLES R CHINA</t>
  </si>
  <si>
    <t>0253-2786</t>
  </si>
  <si>
    <t>CHINESE J ORG CHEM</t>
  </si>
  <si>
    <t>Chin. J. Org. Chem.</t>
  </si>
  <si>
    <t>10.6023/cjoc201710019</t>
  </si>
  <si>
    <t>Chemistry, Organic</t>
  </si>
  <si>
    <t>Chemistry</t>
  </si>
  <si>
    <t>GP0FI</t>
  </si>
  <si>
    <t>WOS:000440483900018</t>
  </si>
  <si>
    <t>Adodo, FI; Remy, F; Picard, G</t>
  </si>
  <si>
    <t>Adodo, Fifi Ibrahime; Remy, Frederique; Picard, Ghislain</t>
  </si>
  <si>
    <t>Seasonal variations of the backscattering coefficient measured by radar altimeters over the Antarctic Ice Sheet</t>
  </si>
  <si>
    <t>ELEVATION CHANGE; SATELLITE RADAR; MASS-BALANCE; ENVISAT ALTIMETER; CRYOSAT-2 DATA; SNOW SURFACE; SEA-LEVEL; GREENLAND; TOPOGRAPHY; SCATTERING</t>
  </si>
  <si>
    <t>Spaceborne radar altimeters are a valuable tool for observing the Antarctic Ice Sheet. The radar wave interaction with the snow provides information on both the surface and the subsurface of the snowpack due to its dependence on the snow properties. However, the penetration of the radar wave within the snowpack also induces a negative bias on the estimated surface elevation. Empirical corrections of this space-and time-varying bias are usually based on the backscattering coefficient variability. We investigate the spatial and seasonal variations of the backscattering coefficient at the S (3.2 GHz similar to 9.4 cm), Ku (13.6 GHz similar to 2.3 cm) and Ka (37 GHz similar to 0.8 cm) bands. We identified that the backscattering coefficient at Ku band reaches a maximum in winter in part of the continent (Region 1) and in the summer in the remaining (Region 2), while the evolution at other frequencies is relatively uniform over the whole continent. To explain this contrasting behavior between frequencies and between regions, we studied the sensitivity of the backscattering coefficient at three frequencies to several parameters (surface snow density, snow temperature and snow grain size) using an electromagnetic model. The results show that the seasonal cycle of the backscattering coefficient at Ka frequency is dominated by the volume echo and is mainly driven by snow temperature evolution everywhere. In contrast, at S band, the cycle is dominated by the surface echo. At Ku band, the seasonal cycle is dominated by the volume echo in Region 1 and by the surface echo in Region 2. This investigation provides new information on the seasonal dynamics of the Antarctic Ice Sheet surface and provides new clues to build more accurate corrections of the radar altimeter surface elevation signal in the future.</t>
  </si>
  <si>
    <t>[Adodo, Fifi Ibrahime; Remy, Frederique] CNRS, LEGOS, F-31400 Toulouse, France; [Adodo, Fifi Ibrahime; Picard, Ghislain] IGE, F-38402 St Martin Dheres, France</t>
  </si>
  <si>
    <t>Universite de Toulouse; Universite Toulouse III - Paul Sabatier; Centre National de la Recherche Scientifique (CNRS); Institut de Recherche pour le Developpement (IRD); Laboratoire d'Etudes en Geophysique et oceanographie spatiales</t>
  </si>
  <si>
    <t>Adodo, FI (corresponding author), CNRS, LEGOS, F-31400 Toulouse, France.;Adodo, FI (corresponding author), IGE, F-38402 St Martin Dheres, France.</t>
  </si>
  <si>
    <t>fifi.adodo@legos.obs-mip.fr</t>
  </si>
  <si>
    <t>Picard, Ghislain/D-4246-2013</t>
  </si>
  <si>
    <t>Picard, Ghislain/0000-0003-1475-5853</t>
  </si>
  <si>
    <t>Agence Nationale de la Recherche [ANR-14-CE01-0001-01]</t>
  </si>
  <si>
    <t>Agence Nationale de la Recherche(Agence Nationale de la Recherche (ANR))</t>
  </si>
  <si>
    <t>This work is a contribution to the ASUMA (improving the Accuracy of the SUrface Mass balance of Antarctica) project funded by the Agence Nationale de la Recherche, contract ANR-14-CE01-0001-01. ENVISAT and AltiKa data were provided by the Center for Topographic studies of the Oceans and Hydrosphere (CTOH) at LEGOS and are available at http://ctoh.legos.obs-mip.fr/, last access: 23 May 2018. The authors would like to thank Etienne Berthier and Jessica Klar from LEGOS for their helpful comments and suggestions. We are grateful to the anonymous reviewers and the editor, whose comments significantly improved the manuscript.</t>
  </si>
  <si>
    <t>10.5194/tc-12-1767-2018</t>
  </si>
  <si>
    <t>GH1FV</t>
  </si>
  <si>
    <t>WOS:000433149400001</t>
  </si>
  <si>
    <t>Casado, M; Landais, A; Picard, G; Münch, T; Laepple, T; Stenni, B; Dreossi, G; Ekaykin, A; Arnaud, L; Genthon, C; Touzeau, A; Masson-Delmotte, V; Jouzel, J</t>
  </si>
  <si>
    <t>Casado, Mathieu; Landais, Amaelle; Picard, Ghislain; Muench, Thomas; Laepple, Thomas; Stenni, Barbara; Dreossi, Giuliano; Ekaykin, Alexey; Arnaud, Laurent; Genthon, Christophe; Touzeau, Alexandra; Masson-Delmotte, Valerie; Jouzel, Jean</t>
  </si>
  <si>
    <t>Archival processes of the water stable isotope signal in East Antarctic ice cores</t>
  </si>
  <si>
    <t>DRONNING MAUD-LAND; NEAR-SURFACE SNOW; DOME-C; KOHNEN STATION; SOUTH-POLE; CLIMATE VARIABILITY; VOSTOK STATION; DEUTERIUM CONTENT; LAW DOME; PRECIPITATION</t>
  </si>
  <si>
    <t>The oldest ice core records are obtained from the East Antarctic Plateau. Water isotopes are key proxies to reconstructing past climatic conditions over the ice sheet and at the evaporation source. The accuracy of climate reconstructions depends on knowledge of all processes affecting water vapour, precipitation and snow isotopic compositions. Fractionation processes are well understood and can be integrated in trajectory-based Rayleigh distillation and isotope-enabled climate models. However, a quantitative understanding of processes potentially altering snow isotopic composition after deposition is still missing. In low-accumulation sites, such as those found in East Antarctica, these poorly constrained processes are likely to play a significant role and limit the interpretability of an ice core's isotopic composition. By combining observations of isotopic composition in vapour, precipitation, surface snow and buried snow from Dome C, a deep ice core site on the East Antarctic Plateau, we found indications of a seasonal impact of metamorphism on the surface snow isotopic signal when compared to the initial precipitation. Particularly in summer, exchanges of water molecules between vapour and snow are driven by the diurnal sublimation-condensation cycles. Overall, we observe in between precipitation events modification of the surface snow isotopic composition. Using high-resolution water isotopic composition profiles from snow pits at five Antarctic sites with different accumulation rates, we identified common patterns which cannot be attributed to the seasonal variability of precipitation. These differences in the precipitation, surface snow and buried snow isotopic composition provide evidence of post-deposition processes affecting ice core records in low-accumulation areas.</t>
  </si>
  <si>
    <t>[Casado, Mathieu; Landais, Amaelle; Touzeau, Alexandra; Masson-Delmotte, Valerie; Jouzel, Jean] CEA CNRS UVSQ UPS, Lab Sci Climat &amp; Environm IPSL, UMR 8212, Gif Sur Yvette, France; [Casado, Mathieu] Univ Grenoble Alpes, CNRS, LIPHY, F-38000 Grenoble, France; [Picard, Ghislain; Arnaud, Laurent; Genthon, Christophe] Univ Grenoble Alpes, CNRS, LGGE, F-38400 Grenoble, France; [Casado, Mathieu; Muench, Thomas; Laepple, Thomas] Alfred Wegener Inst, Helmholtz Ctr Polar &amp; Marine Res, Telegrafenberg A43, D-14473 Potsdam, Germany; [Muench, Thomas] Univ Potsdam, Inst Phys &amp; Astron, Karl Liebknecht Str 24-25, D-14476 Potsdam, Germany; [Stenni, Barbara; Dreossi, Giuliano] Ca Foscari Univ Venice, DAIS, Venice, Italy; [Ekaykin, Alexey] Arctic &amp; Antarctic Res Inst, St Petersburg, Russia; [Ekaykin, Alexey] St Petersburg State Univ, Inst Earth Sci, St Petersburg, Russia</t>
  </si>
  <si>
    <t>CEA; Centre National de la Recherche Scientifique (CNRS); Universite Paris Saclay; CNRS - National Institute for Earth Sciences &amp; Astronomy (INSU); Centre National de la Recherche Scientifique (CNRS); Communaute Universite Grenoble Alpes; Universite Grenoble Alpes (UGA); Centre National de la Recherche Scientifique (CNRS); Communaute Universite Grenoble Alpes; Universite Grenoble Alpes (UGA); Helmholtz Association; Alfred Wegener Institute, Helmholtz Centre for Polar &amp; Marine Research; University of Potsdam; Universita Ca Foscari Venezia; Arctic &amp; Antarctic Research Institute; Saint Petersburg State University</t>
  </si>
  <si>
    <t>Casado, M (corresponding author), CEA CNRS UVSQ UPS, Lab Sci Climat &amp; Environm IPSL, UMR 8212, Gif Sur Yvette, France.;Casado, M (corresponding author), Univ Grenoble Alpes, CNRS, LIPHY, F-38000 Grenoble, France.</t>
  </si>
  <si>
    <t>mathieu.casado@gmail.com</t>
  </si>
  <si>
    <t>Picard, Ghislain/D-4246-2013; Münch, Thomas/AAC-9281-2019; Masson-Delmotte, Valerie L/G-1995-2011; Laepple, Thomas/M-8783-2015; Ekaykin, Alexey/K-9894-2015</t>
  </si>
  <si>
    <t>Picard, Ghislain/0000-0003-1475-5853; Münch, Thomas/0000-0002-5492-7544; Masson-Delmotte, Valerie L/0000-0001-8296-381X; Stenni, Barbara/0000-0003-4950-3664; Genthon, Christophe/0000-0002-3678-4447; Casado, Mathieu/0000-0002-8185-415X; LANDAIS, Amaelle/0000-0002-5620-5465; arnaud, laurent/0000-0002-4432-4205; Laepple, Thomas/0000-0001-8108-7520; Ekaykin, Alexey/0000-0001-9819-2802</t>
  </si>
  <si>
    <t>European Research Council under the European Union's Seventh Framework Programme (FP7)/RC grant [306045]; Initiative and Networking Fund of the Helmholtz Association Grant [VG-NH900]; LGGE; LIPHY</t>
  </si>
  <si>
    <t>European Research Council under the European Union's Seventh Framework Programme (FP7)/RC grant; Initiative and Networking Fund of the Helmholtz Association Grant; LGGE; LIPHY</t>
  </si>
  <si>
    <t>The research leading to these results has received funding from the European Research Council under the European Union's Seventh Framework Programme (FP7/2007-2013)/RC grant agreement number 306045. These results are part of the project Antarctic-SNOW from the Foundation Albert 2 de Monaco (FA2M). Thomas Munch and Thomas Laepple were supported by the Initiative and Networking Fund of the Helmholtz Association Grant VG-NH900. We acknowledge the work of Etienne Vignon and our fruitful discussions. We acknowledge the programs NIVO, CALVA and GLACIO and all the IPEV staff that made the campaigns possible; LGGE and LIPHY for providing logistic advice and support; PNRA-PRE-REC project for the 2014 surface snow data at Concordia station. We would like to thank two anonymous referees for their careful evaluation and thoughtful comments.</t>
  </si>
  <si>
    <t>MAY 24</t>
  </si>
  <si>
    <t>10.5194/tc-12-1745-2018</t>
  </si>
  <si>
    <t>GG9FD</t>
  </si>
  <si>
    <t>WOS:000433005400002</t>
  </si>
  <si>
    <t>Jiang, HR; Zhang, WJ; Yi, YH; Yan, K; Li, GC; Wang, GX</t>
  </si>
  <si>
    <t>Jiang, Huiru; Zhang, Wenjiang; Yi, Yonghong; Yan, Kun; Li, Guicai; Wang, Gengxu</t>
  </si>
  <si>
    <t>The impacts of soil freeze/thaw dynamics on soil water transfer and spring phenology in the Tibetan Plateau</t>
  </si>
  <si>
    <t>Freeze/thaw; permafrost; soil moisture; Tibetan Plateau; vegetation spring onset</t>
  </si>
  <si>
    <t>ACTIVE LAYER; CARBON POOL; PERMAFROST; VEGETATION; CLIMATE; COVER; REGION; THAW; VARIABILITY; MOISTURE</t>
  </si>
  <si>
    <t>Climate warming has induced significant changes in permafrost and seasonally frozen ground (SFG) in the Tibetan Plateau, which have complex influences on local environments. A better understanding of the impacts of soil freeze/thaw (F/T) dynamics on soil water transfer and vegetation growth is important to explore related eco-hydrological influences. We investigated soil F/T dynamics and their impacts with in-situ and satellite-based observations. Our results showed the contrasting F/T dynamics between SFG and permafrost areas. In permafrost areas, soil froze downward from the ground surface and upward from the active layer bottom with a distinct freezing zero-curtain, and minimum soil moisture occurred in the intermediate layer, but the thawing process was unidirectional. However, the vertical F/T directions were contrary in SFG areas, where soil moisture generally increased with depth and the thawing zero-curtain was distinct. The spring onset showed a positive correlation with thaw onset in permafrost areas, but such a correlation was variable in SFG areas likely depending on soil-moisture level. Our results implied that the different soil-moisture patterns and the varying vegetation response might be related to the spatially contrasting UT dynamics, which may have different impacts on soil water transfer, and further affect the zero-curtain and vegetation phenology.</t>
  </si>
  <si>
    <t>[Jiang, Huiru; Zhang, Wenjiang] Sichuan Univ, State Key Lab Hydraul &amp; Mt River, Chengdu, Sichuan, Peoples R China; [Yi, Yonghong] Univ Montana, Numer Terradynam Simulat Grp, Missoula, MT 59812 USA; [Yan, Kun] Tsinghua Univ, Dept Earth Sci Syst, Beijing, Peoples R China; [Li, Guicai] Natl Satellite Meteorol Ctr, Beijing, Peoples R China; [Wang, Gengxu] Chinese Acad Sci, Inst Mt Hazards &amp; Environm, Chengdu, Sichuan, Peoples R China</t>
  </si>
  <si>
    <t>Sichuan University; University of Montana System; University of Montana; Tsinghua University; Chinese Academy of Sciences; Institute of Mountain Hazards &amp; Environment, CAS</t>
  </si>
  <si>
    <t>Zhang, WJ (corresponding author), Sichuan Univ, State Key Lab Hydraul &amp; Mt River, Chengdu, Sichuan, Peoples R China.</t>
  </si>
  <si>
    <t>zhang_wj@scu.edu.cn</t>
  </si>
  <si>
    <t>Li, Guicai/AAG-4262-2019; Yang, Kun/G-8390-2011; Yang, Wei/GWV-4107-2022; Yang, Wei/HIA-0360-2022; Yang, Kun/ISA-1094-2023; Yang, Wei/JBJ-1928-2023</t>
  </si>
  <si>
    <t>Yang, Kun/0000-0002-0809-2371; Yang, Kun/0000-0003-1335-3449;</t>
  </si>
  <si>
    <t>Natural Science Fund of China [41471084, 91547203]</t>
  </si>
  <si>
    <t>Natural Science Fund of China(National Natural Science Foundation of China (NSFC))</t>
  </si>
  <si>
    <t>This work was supported by the Natural Science Fund of China: [41471084]; [91547203].</t>
  </si>
  <si>
    <t>MAY 23</t>
  </si>
  <si>
    <t>e1439155</t>
  </si>
  <si>
    <t>10.1080/15230430.2018.1439155</t>
  </si>
  <si>
    <t>GN1GP</t>
  </si>
  <si>
    <t>WOS:000438736900001</t>
  </si>
  <si>
    <t>Androsiuk, P; Jastrzebski, JP; Paukszto, L; Okorski, A; Pszczólkowska, A; Chwedorzewska, KJ; Koc, J; Górecki, R; Gielwanowska, I</t>
  </si>
  <si>
    <t>Androsiuk, Piotr; Jastrzebski, Jan Pawel; Paukszto, Lukasz; Okorski, Adam; Pszczolkowska, Agnieszka; Chwedorzewska, Katarzyna Joanna; Koc, Justyna; Gorecki, Ryszard; Gielwanowska, Irena</t>
  </si>
  <si>
    <t>The complete chloroplast genome of Colobanthus apetalus (Labill.) Druce: genome organization and comparison with related species</t>
  </si>
  <si>
    <t>PEERJ</t>
  </si>
  <si>
    <t>Colobanthus apetalus; Caryophyllaceae; plastid genome; Next-generation sequencing; Phylogenetics; Genome features</t>
  </si>
  <si>
    <t>QUITENSIS KUNTH BARTL.; KING GEORGE ISLAND; BIPARENTAL INHERITANCE; POLAR CARYOPHYLLACEAE; PLASTID GENOMES; DNA; SEQUENCE; EVOLUTION; PERFORMANCE; INFERENCE</t>
  </si>
  <si>
    <t>Colobanthus apetalus is a member of the genus Colobanthus, one of the 86 genera of the large family Caryophyllaceae which groups annual and perennial herbs (rarely shrubs) that are widely distributed around the globe, mainly in the Holarctic. The genus Colobanthus consists of 25 species, including Colobanthus quitensis, an extremophile plant native to the maritime Antarctic. Complete chloroplast (cp) genomes are useful for phylogenetic studies and species identification. In this study, next-generation sequencing (NGS) was used to identify the cp genome of C. apetalus. The complete cp genome of C. apetalus has the length of 151,228 bp, 36.65% GC content, and a quadripartite structure with a large single copy (LSC) of 83,380 bp and a small single copy (SSC) of 17,206 bp separated by inverted repeats (IRs) of 25,321 bp. The cp genome contains 131 genes, including 112 unique genes and 19 genes which are duplicated in the IRs. The group of 112 unique genes features 73 protein-coding genes, 30 tRNA genes, four rRNA genes and five conserved chloroplast open reading frames (ORFs). A total of 12 forward repeats, 10 palindromic repeats, five reverse repeats and three complementary repeats were detected. In addition, a simple sequence repeat (SSR) analysis revealed 41 (mono-, di-, tri-, tetra-, penta-and hexanucleotide) SSRs, most of which were AT-rich. A detailed comparison of C. apetalus and C. quitensis cp genomes revealed identical gene content and order. A phylogenetic tree was built based on the sequences of 76 protein-coding genes that are shared by the eleven sequenced representatives of Caryophyllaceae and C. apetalus, and it revealed that C. apetalus and C. quitensis form a clade that is closely related to Silene species and Agrostemma githago. Moreover, the genus Silene appeared as a polymorphic taxon. The results of this study expand our knowledge about the evolution and molecular biology of Caryophyllaceae.</t>
  </si>
  <si>
    <t>[Androsiuk, Piotr; Jastrzebski, Jan Pawel; Paukszto, Lukasz; Koc, Justyna; Gorecki, Ryszard; Gielwanowska, Irena] Univ Warmia &amp; Mazury, Dept Plant Physiol Genet &amp; Biotechnol, Olsztyn, Poland; [Okorski, Adam; Pszczolkowska, Agnieszka] Univ Warmia &amp; Mazury, Dept Entomol Phytopathol &amp; Mol Diagnost, Olsztyn, Poland; [Chwedorzewska, Katarzyna Joanna] Polish Acad Sci, Dept Antarctic Biol, Inst Biochem &amp; Biophys, Warsaw, Poland</t>
  </si>
  <si>
    <t>University of Warmia &amp; Mazury; University of Warmia &amp; Mazury; Polish Academy of Sciences; Institute of Biochemistry &amp; Biophysics - Polish Academy of Sciences</t>
  </si>
  <si>
    <t>Androsiuk, P (corresponding author), Univ Warmia &amp; Mazury, Dept Plant Physiol Genet &amp; Biotechnol, Olsztyn, Poland.</t>
  </si>
  <si>
    <t>piotr.androsiuk@uwm.edu.pl</t>
  </si>
  <si>
    <t>Paukszto, Lukasz/AAV-8585-2021; Jastrzębski, Jan Paweł/J-3626-2019; Androsiuk, Piotr/M-6175-2019; Chwedorzewska, Katarzyna/M-9721-2019; Jastrzębski, Jan Paweł/D-6423-2014; Chwedorzewska, Katarzyna J/A-9480-2008; Okorski, Adam/U-3911-2019; Pszczolkowska, Agnieszka/N-5312-2018</t>
  </si>
  <si>
    <t>Paukszto, Lukasz/0000-0002-3618-1064; Jastrzębski, Jan Paweł/0000-0001-8699-7742; Androsiuk, Piotr/0000-0002-1851-3192; Chwedorzewska, Katarzyna/0000-0001-6860-3666; Okorski, Adam/0000-0002-9545-4771; Gorecki, Ryszard/0000-0002-6751-3340; Gielwanowska, Irena/0000-0002-9001-1285; Pszczolkowska, Agnieszka/0000-0001-7958-9193</t>
  </si>
  <si>
    <t>Department of Plant Physiology, Genetics and Biotechnology, University of Warmia and Mazury in Olsztyn; Polish National Science Centre [NN303796240]</t>
  </si>
  <si>
    <t>Department of Plant Physiology, Genetics and Biotechnology, University of Warmia and Mazury in Olsztyn; Polish National Science Centre</t>
  </si>
  <si>
    <t>This work was supported by internal funding of the Department of Plant Physiology, Genetics and Biotechnology, University of Warmia and Mazury in Olsztyn, and the Polish National Science Centre grant NN303796240. There was no additional external funding received for this study. The funders had no role in study design, data collection and analysis, decision to publish, or preparation of the manuscript.</t>
  </si>
  <si>
    <t>PEERJ INC</t>
  </si>
  <si>
    <t>341-345 OLD ST, THIRD FLR, LONDON, EC1V 9LL, ENGLAND</t>
  </si>
  <si>
    <t>2167-8359</t>
  </si>
  <si>
    <t>PeerJ</t>
  </si>
  <si>
    <t>e4723</t>
  </si>
  <si>
    <t>10.7717/peerj.4723</t>
  </si>
  <si>
    <t>GI2VT</t>
  </si>
  <si>
    <t>WOS:000434230700001</t>
  </si>
  <si>
    <t>Gladkova, E; Blanco-Wells, G; Nahuelhual, L</t>
  </si>
  <si>
    <t>Gladkova, Ekaterina; Blanco-Wells, Gustavo; Nahuelhual, Laura</t>
  </si>
  <si>
    <t>Facing the climate change conundrum at the South Pole: actors' perspectives on the implications of global warming for Chilean Antarctic governance</t>
  </si>
  <si>
    <t>Global commons; climate governance; Antarctic Treaty System; science-policy interface; geopolitics; polar ecosystems</t>
  </si>
  <si>
    <t>MARINE ECOSYSTEMS; COMMONS; IMPACT</t>
  </si>
  <si>
    <t>Antarctica is recognized as being geopolitically and scientifically important, and as one of the regions with the greatest potential to affect and be affected by global climate change. Still, little is known in practice about how climate change will be handled within the main governance framework of the continent: the Antarctic Treaty System (ATS). Using qualitative interviews, participant observations and policy document analysis, this paper explores the perspectives of Chilean scientific, political and non-governmental actors regarding the implications of climate change for the current Antarctic governance framework. Results corroborate a misalignment of the climate change agenda and the ATS, stemming from the divergent views displayed by a wide network of actors. From the interviews, two predominant visions emerge: (i) climate change as an opportunity, where actors recognize the role of Antarctica in regulating global climate and stress greater opportunities to conduct Antarctic-based climate change research, the need for strategic international collaboration, and the reinforcement of Chile's position in Antarctica through science; (ii) climate change as a burden where actors acknowledge climate change as a global problem, largely external to Antarctica, express disbelief regarding the effectiveness of local actions to tackle climate change and do not associate with climate change governance. The study concludes that climate change may become a dividing, rather than a unifying, field of action in Chilean Antarctic governance, reinforcing previously existing geopolitical tendencies.</t>
  </si>
  <si>
    <t>[Gladkova, Ekaterina] Univ Amsterdam, Grad Sch Social Sci, Int Dev Studies, Amsterdam, Netherlands; [Blanco-Wells, Gustavo] Univ Austral Chile, Inst Hist &amp; Ciencias Sociales, Independencia 631, Valdivia, Chile; [Blanco-Wells, Gustavo; Nahuelhual, Laura] Ctr Invest Dinam Ecosistemas Marinos Altas Latitu, Valdivia, Chile; [Blanco-Wells, Gustavo] Ctr Ciencias Clima &amp; Resiliencia, Valdivia, Chile; [Nahuelhual, Laura] Univ Austral Chile, Inst Econ Agr, Valdivia, Chile</t>
  </si>
  <si>
    <t>University of Amsterdam; Universidad Austral de Chile; Universidad Austral de Chile</t>
  </si>
  <si>
    <t>Blanco-Wells, G (corresponding author), Univ Austral Chile, Inst Hist &amp; Ciencias Sociales, Independencia 631, Valdivia, Chile.;Blanco-Wells, G (corresponding author), Ctr Ciencias Clima &amp; Resiliencia, Ctr Invest Dinam Ecosistemas Marinos Altas Latitu, Campus Isl Teja,Independencia 631, Valdivia, Chile.</t>
  </si>
  <si>
    <t>gblanco@uach.cl</t>
  </si>
  <si>
    <t>Blanco-Wells, Gustavo/N-8046-2019</t>
  </si>
  <si>
    <t>Blanco-Wells, Gustavo/0000-0002-4980-3424</t>
  </si>
  <si>
    <t>National Commission of Scientific and Technological Investigation of Chile through the Fondo de Financiamiento de Centros de Investigacion en Areas Prioritarias (FONDAP) programme Research Center: Dynamics of High Latitude Marine Ecosystems [15150003]; National Commission of Scientific and Technological Investigation of Chile through Climate and Resilience Research Center [15110009]</t>
  </si>
  <si>
    <t>National Commission of Scientific and Technological Investigation of Chile through the Fondo de Financiamiento de Centros de Investigacion en Areas Prioritarias (FONDAP) programme Research Center: Dynamics of High Latitude Marine Ecosystems; National Commission of Scientific and Technological Investigation of Chile through Climate and Resilience Research Center</t>
  </si>
  <si>
    <t>This work was supported and funded by the National Commission of Scientific and Technological Investigation of Chile through the Fondo de Financiamiento de Centros de Investigacion en Areas Prioritarias (FONDAP) programme Research Center: Dynamics of High Latitude Marine Ecosystems (grant no. 15150003) and the Climate and Resilience Research Center (grant no. 15110009).</t>
  </si>
  <si>
    <t>POLAR RES</t>
  </si>
  <si>
    <t>10.1080/17518369.2018.1468195</t>
  </si>
  <si>
    <t>GG7VL</t>
  </si>
  <si>
    <t>WOS:000432906400001</t>
  </si>
  <si>
    <t>Fossi, MC; Panti, C; Baini, M; Lavers, JL</t>
  </si>
  <si>
    <t>Fossi, Maria Cristina; Panti, Cristina; Baini, Matteo; Lavers, Jennifer L.</t>
  </si>
  <si>
    <t>A Review of Plastic-Associated Pressures: Cetaceans of the Mediterranean Sea and Eastern Australian Shearwaters as Case Studies</t>
  </si>
  <si>
    <t>FRONTIERS IN MARINE SCIENCE</t>
  </si>
  <si>
    <t>anthropogenic impacts; apex predator; cumulative pressures; marine debris; plastic pollution; seabirds; cetaceans</t>
  </si>
  <si>
    <t>FLESH-FOOTED SHEARWATERS; MARINE DEBRIS; PUFFINUS-CARNEIPES; PELAGOS SANCTUARY; PROTECTED AREA; CLIMATE-CHANGE; RIGHT WHALE; MICROPLASTICS; INGESTION; IMPACTS</t>
  </si>
  <si>
    <t>Impacts of debris on marine fauna occur throughout the marine ecosystems, with adverse impacts documented on over 1,400 species; impacts can be divided into those arising from entanglement, and those from ingestion. Ingestion of, and entanglement in, debris has been documented in over 60% of all cetacean species. Seabirds are also impacted by debris predominately through entanglement and ingestion, with the number of species negatively impacted increasing from 138 to 174 over the past two decades. In the marine environment, cetaceans and seabirds are widely regarded as reliable sentinels due to their position near the top of the marine food web, conspicuous nature, and reliance on marine resources; for this reason, this paper is focused on seabirds and cetaceans as sentinels of ocean change. In particular, two case studies are considered in relation to different levels of environmental anthropogenic impact: the cetaceans of the Mediterranean Sea and seabirds of eastern Australia. Here we describe two recent studies used to diagnose the toxicological stress related to debris-associated pressures in cetaceans and seabirds. These studies highlight the diversity and scale of impacts being felt by marine species and the role these organisms can play in our society as charismatic sentinels of ocean health. Seabirds and marine mammals are exposed, in these key areas, to a variety of adversities that potentially decrease their survival or reproductive success. These include weather, food shortages, predators, competitors, parasites, disease, and human-induced effects and plastic pollution. Each factor affects seabirds and marine mammals in a different way, but more importantly, factors can also interact and create impacts far greater than any one factor alone. The Australian and Mediterranean case studies presented here emphasize the need to consider multiple sources of mortality when developing management plans for the conservation of vulnerable species.</t>
  </si>
  <si>
    <t>[Fossi, Maria Cristina; Panti, Cristina; Baini, Matteo] Univ Siena, Dept Phys Sci Earth &amp; Environm, Siena, Italy; [Lavers, Jennifer L.] Univ Tasmania, Inst Marine &amp; Antarctic Studies, Hobart, Tas, Australia</t>
  </si>
  <si>
    <t>University of Siena; University of Tasmania</t>
  </si>
  <si>
    <t>Fossi, MC (corresponding author), Univ Siena, Dept Phys Sci Earth &amp; Environm, Siena, Italy.</t>
  </si>
  <si>
    <t>fossi@unisi.it</t>
  </si>
  <si>
    <t>Baini, Matteo/IAR-1459-2023; Lavers, Jennifer/O-4831-2017; Lavers, Jennifer/IWM-5417-2023</t>
  </si>
  <si>
    <t>Baini, Matteo/0000-0003-2237-7688; Lavers, Jennifer/0000-0001-7596-6588; Fossi, Maria Cristina/0000-0003-0836-4020</t>
  </si>
  <si>
    <t>Detached Foundation; Trading Consultants Ltd.; Italian Ministry of Environment, Territory and Sea [39752/III-17]</t>
  </si>
  <si>
    <t>Detached Foundation; Trading Consultants Ltd.; Italian Ministry of Environment, Territory and Sea</t>
  </si>
  <si>
    <t>JL received financial support for aspects of the research summarized here from L. Bryce, C. Noone, the Detached Foundation, and Trading Consultants Ltd. All seabird research was completed under permit (University of Tasmania Animal Ethics; New South Wales Office of Environment and Heritage; Western Australian Dept. of Biodiversity, Conservation and Attractions; Australia Bird and Bat Banding Service) with generous support from A. Bond, I. Hutton, the Lord Howe Island community, graduate students and volunteers. The fin whale Mediterranean project was supported by the Italian Ministry of Environment, Territory and Sea (prot n. 39752/III-17). Authors want to thank all the authors involved in the studies on cetaceans and seabirds conducted in the Mediterranean and Tasman Sea presented in the present paper.</t>
  </si>
  <si>
    <t>FRONTIERS MEDIA SA</t>
  </si>
  <si>
    <t>LAUSANNE</t>
  </si>
  <si>
    <t>AVENUE DU TRIBUNAL FEDERAL 34, LAUSANNE, CH-1015, SWITZERLAND</t>
  </si>
  <si>
    <t>2296-7745</t>
  </si>
  <si>
    <t>FRONT MAR SCI</t>
  </si>
  <si>
    <t>Front. Mar. Sci.</t>
  </si>
  <si>
    <t>10.3389/fmars.2018.00173</t>
  </si>
  <si>
    <t>Environmental Sciences; Marine &amp; Freshwater Biology</t>
  </si>
  <si>
    <t>HJ4NJ</t>
  </si>
  <si>
    <t>gold, Green Accepted, Green Published</t>
  </si>
  <si>
    <t>WOS:000457150400001</t>
  </si>
  <si>
    <t>Bardelli, T; Gómez-Brandón, M; Fornasier, F; Arfaioli, P; Egli, M; Pietramellara, G; Ceccherini, MT; Insam, H; Ascher-Jenull, J</t>
  </si>
  <si>
    <t>Bardelli, Tommaso; Gomez-Brandon, Maria; Fornasier, Flavio; Arfaioli, Paola; Egli, Markus; Pietramellara, Giacomo; Ceccherini, Maria Teresa; Insam, Heribert; Ascher-Jenull, Judith</t>
  </si>
  <si>
    <t>Chemical and microbiological changes in Norway spruce deadwood during the early stage of decomposition as a function of exposure in an alpine setting</t>
  </si>
  <si>
    <t>Wood decay; enzyme activities; fungal abundance; nitrogen-fixing bacteria; topsoil layer</t>
  </si>
  <si>
    <t>MICROBIAL COMMUNITY COMPOSITION; PICEA-ABIES; SOIL; DIVERSITY; DYNAMICS; DECAY; L.; VEGETATION; ABUNDANCE; PATTERNS</t>
  </si>
  <si>
    <t>Alpine ecosystems are vulnerable to ever-changing environmental conditions, leading to shifts in vegetation distribution and composition with implications on soil functionality and carbon (C) turnover. Although deadwood represents an important global C stock, scarce information is available on how slope exposure influences the wood-inhabiting microbiota throughout the decomposition process in an Alpine setting. We therefore evaluated the impact of slope exposure (north- vs. south-facing sites) on physicochemical and microbiological properties (microbial abundance based on real-time PCR: fungal 18S rRNA, dinitrogen reductase [nifH]; microbial biomass: double strand DNA; and microbial activity: hydrolytic enzyme activities of the main nutrient cycles) of Picea abies wood blocks and the underlying soil in a field experiment in the Italian Alps during a three-year period. Overall, a higher abundance of fungi and nitrogen-fixing bacteria was recorded in the soil at the north-facing site where cooler and moister conditions were observed. In contrast, no exposure effects were found for these two microbial groups in the wood blocks, while their abundance increased over time, accompanied by more acidic conditions with progressing decay. The impact of exposure was also enzyme specific and time dependent for both the P. abies wood blocks and the underlying soil.</t>
  </si>
  <si>
    <t>[Bardelli, Tommaso; Arfaioli, Paola; Pietramellara, Giacomo; Ceccherini, Maria Teresa; Ascher-Jenull, Judith] Univ Florence, Dept Agrifood &amp; Environm Sci, Florence, Italy; [Bardelli, Tommaso; Gomez-Brandon, Maria; Insam, Heribert; Ascher-Jenull, Judith] Univ Innsbruck, Inst Microbiol, Innsbruck, Austria; [Gomez-Brandon, Maria] Univ Vigo, Dept Ecol &amp; Biol Anim, Vigo, Spain; [Fornasier, Flavio] Council Res &amp; Experimentat Agr, Gorizia, Italy; [Egli, Markus] Univ Zurich, Dept Geog, Zurich, Switzerland</t>
  </si>
  <si>
    <t>University of Florence; University of Innsbruck; Universidade de Vigo; University of Zurich</t>
  </si>
  <si>
    <t>Bardelli, T (corresponding author), Univ Florence, Dept Agrifood &amp; Environm Sci, Florence, Italy.;Bardelli, T (corresponding author), Univ Innsbruck, Inst Microbiol, Innsbruck, Austria.</t>
  </si>
  <si>
    <t>tommaso.bardelli@unifi.it</t>
  </si>
  <si>
    <t>Gómez-Brandón, Maria/D-7050-2011; Insam, Heribert/B-4649-2013; Ceccherini, Maria Teresa/J-7847-2019; Egli, Markus/C-3893-2013; Insam, Heribert/AAM-4543-2021; Ascher-Jenull, Judith/A-7262-2016; Gomez-Brandon, Maria/Q-4421-2016</t>
  </si>
  <si>
    <t>Insam, Heribert/0000-0002-5136-2752; Ceccherini, Maria Teresa/0000-0002-4261-7514; Ascher-Jenull, Judith/0000-0003-0127-8058; Gomez-Brandon, Maria/0000-0003-4744-535X</t>
  </si>
  <si>
    <t>DecAlp D.A.CH. project [I989-B16]; University of Florence (Italy); Doctoral Scholarship Programme for Junior Researchers at the University of Innsbruck (Austria) [2017/3/BIO-1]; Fonds zur Forderung der wissenschaftlichen Forschung (FWF) Austria [I989-B16]; Programa Ramon y Cajal [RYC-2016-21231]</t>
  </si>
  <si>
    <t>DecAlp D.A.CH. project; University of Florence (Italy); Doctoral Scholarship Programme for Junior Researchers at the University of Innsbruck (Austria); Fonds zur Forderung der wissenschaftlichen Forschung (FWF) Austria(Austrian Science Fund (FWF)); Programa Ramon y Cajal(Spanish Government)</t>
  </si>
  <si>
    <t>This research is part of the DecAlp D.A.CH. project (Project I989-B16). T. Bardelli has been funded by a PhD grant from the University of Florence (Italy) and by the Doctoral Scholarship Programme for Junior Researchers (2017/3/BIO-1; Vizerektorat fur Forschung) at the University of Innsbruck (Austria). M. Gomez-Brandon and J. Ascher-Jenull have been funded by the Fonds zur Forderung der wissenschaftlichen Forschung (FWF) Austria (Project I989-B16). Maria Gomez-Brandon also acknowledges support by the Programa Ramon y Cajal (RYC-2016-21231; Ministerio de Economia y Competitividad).</t>
  </si>
  <si>
    <t>MAY 22</t>
  </si>
  <si>
    <t>e1438347</t>
  </si>
  <si>
    <t>10.1080/15230430.2018.1438347</t>
  </si>
  <si>
    <t>GN1FF</t>
  </si>
  <si>
    <t>WOS:000438730900001</t>
  </si>
  <si>
    <t>Salter, WT; Turnbull, TL; Okazaki, Y; Saito, K; Kreuzwieser, J; Rennenberg, H; Adams, MA</t>
  </si>
  <si>
    <t>Salter, William T.; Turnbull, Tarryn L.; Okazaki, Yozo; Saito, Kazuki; Kreuzwieser, Juergen; Rennenberg, Heinz; Adams, Mark A.</t>
  </si>
  <si>
    <t>Plant and soil P determine functional attributes of subalpine Australian plants</t>
  </si>
  <si>
    <t>Alpine plants; phosphorus; phospholipids; photosynthesis; stress</t>
  </si>
  <si>
    <t>MEMBRANE PHOSPHOLIPIDS; PHOSPHATE AVAILABILITY; PHOSPHORUS-NUTRITION; PLASMA-MEMBRANE; ARABIDOPSIS; PHOTOSYNTHESIS; LEAVES; GALACTOLIPIDS; BIOSYNTHESIS; NITROGEN</t>
  </si>
  <si>
    <t>Replacement of phospholipids with phosphorus (P)-free lipids in cellular membranes has been identified as a mechanism facilitating fast rates of photosynthesis when phosphorus availability is limited. We measured photosynthetic rates, leaf and soil P fractions, and foliar membrane lipid compositions for five species (Geranium antrorsum, Ranunculus graniticola, Poa costiniana, Poa hiemata, and Veronica derwentiana) common to two Australian subalpine ecosystems of contrasting parent material to characterize the extent to which they have adapted to long-term P availability. Our results indicate limited tolerance to reduced P, albeit adaptation strategies differ among species. Under reduced P conditions, phospholipids were replaced in foliage by galactolipids and sulfolipids, but photosynthesis was still impaired owing to reduced stomatal conductance. Accumulation of antioxidants, including carotenoids and alpha-tocopherol, in leaves with limited P supply suggests oxidative stress. Our field study shows that while subalpine Australian plants of a variety of life forms adapt to P availability by replacing phospholipids with P-free lipids in foliar membranes, this adaptation is insufficient to fully mitigate the effects of reduced P on photosynthesis.</t>
  </si>
  <si>
    <t>[Salter, William T.; Turnbull, Tarryn L.] Univ Sydney, Sch Life &amp; Environm Sci, Sydney Inst Agr, Sydney, NSW, Australia; [Okazaki, Yozo; Saito, Kazuki] RIKEN, Ctr Sustainable Resource Sci, Yokohama, Kanagawa, Japan; [Saito, Kazuki] Chiba Univ, Grad Sch Pharmaceut Sci, Chuo Ku, Chiba, Japan; [Kreuzwieser, Juergen; Rennenberg, Heinz] Univ Freiburg, Chair Tree Physiol, Inst Forest Bot &amp; Tree Physiol, Freiburg, Germany; [Rennenberg, Heinz] King Saud Univ, Coll Sci, Riyadh, Saudi Arabia; [Adams, Mark A.] Swinburne Univ, Fac Sci Engn &amp; Technol, Dept Chem &amp; Biotechnol, Hawthorn, Vic, Australia</t>
  </si>
  <si>
    <t>University of Sydney; RIKEN; Chiba University; University of Freiburg; King Saud University; Swinburne University of Technology</t>
  </si>
  <si>
    <t>Salter, WT (corresponding author), Univ Sydney, Sch Life &amp; Environm Sci, Sydney Inst Agr, Sydney, NSW, Australia.</t>
  </si>
  <si>
    <t>william.salter@sydney.edu.au</t>
  </si>
  <si>
    <t>Saito, Kazuki/D-2670-2009; Salter, William/AAE-9397-2019; adams, mark a/H-1303-2012</t>
  </si>
  <si>
    <t>Saito, Kazuki/0000-0001-6310-5342; Salter, William/0000-0003-1653-5192; adams, mark a/0000-0002-8154-0097</t>
  </si>
  <si>
    <t>MAY 21</t>
  </si>
  <si>
    <t>e1420246</t>
  </si>
  <si>
    <t>10.1080/15230430.2017.1420246</t>
  </si>
  <si>
    <t>GN1EH</t>
  </si>
  <si>
    <t>WOS:000438727800001</t>
  </si>
  <si>
    <t>Trump, BD; Kadenic, M; Linkov, I</t>
  </si>
  <si>
    <t>Trump, Benjamin D.; Kadenic, Maja; Linkov, Igor</t>
  </si>
  <si>
    <t>A sustainable Arctic: Making hard decisions</t>
  </si>
  <si>
    <t>Arctic sustainability; multicriteria decision analysis; Arctic environment</t>
  </si>
  <si>
    <t>ANALYTIC APPROACH; ICE; GOVERNANCE; GREENLAND; FRAMEWORK; IMPACTS</t>
  </si>
  <si>
    <t>The Arctic is experiencing substantial increases in human activity in areas ranging from fossil fuel and mineral extraction to transport along Arctic waterways. Such actions may yield new sources of economic benefits and further objectives to promote national defense, yet they may also generate potential risks to the Arctic environment. As such, concerns from various stakeholders have been raised regarding how to make Arctic operations better meet sustainability goals and balance defense and economic objectives with environmental degradation. This article describes how decision analytical tools, such as multicriteria decision analysis (MCDA), may help identify policies and project proposals that minimize the potential for environmental degradation within a framework of maximizing economic, industrial, and defense objectives. Specifically, MCDA conducts value tradeoffs to assess the utility of various decision alternatives against disparate criteria; for this case, this includes the evaluation of Arctic operation sustainability. This article demonstrates through an example of industrial mining in Greenland how MCDA might serve as a tool to guide uncertain decisions for various Arctic projects, and potentially indicate opportunities to structure such projects to provide greater sustainability for their longer-term operations.</t>
  </si>
  <si>
    <t>[Trump, Benjamin D.; Linkov, Igor] US Army, Engineer Res &amp; Dev Ctr, Concord, MA 01742 USA; [Kadenic, Maja] Aarhus Univ, Aarhus C, Denmark</t>
  </si>
  <si>
    <t>United States Department of Defense; United States Army; U.S. Army Corps of Engineers; U.S. Army Engineer Research &amp; Development Center (ERDC); ERDC - Risk Modeling; Aarhus University</t>
  </si>
  <si>
    <t>Linkov, I (corresponding author), US Army, Engineer Res &amp; Dev Ctr, Concord, MA 01742 USA.</t>
  </si>
  <si>
    <t>Igor.Linkov@usace.army.mil</t>
  </si>
  <si>
    <t>Linkov, Igor/AAH-5981-2019</t>
  </si>
  <si>
    <t>Linkov, Igor/0000-0002-0823-8107; Kadenic, Maja Due/0000-0002-5197-1179</t>
  </si>
  <si>
    <t>e1438345</t>
  </si>
  <si>
    <t>10.1080/15230430.2018.1438345</t>
  </si>
  <si>
    <t>GN1FD</t>
  </si>
  <si>
    <t>WOS:000438730600001</t>
  </si>
  <si>
    <t>Young-Robertson, JM; Raz-Yaseef, N; Cohen, LR; Newman, B; Rahn, T; Sloan, V; Wilson, C; Wullschleger, SD</t>
  </si>
  <si>
    <t>Young-Robertson, Jessica M.; Raz-Yaseef, Naama; Cohen, Lily R.; Newman, Brent; Rahn, Thom; Sloan, Victoria; Wilson, Cathy; Wullschleger, Stan D.</t>
  </si>
  <si>
    <t>Evaporation dominates evapotranspiration on Alaska's Arctic Coastal Plain</t>
  </si>
  <si>
    <t>Polygonal ground; permafrost; ice wedge; plant functional type; evapotranspiration partitioning</t>
  </si>
  <si>
    <t>SOIL EVAPORATION; WATER-USE; PERMAFROST; CO2; ECOSYSTEMS; SYSTEM; FLUX; ICE; EXCHANGE; MOISTURE</t>
  </si>
  <si>
    <t>The dynamics of evapotranspiration (ET), such as the partitioning to evaporation and transpiration, of polygonal ground on the Arctic Coastal Plain are not well understood. We assessed ET dynamics, including evaporation and transpiration partitioning, created by microtopographic features associated with high- and low-centered polygons. Chamber ET and leaf-level transpiration measurements were conducted in one-week field campaigns in two growing seasons with contrasting weather conditions. We found that ET was greater in the drier and warmer sampling period (2013) compared to the colder and wetter one (2014). Evaporation dominated ET, particularly in the wetter and colder sampling period (&gt;90% in 2014 vs. 80% in 2013). In the 2013 sampling period, wetter and warmer conditions increased ET and the contribution of transpiration to ET. If the soils warm with degrading permafrost, ET and the fraction contributed by transpiration may increase to a certain threshold, when moisture must increase with rising temperatures to further increase these fluxes. While the fraction of transpiration may rise with warmer soils, it is unlikely that transpiration will completely dominate ET. This work highlights the complexities of understanding ET in this dynamic environment and the importance of understanding differences across polygonal ground.</t>
  </si>
  <si>
    <t>[Young-Robertson, Jessica M.] Univ Alaska Fairbanks, Sch Nat Resources &amp; Extens, Fairbanks, AK 99775 USA; [Raz-Yaseef, Naama] Lawrence Berkley Natl Lab, Berkeley, CA USA; [Cohen, Lily R.] Univ Alaska Fairbanks, Int Arctic Res Ctr, Fairbanks, AK USA; [Newman, Brent; Rahn, Thom; Wilson, Cathy] Los Alamos Natl Lab, Los Alamos, NM USA; [Sloan, Victoria] Univ Bristol, Dept Civil Engn, Bristol, Avon, England; [Wullschleger, Stan D.] Oak Ridge Natl Lab, Oak Ridge, TN USA</t>
  </si>
  <si>
    <t>University of Alaska System; University of Alaska Fairbanks; United States Department of Energy (DOE); Lawrence Berkeley National Laboratory; University of Alaska System; University of Alaska Fairbanks; United States Department of Energy (DOE); Los Alamos National Laboratory; University of Bristol; United States Department of Energy (DOE); Oak Ridge National Laboratory</t>
  </si>
  <si>
    <t>Young-Robertson, JM (corresponding author), Univ Alaska Fairbanks, Sch Nat Resources &amp; Extens, Fairbanks, AK 99775 USA.</t>
  </si>
  <si>
    <t>jmrobertson3@alaska.edu</t>
  </si>
  <si>
    <t>Yaseef, Naama Raz/D-3385-2015</t>
  </si>
  <si>
    <t>Office of Biological and Environmental Research in the DOE Office of Science; NSF [1114457]; NSF Arctic Natural Sciences [1418123]; DOE SciDAC grant [DE-SC0006913]; U.S. Department of Energy (DOE) [DE-SC0006913] Funding Source: U.S. Department of Energy (DOE); Division Of Earth Sciences; Directorate For Geosciences [1114457] Funding Source: National Science Foundation</t>
  </si>
  <si>
    <t>Office of Biological and Environmental Research in the DOE Office of Science(UK Research &amp; Innovation (UKRI)Biotechnology and Biological Sciences Research Council (BBSRC)); NSF(National Science Foundation (NSF)); NSF Arctic Natural Sciences(National Science Foundation (NSF)); DOE SciDAC grant(United States Department of Energy (DOE)); U.S. Department of Energy (DOE)(United States Department of Energy (DOE)); Division Of Earth Sciences; Directorate For Geosciences(National Science Foundation (NSF)NSF - Directorate for Geosciences (GEO))</t>
  </si>
  <si>
    <t>The Next-Generation Ecosystem Experiments (NGEE Arctic) project is supported by the Office of Biological and Environmental Research in the DOE Office of Science. We thank NSF Hydrology grant #1114457 and NSF Arctic Natural Sciences #1418123, and DOE SciDAC grant #DE-SC0006913 for partially funding J. Young-Robertson.</t>
  </si>
  <si>
    <t>e1435931</t>
  </si>
  <si>
    <t>10.1080/15230430.2018.1435931</t>
  </si>
  <si>
    <t>GN1EU</t>
  </si>
  <si>
    <t>gold, Green Published, Green Submitted</t>
  </si>
  <si>
    <t>WOS:000438729500001</t>
  </si>
  <si>
    <t>Reid, IM; McIntosh, DL; Murphy, DJ; Vincent, RA</t>
  </si>
  <si>
    <t>Reid, Iain M.; McIntosh, Daniel L.; Murphy, Damian J.; Vincent, Robert A.</t>
  </si>
  <si>
    <t>Mesospheric radar wind comparisons at high and middle southern latitudes</t>
  </si>
  <si>
    <t>EARTH PLANETS AND SPACE</t>
  </si>
  <si>
    <t>Medium-frequency partial reflection radar; Meteor radar; Davis station; Winds</t>
  </si>
  <si>
    <t>PARK MF RADAR; STRATOSPHERE-TROPOSPHERE RADAR; METEOR RADAR; ATMOSPHERE WINDS; DOPPLER; VHF; INTERFEROMETER; 70-DEGREES-N; ADELAIDE; TIDES</t>
  </si>
  <si>
    <t>We compare hourly averaged neutral winds derived from two meteor radars operating at 33.2 and 55 MHz to estimate the errors in these measurements. We then compare the meteor radar winds with those from a mediumfrequency partial reflection radar operating at 1.94 MHz. These three radars are located at Davis Station, Antarctica. We then consider a middle-latitude 55 MHz meteor radar wind comparison with a 1.98 MHz medium-frequency partial reflection radar to determine how representative the Davis results are. At both sites, the medium-frequency radar winds are clearly underestimated, and the underestimation increases from 80 km to the maximum height of 98 km. Correction factors are suggested for these results.</t>
  </si>
  <si>
    <t>[Reid, Iain M.] ATRAD Pty Ltd, Thebarton, Australia; [Reid, Iain M.; McIntosh, Daniel L.; Vincent, Robert A.] Univ Adelaide, Adelaide, SA, Australia; [Murphy, Damian J.] Australian Antarctic Div, Kingston, Tas, Australia</t>
  </si>
  <si>
    <t>ATRAD Pty Ltd.; University of Adelaide; Australian Antarctic Division</t>
  </si>
  <si>
    <t>Reid, IM (corresponding author), ATRAD Pty Ltd, Thebarton, Australia.</t>
  </si>
  <si>
    <t>ireid@atrad.com.au</t>
  </si>
  <si>
    <t>Vincent, Robert A/E-5450-2013; Reid, Iain/B-5681-2012</t>
  </si>
  <si>
    <t>Vincent, Robert A/0000-0001-6559-6544; Reid, Iain/0000-0003-2340-9047</t>
  </si>
  <si>
    <t>Australian Research Council [A69943065, DP0450787, DP0878144, DP1096901]; Adelaide University ARC Small Grants Scheme; ATRAD Pty Ltd.; AAS [2529, 2668, 4025]; Adelaide University postgraduate scholarship; Australian Research Council [DP1096901, DP0450787, DP0878144] Funding Source: Australian Research Council</t>
  </si>
  <si>
    <t>Australian Research Council(Australian Research Council); Adelaide University ARC Small Grants Scheme(Australian Research Council); ATRAD Pty Ltd.; AAS; Adelaide University postgraduate scholarship; Australian Research Council(Australian Research Council)</t>
  </si>
  <si>
    <t>Funding for this research was provided by the Australian Research Council grants A69943065, DP0450787, DP0878144, and DP1096901, by the Adelaide University ARC Small Grants Scheme, and by ATRAD Pty Ltd. The involvement of IMR was supported by ATRAD Pty Ltd. Operation of the Davis radars has been supported under AAS projects 2529, 2668, and 4025. DLM was supported by an Adelaide University postgraduate scholarship. The loan of the VTX transmitter was facilitated by Ray Morris of the AAD for use at Buckland Park during 2006 and 2007 and is gratefully acknowledged.</t>
  </si>
  <si>
    <t>1880-5981</t>
  </si>
  <si>
    <t>EARTH PLANETS SPACE</t>
  </si>
  <si>
    <t>Earth Planets Space</t>
  </si>
  <si>
    <t>10.1186/s40623-018-0861-1</t>
  </si>
  <si>
    <t>GG7CW</t>
  </si>
  <si>
    <t>WOS:000432856800001</t>
  </si>
  <si>
    <t>Vega, CP; Isaksson, E; Schlosser, E; Divine, D; Martma, T; Mulvaney, R; Eichler, A; Schwikowski-Gigar, M</t>
  </si>
  <si>
    <t>Paulina Vega, Carmen; Isaksson, Elisabeth; Schlosser, Elisabeth; Divine, Dmitry; Martma, Tonu; Mulvaney, Robert; Eichler, Anja; Schwikowski-Gigar, Margit</t>
  </si>
  <si>
    <t>Variability of sea salts in ice and firn cores from Fimbul Ice Shelf, Dronning Maud Land, Antarctica</t>
  </si>
  <si>
    <t>SURFACE MASS-BALANCE; EAST ANTARCTICA; FROST FLOWERS; LAW DOME; COASTAL ANTARCTICA; POLAR-REGIONS; LARGE-SCALE; MAJOR IONS; AEROSOL; SNOW</t>
  </si>
  <si>
    <t>Major ions were analysed in firn and ice cores located at Fimbul Ice Shelf (FIS), Dronning Maud Land - DML, Antarctica. FIS is the largest ice shelf in the Haakon VII Sea, with an extent of approximately 36 500 km(2). Three shallow firn cores (about 20m deep) were retrieved in different ice rises, Kupol Ciolkovskogo (KC), Kupol Moskovskij (KM), and Blaskimen Island (BI), while a 100m long core (S100) was drilled near the FIS edge. These sites are distributed over the entire FIS area so that they provide a variety of elevation (50-400ma. s.l.) and distance (3-42 km) to the sea. Sea-salt species (mainly Na+ and Cl-) generally dominate the precipitation chemistry in the study region. We associate a significant sixfold increase in median sea-salt concentrations, observed in the S100 core after the 1950s, to an enhanced exposure of the S100 site to primary sea-salt aerosol due to a shorter distance from the S100 site to the ice front, and to enhanced sea-salt aerosol production from blowing salty snow over sea ice, most likely related to the calving of Trolltunga occurred during the 1960s. This increase in sea-salt concentrations is synchronous with a shift in non-seasalt sulfate (nssSO2 4) toward negative values, suggesting a possible contribution of fractionated aerosol to the sea-salt load in the S100 core most likely originating from salty snow found on sea ice. In contrast, there is no evidence of a significant contribution of fractionated sea salt to the ice-rises sites, where the signal would be most likely masked by the large inputs of biogenic sulfate estimated for these sites. In summary, these results suggest that the S100 core contains a sea-salt record dominated by the proximity of the site to the ocean, and processes of sea ice formation in the neighbouring waters. In contrast, the ice-rises firn cores register a larger-scale signal of atmospheric flow conditions and a less efficient transport of sea-salt aerosols to these sites. These findings are a contribution to the understanding of the mechanisms behind sea-salt aerosol production, transport and deposition at coastal Antarctic sites, and the improvement of the current Antarctic sea ice reconstructions based on sea-salt chemical proxies obtained from ice cores.</t>
  </si>
  <si>
    <t>[Paulina Vega, Carmen; Isaksson, Elisabeth; Divine, Dmitry] Norwegian Polar Res Inst, N-9296 Tromso, Norway; [Paulina Vega, Carmen] Uppsala Univ, Dept Earth Sci, Villavagen 16, SE-75236 Uppsala, Sweden; [Schlosser, Elisabeth] Univ Innsbruck, Inst Atmospher &amp; Cryospher Sci, Innsbruck, Austria; [Schlosser, Elisabeth] Austrian Polar Res Inst, Vienna, Austria; [Martma, Tonu] Tallinn Univ Technol, Dept Geol, Tallinn, Estonia; [Mulvaney, Robert] British Antarctic Survey, Madingley Rd, Cambridge CB3 0ET, Cambs, England; [Eichler, Anja; Schwikowski-Gigar, Margit] PSI, CH-5232 Villigen, Switzerland; [Paulina Vega, Carmen] Univ Costa Rica, Sch Phys, San Jose 115012060, Costa Rica; [Paulina Vega, Carmen] Univ Costa Rica, Ctr Geophys Res, San Jose 115012060, Costa Rica</t>
  </si>
  <si>
    <t>Norwegian Polar Institute; Uppsala University; University of Innsbruck; Tallinn University of Technology; UK Research &amp; Innovation (UKRI); Natural Environment Research Council (NERC); NERC British Antarctic Survey; Swiss Federal Institutes of Technology Domain; Paul Scherrer Institute; Universidad Costa Rica; Universidad Costa Rica</t>
  </si>
  <si>
    <t>Vega, CP (corresponding author), Norwegian Polar Res Inst, N-9296 Tromso, Norway.;Vega, CP (corresponding author), Uppsala Univ, Dept Earth Sci, Villavagen 16, SE-75236 Uppsala, Sweden.;Vega, CP (corresponding author), Univ Costa Rica, Sch Phys, San Jose 115012060, Costa Rica.;Vega, CP (corresponding author), Univ Costa Rica, Ctr Geophys Res, San Jose 115012060, Costa Rica.</t>
  </si>
  <si>
    <t>carmen.vegariquelme@ucr.ac.cr</t>
  </si>
  <si>
    <t>Eichler, Anja/A-2132-2014; Mulvaney, Robert/K-3929-2012; Martma, Tonu/B-7386-2019</t>
  </si>
  <si>
    <t>Eichler, Anja/0000-0003-0206-7463; Schwikowski, Margit/0000-0002-0856-5183; Mulvaney, Robert/0000-0002-5372-8148; Martma, Tonu/0000-0001-5894-7692</t>
  </si>
  <si>
    <t>Norwegian Research Council through NARE; Centre for Ice, Climate and Ecosystems (ICE) at the Norwegian Polar Institute in Tromso; University of Costa Rica, network ISONet [B6-774]; NERC [NE/R016038/1, bas0100034] Funding Source: UKRI</t>
  </si>
  <si>
    <t>Norwegian Research Council through NARE(Research Council of Norway); Centre for Ice, Climate and Ecosystems (ICE) at the Norwegian Polar Institute in Tromso; University of Costa Rica, network ISONet; NERC(UK Research &amp; Innovation (UKRI)Natural Environment Research Council (NERC))</t>
  </si>
  <si>
    <t>We are grateful to those who helped to collect, transport, sample, and analyse the firn cores from FIS. We would like to thank Vikram Goel, Jack Kohler, and Jelte van Oostveen for providing the 50m contours and the pre-calving extent of Trolltunga, respectively, used in Fig. 1, and Tito Maldonado for processing the data for Fig. 6. In addition, we thank the two anonymous referees for their thorough and constructive revision of the manuscript. We thank the Norwegian Polar Institute's team behind the Quantarctica package. Financial support came from Norwegian Research Council through NARE and the Centre for Ice, Climate and Ecosystems (ICE) at the Norwegian Polar Institute in Tromso. Additional support was received from University of Costa Rica, network ISONet (project B6-774).</t>
  </si>
  <si>
    <t>MAY 18</t>
  </si>
  <si>
    <t>10.5194/tc-12-1681-2018</t>
  </si>
  <si>
    <t>GG1VV</t>
  </si>
  <si>
    <t>Green Submitted, gold, Green Accepted, Green Published</t>
  </si>
  <si>
    <t>WOS:000432476600002</t>
  </si>
  <si>
    <t>Malekar, VC; Morton, JD; Hider, RN; Cruickshank, RH; Hodge, S; Metcalf, VJ</t>
  </si>
  <si>
    <t>Malekar, Vanita C.; Morton, James D.; Hider, Richard N.; Cruickshank, Robert H.; Hodge, Simon; Metcalf, Victoria J.</t>
  </si>
  <si>
    <t>Effect of elevated temperature on membrane lipid saturation in Antarctic notothenioid fish</t>
  </si>
  <si>
    <t>Membrane remodelling; Climate change; Homeoviscous adaptation; Antarctic fish; Notothenioids; Phospholipids; Membrane fluidity; Temperature acclimation; Thermal adaptation; Lipid saturation</t>
  </si>
  <si>
    <t>FATTY-ACID-COMPOSITION; STEAROYL-COA DESATURASE; TREMATOMUS-BERNACCHII; BIOLOGICAL-MEMBRANES; THERMAL-ACCLIMATION; PLASMA-MEMBRANES; WARM-ACCLIMATION; RAINBOW-TROUT; ADAPTATION; MITOCHONDRIA</t>
  </si>
  <si>
    <t>Homeoviscous adaptation (HVA) is a key cellular response by which fish protect their membranes against thermal stress. We investigated evolutionary HVA (long time scale) in Antarctic and non-Antarctic fish. Membrane lipid composition was determined for four Perciformes fish: two closely related Antarctic notothenioid species (Trematomus bernacchii and Pagothenia borchgrevinki); a diversified related notothenioid Antarctic icefish (Chionodraco hamatus); and a New Zealand species (Notolabrus celidotus). The membrane lipid compositions were consistent across the three Antarctic species and these were significantly different from that of the New Zealand species. Furthermore, acclimatory HVA (short time periods with seasonal changes) was investigated to determine whether stenothermal Antarctic fish, which evolved in the cold, stable environment of the Southern Ocean, have lost the acclimatory capacity to modulate their membrane saturation states, making them vulnerable to anthropogenic global warming. We compared liver membrane lipid composition in two closely related Antarctic fish species acclimated at 0 degrees C (control temperature), 4 degrees C for a period of 14 days in T. bernacchii and 28 days for P. borchgrevinki, and 6 degrees C for 7 days in both species. Thermal acclimation at 4 degrees C did not result in changed membrane saturation states in either Antarctic species. Despite this, membrane functions were not compromised, as indicated by declining serum osmolality, implying positive compensation by enhanced hypo-osmoregulation. Increasing the temperature to 6 degrees C did not change the membrane lipids of P. borchgrevinki. However, in T. bernacchii, thermal acclimation at 6 degrees C resulted in an increase of membrane saturated fatty acids and a decline in unsaturated fatty acids. This is the first study to show a homeoviscous response to higher temperatures in an Antarctic fish, although for only one of the two species examined.</t>
  </si>
  <si>
    <t>[Malekar, Vanita C.; Morton, James D.; Hider, Richard N.] Lincoln Univ, Fac Agr &amp; Life Sci, Dept Wine Food &amp; Mol Biosci, Christchurch, New Zealand; [Cruickshank, Robert H.] Lincoln Univ, Fac Agr &amp; Life Sci, Dept Ecol, Christchurch, New Zealand; [Hodge, Simon] Lincoln Univ, Fac Agr &amp; Life Sci, Dept Agr Sci, Christchurch, New Zealand; [Metcalf, Victoria J.] Univ Auckland, Off Prime Minist Chief Sci Advisor, Auckland, New Zealand</t>
  </si>
  <si>
    <t>Lincoln University - New Zealand; Lincoln University - New Zealand; Lincoln University - New Zealand; University of Auckland</t>
  </si>
  <si>
    <t>Malekar, VC (corresponding author), Lincoln Univ, Fac Agr &amp; Life Sci, Dept Wine Food &amp; Mol Biosci, Christchurch, New Zealand.</t>
  </si>
  <si>
    <t>Vanita.Malekar@lincolnuni.ac.nz</t>
  </si>
  <si>
    <t>Metcalf, Victoria J/C-1933-2013; Morton, James/C-6149-2012</t>
  </si>
  <si>
    <t>Morton, James/0000-0001-9645-5568; Hodge, Simon/0000-0001-6933-5253</t>
  </si>
  <si>
    <t>Antarctica New Zealand; Lincoln University New Zealand</t>
  </si>
  <si>
    <t>The field study for this experiment was supported by Antarctica New Zealand. Funding for biochemical analysis and paper writing was supported by Lincoln University New Zealand. The funders had no role in study design, data collection and analysis, decision to publish, or preparation of the manuscript.</t>
  </si>
  <si>
    <t>e4765</t>
  </si>
  <si>
    <t>10.7717/peerj.4765</t>
  </si>
  <si>
    <t>GG3ZG</t>
  </si>
  <si>
    <t>Green Published, gold, Green Submitted</t>
  </si>
  <si>
    <t>WOS:000432631600002</t>
  </si>
  <si>
    <t>Pavankumar, TL; Sinha, AK; Ray, MK</t>
  </si>
  <si>
    <t>Pavankumar, Theetha L.; Sinha, Anurag K.; Ray, Malay K.</t>
  </si>
  <si>
    <t>Biochemical characterization of RecBCD enzyme from an Antarctic Pseudomonas species and identification of its cognate Chi (χ) sequence</t>
  </si>
  <si>
    <t>PLOS ONE</t>
  </si>
  <si>
    <t>RECOMBINATION HOTSPOT-CHI; DOUBLE-STRAND BREAKS; HOT-SPOT CHI; ESCHERICHIA-COLI; RECA PROTEIN; HOMOLOGOUS RECOMBINATION; NUCLEASE ACTIVITY; LOW-TEMPERATURE; SYRINGAE LZ4W; REGULATORY SEQUENCE</t>
  </si>
  <si>
    <t>Pseudomonas syringae Lz4W RecBCD enzyme, RecBCD(Ps), is a trimeric protein complex comprised of RecC, RecB, and RecD subunits. RecBCD enzyme is essential for P. syringae growth at low temperature, and it protects cells from low temperature induced replication arrest. In this study, we show that the RecBCD(Ps) enzyme displays distinct biochemical behaviors. Unlike E. coli RecBCD enzyme, the RecD subunit is indispensable for RecBCD(Ps) function. The RecD motor activity is essential for the Chi-like fragments production in P. syringae, highlighting a distinct role for P. syringae RecD subunit in DNA repair and recombination process. Here, we demonstrate that the RecBCD(Ps) enzyme recognizes a unique octameric DNA sequence, 5'-GCTGGCGC-3' (Chi(ps)) that attenuates nuclease activity of the enzyme when it enters dsDNA from the 3'-end. We propose that the reduced translocation activities manifested by motor-defective mutants cause cold sensitivity in P. syrinage; emphasizing the importance of DNA processing and recombination functions in rescuing low temperature induced replication fork arrest.</t>
  </si>
  <si>
    <t>[Pavankumar, Theetha L.; Sinha, Anurag K.; Ray, Malay K.] Ctr Cellular &amp; Mol Biol, CSIR, Hyderabad, India; [Pavankumar, Theetha L.] Univ Calif Davis, Dept Microbiol &amp; Mol Genet, Davis, CA 95616 USA; [Sinha, Anurag K.] Univ Copenhagen, Dept Biol, Copenhagen, Denmark</t>
  </si>
  <si>
    <t>Council of Scientific &amp; Industrial Research (CSIR) - India; CSIR - Centre for Cellular &amp; Molecular Biology (CCMB); University of California System; University of California Davis; University of Copenhagen</t>
  </si>
  <si>
    <t>Pavankumar, TL; Ray, MK (corresponding author), Ctr Cellular &amp; Mol Biol, CSIR, Hyderabad, India.;Pavankumar, TL (corresponding author), Univ Calif Davis, Dept Microbiol &amp; Mol Genet, Davis, CA 95616 USA.</t>
  </si>
  <si>
    <t>pavan@ucdavis.edu; malay.ccmb@gmail.com</t>
  </si>
  <si>
    <t>Sinha, Anurag Kumar/GXA-0049-2022; Pavankumar, Theetha L/R-6118-2017</t>
  </si>
  <si>
    <t>Sinha, Anurag Kumar/0000-0002-6051-4930; Pavankumar, Theetha L/0000-0003-1845-9592; Sinha, Anurag/0000-0002-1034-6334</t>
  </si>
  <si>
    <t>Council of Scientific and Industrial Research (CSIR), Government of India; Department of Science and Technology (DST), Government of India; CSIR, India</t>
  </si>
  <si>
    <t>Council of Scientific and Industrial Research (CSIR), Government of India(Council of Scientific &amp; Industrial Research (CSIR) - India); Department of Science and Technology (DST), Government of India(Department of Science &amp; Technology (India)); CSIR, India(Council of Scientific &amp; Industrial Research (CSIR) - India)</t>
  </si>
  <si>
    <t>Research in M.K.R. laboratory is supported by the Council of Scientific and Industrial Research (CSIR), Government of India. A part of the work was supported by a grant to M.K.R. from Department of Science and Technology (DST), Government of India. T.L.P and A.K.S. acknowledge CSIR, India for research fellowships.</t>
  </si>
  <si>
    <t>PUBLIC LIBRARY SCIENCE</t>
  </si>
  <si>
    <t>SAN FRANCISCO</t>
  </si>
  <si>
    <t>1160 BATTERY STREET, STE 100, SAN FRANCISCO, CA 94111 USA</t>
  </si>
  <si>
    <t>1932-6203</t>
  </si>
  <si>
    <t>PLoS One</t>
  </si>
  <si>
    <t>e0197476</t>
  </si>
  <si>
    <t>10.1371/journal.pone.0197476</t>
  </si>
  <si>
    <t>GG2KJ</t>
  </si>
  <si>
    <t>WOS:000432521100016</t>
  </si>
  <si>
    <t>Rembauville, M; Blain, S; Manno, C; Tarling, G; Thompson, A; Wolff, G; Salter, I</t>
  </si>
  <si>
    <t>Rembauville, Mathieu; Blain, Stephane; Manno, Clara; Tarling, Geraint; Thompson, Anu; Wolff, George; Salter, Ian</t>
  </si>
  <si>
    <t>The role of diatom resting spores in pelagic-benthic coupling in the Southern Ocean</t>
  </si>
  <si>
    <t>BIOGEOSCIENCES</t>
  </si>
  <si>
    <t>NATURAL IRON-FERTILIZATION; FATTY-ACID-COMPOSITION; PARTICULATE ORGANIC-MATTER; MARINE PLANKTONIC DIATOM; COMMUNITY STRUCTURE; SEDIMENT TRAPS; FECAL PELLETS; WAX ESTERS; CHAETOCEROS-PSEUDOCURVISETUS; SCOTIA SEA</t>
  </si>
  <si>
    <t>Natural iron fertilization downstream of Southern Ocean island plateaus supports large phytoplankton blooms and promotes carbon export from the mixed layer. In addition to sequestering atmospheric CO2, the biological carbon pump also supplies organic matter (OM) to deep-ocean ecosystems. Although the total flux of OM arriving at the seafloor sets the energy input to the system, the chemical nature of OM is also of significance. However, a quantitative framework linking ecological flux vectors to OM composition is currently lacking. In the present study we report the lipid composition of export fluxes collected by five moored sediment traps deployed in contrasting productivity regimes of Southern Ocean island systems (Kerguelen, Crozet and South Georgia) and compile them with quantitative data on diatom and faecal pellet fluxes. At the three naturally iron-fertilized sites, the relative contribution of labile lipids (mono-and polyunsaturated fatty acids, unsaturated fatty alcohols) is 2-4 times higher than at low productivity sites. There is a strong attenuation of labile components as a function of depth, irrespective of productivity. The three island systems also display regional characteristics in lipid export. An enrichment of zooplankton dietary sterols, such as C-27 Delta(5), at South Georgia is consistent with high zooplankton and krill biomass in the region and the importance of faecal pellets to particulate organic carbon (POC) flux. There is a strong association of diatom resting spore fluxes that dominate productive flux regimes with energy-rich unsaturated fatty acids. At the Kerguelen Plateau we provide a statistical framework to link seasonal variation in ecological flux vectors and lipid composition over a complete annual cycle. Our analyses demonstrate that ecological processes in the upper ocean, e.g. resting spore formation and grazing, not only impact the magnitude and stoichiometry of the Southern Ocean biological pump, but also regulate the composition of exported OM and the nature of pelagic-benthic coupling.</t>
  </si>
  <si>
    <t>[Rembauville, Mathieu; Blain, Stephane; Salter, Ian] UPMC Univ Paris 06, Sorbonne Univ, CNRS, Lab Oceanog Microbienne LOMIC,Observat Oceanol, F-66650 Banyuls Sur Mer, France; [Manno, Clara; Tarling, Geraint] British Antarctic Survey, Nat Environm Res Council, High Cross Madingley Rd, Cambridge CB3 0ET, England; [Thompson, Anu; Wolff, George] Univ Liverpool, Sch Environm Sci, 4 Brownlow St, Liverpool L69 3GP, Merseyside, England; [Salter, Ian] Faroe Marine Res Inst, Box 3051, Torshavn 110, Faroe Islands</t>
  </si>
  <si>
    <t>Centre National de la Recherche Scientifique (CNRS); Sorbonne Universite; UK Research &amp; Innovation (UKRI); Natural Environment Research Council (NERC); NERC British Antarctic Survey; University of Liverpool; Faroe Marine Research Institute (FAMRI)</t>
  </si>
  <si>
    <t>Salter, I (corresponding author), UPMC Univ Paris 06, Sorbonne Univ, CNRS, Lab Oceanog Microbienne LOMIC,Observat Oceanol, F-66650 Banyuls Sur Mer, France.;Salter, I (corresponding author), Faroe Marine Res Inst, Box 3051, Torshavn 110, Faroe Islands.</t>
  </si>
  <si>
    <t>ian.salter@obs-banyuls.fr</t>
  </si>
  <si>
    <t>Salter, Ian/AAI-1015-2021; blain, stephane/F-6917-2010</t>
  </si>
  <si>
    <t>blain, stephane/0000-0002-5234-2446; Salter, Ian/0000-0002-4513-0314</t>
  </si>
  <si>
    <t>LEFE-CYBER (Project EXPLAIN); British Antarctic Survey; NERC [bas0100035, NE/R016038/1] Funding Source: UKRI</t>
  </si>
  <si>
    <t>LEFE-CYBER (Project EXPLAIN); British Antarctic Survey; NERC(UK Research &amp; Innovation (UKRI)Natural Environment Research Council (NERC))</t>
  </si>
  <si>
    <t>We would like to acknowledge LEFE-CYBER (Project EXPLAIN, PI: Ian Salter) and the British Antarctic Survey for financial support of the work. We also express our sincere gratitude to two anonymous reviewers whose detailed comments significantly improved the quality of the manuscript.</t>
  </si>
  <si>
    <t>1726-4170</t>
  </si>
  <si>
    <t>1726-4189</t>
  </si>
  <si>
    <t>Biogeosciences</t>
  </si>
  <si>
    <t>10.5194/bg-15-3071-2018</t>
  </si>
  <si>
    <t>GG1ZY</t>
  </si>
  <si>
    <t>Green Submitted, Green Accepted, gold</t>
  </si>
  <si>
    <t>WOS:000432490500001</t>
  </si>
  <si>
    <t>Alex, A; Antunes, A</t>
  </si>
  <si>
    <t>Alex, Anoop; Antunes, Agostinho</t>
  </si>
  <si>
    <t>Genus-wide comparison of Pseudovibrio bacterial genomes reveal diverse adaptations to different marine invertebrate hosts</t>
  </si>
  <si>
    <t>III SECRETION SYSTEM; LEUCINE-RICH REPEATS; PV. TOMATO DC3000; EXTRACELLULAR-MATRIX; ESCHERICHIA-COLI; SP-NOV.; PROTEIN; SEQUENCE; IDENTIFICATION; BINDING</t>
  </si>
  <si>
    <t>Bacteria belonging to the genus Pseudovibrio have been frequently found in association with a wide variety of marine eukaryotic invertebrate hosts, indicative of their versatile and symbiotic lifestyle. A recent comparison of the sponge-associated Pseudovibrio genomes has shed light on the mechanisms influencing a successful symbiotic association with sponges. In contrast, the genomic architecture of Pseudovibrio bacteria associated with other marine hosts has received less attention. Here, we performed genus-wide comparative analyses of 18 Pseudovibrio isolated from sponges, coral, tunicates, flatworm, and sea-water. The analyses revealed a certain degree of commonality among the majority of sponge- and coral-associated bacteria. Isolates from other marine invertebrate host, tunicates, exhibited a genetic repertoire for cold adaptation and specific metabolic abilities including mucin degradation in the Antarctic tunicate-associated bacterium Pseudovibrio sp. Tun.PHSC04_5.14. Reductive genome evolution was simultaneously detected in the flatworm-associated bacteria and the sponge-associated bacterium P. axinellae AD2, through the loss of major secretion systems (type IIINI) and virulence/symbioses factors such as proteins involved in adhesion and attachment to the host. Our study also unraveled the presence of a CRISPR-Cas system in P. stylochi UST20140214-052 a flatworm-associated bacterium possibly suggesting the role of CRISPR-based adaptive immune system against the invading virus particles. Detection of mobile elements and genomic islands (GIs) in all bacterial members highlighted the role of horizontal gene transfer for the acquisition of novel genetic features, likely enhancing the bacterial ecological fitness. These findings are insightful to understand the role of genome diversity in Pseudovibrio as an evolutionary strategy to increase their colonizing success across a wide range of marine eukaryotic hosts.</t>
  </si>
  <si>
    <t>[Alex, Anoop; Antunes, Agostinho] Univ Porto, Interdisciplinary Ctr Marine &amp; Environm Res, CIIMAR CIMAR, Porto, Portugal; [Alex, Anoop; Antunes, Agostinho] Univ Porto, Fac Sci, Dept Biol, Porto, Portugal</t>
  </si>
  <si>
    <t>Universidade do Porto; Universidade do Porto</t>
  </si>
  <si>
    <t>Alex, A; Antunes, A (corresponding author), Univ Porto, Interdisciplinary Ctr Marine &amp; Environm Res, CIIMAR CIMAR, Porto, Portugal.;Alex, A; Antunes, A (corresponding author), Univ Porto, Fac Sci, Dept Biol, Porto, Portugal.</t>
  </si>
  <si>
    <t>anoopthycaud@gmail.com; aantunes@ciimar.up.pt</t>
  </si>
  <si>
    <t>Alex, Anoop/AAY-7052-2020</t>
  </si>
  <si>
    <t>Alex, Anoop/0000-0001-5788-1089; Antunes, Agostinho/0000-0002-1328-1732</t>
  </si>
  <si>
    <t>Fundacao para a Ciencia e a Tecnologia (FCT) [SFRH/BPD/99251/2013]; MarInfo - Integrated Platform for Marine Data Acquisition and Analysis - North Portugal Regional Operational Program (NORTE), under the PORTUGAL through the European Regional Development Fund (ERDF) [NORTE-01-0145-FEDER-000031]</t>
  </si>
  <si>
    <t>Fundacao para a Ciencia e a Tecnologia (FCT)(Fundacao para a Ciencia e a Tecnologia (FCT)); MarInfo - Integrated Platform for Marine Data Acquisition and Analysis - North Portugal Regional Operational Program (NORTE), under the PORTUGAL through the European Regional Development Fund (ERDF)</t>
  </si>
  <si>
    <t>Anoop Alex was funded by the Fundacao para a Ciencia e a Tecnologia (FCT) SFRH/BPD/99251/2013 grant. Agostinho Antunes was supported by the MarInfo - Integrated Platform for Marine Data Acquisition and Analysis (reference NORTE-01-0145-FEDER-000031), a project supported by the North Portugal Regional Operational Program (NORTE 2020), under the PORTUGAL 2020 Partnership Agreement, through the European Regional Development Fund (ERDF).</t>
  </si>
  <si>
    <t>e0194368</t>
  </si>
  <si>
    <t>10.1371/journal.pone.0194368</t>
  </si>
  <si>
    <t>WOS:000432521100003</t>
  </si>
  <si>
    <t>Newsham, KK; Garnett, MH; Robinson, CH; Cox, F</t>
  </si>
  <si>
    <t>Newsham, Kevin K.; Garnett, Mark H.; Robinson, Clare H.; Cox, Filipa</t>
  </si>
  <si>
    <t>Discrete taxa of saprotrophic fungi respire different ages of carbon from Antarctic soils</t>
  </si>
  <si>
    <t>ZEOLITE MOLECULAR-SIEVE; WARMING ALTERS; ORGANIC-MATTER; DECOMPOSITION; C-14; IDENTIFICATION; ACCUMULATION; DEPOSITION; COMMUNITY; SAMPLES</t>
  </si>
  <si>
    <t>Different organic compounds have distinct residence times in soil and are degraded by specific taxa of saprotrophic fungi. It hence follows that specific fungal taxa should respire carbon of different ages from these compounds to the atmosphere. Here, we test whether this is the case by radiocarbon (C-14) dating CO2 evolved from two gamma radiation-sterilised maritime Antarctic soils inoculated with pure single cultures of four fungi. We show that a member of the Helotiales, which accounted for 41-56% of all fungal sequences in the two soils, respired soil carbon that was aged up to 1,200 years BP and which was 350-400 years older than that respired by the other three taxa. Analyses of the enzyme profile of the Helotialean fungus and the fluxes and delta C-13 values of CO2 that it evolved suggested that its release of old carbon from soil was associated with efficient cellulose decomposition. Our findings support suggestions that increases in the ages of carbon respired from warmed soils may be caused by changes to the abundances or activities of discrete taxa of microbes, and indicate that the loss of old carbon from soils is driven by specific fungal taxa.</t>
  </si>
  <si>
    <t>[Newsham, Kevin K.; Cox, Filipa] NERC British Antarctic Survey, Madingley Rd, Cambridge CB3 0ET, England; [Garnett, Mark H.] NERC Radiocarbon Facil, Scottish Enterprise Technol Pk,Rankine Ave, Glasgow G75 0QF, Lanark, Scotland; [Robinson, Clare H.; Cox, Filipa] Univ Manchester, Sch Earth &amp; Environm Sci, Manchester M13 9PL, Lancs, England</t>
  </si>
  <si>
    <t>UK Research &amp; Innovation (UKRI); Natural Environment Research Council (NERC); NERC British Geological Survey; Scottish Universities Research &amp; Reactor Center; University of Manchester</t>
  </si>
  <si>
    <t>Newsham, KK (corresponding author), NERC British Antarctic Survey, Madingley Rd, Cambridge CB3 0ET, England.</t>
  </si>
  <si>
    <t>kne@bas.ac.uk</t>
  </si>
  <si>
    <t>Garnett, Mark H/C-2377-2009</t>
  </si>
  <si>
    <t>Cox, Filipa/0000-0003-1405-7481</t>
  </si>
  <si>
    <t>Antarctic Funding Initiative grant from the UK Natural Environment Research Council (NERC) [NE/H014098/1, NE/H014772/1, NE/H01408X/1]; NERC Radiocarbon Facility [NRCF010001, 1896.0415]; NERC [NE/H014772/1, NBAF010002, bas0100036, NE/H014098/1, NRCF010001] Funding Source: UKRI</t>
  </si>
  <si>
    <t>Antarctic Funding Initiative grant from the UK Natural Environment Research Council (NERC); NERC Radiocarbon Facility(UK Research &amp; Innovation (UKRI)Natural Environment Research Council (NERC)); NERC(UK Research &amp; Innovation (UKRI)Natural Environment Research Council (NERC))</t>
  </si>
  <si>
    <t>This research was funded by an Antarctic Funding Initiative grant from the UK Natural Environment Research Council (NERC) (grant numbers NE/H014098/1, NE/H014772/1 and NE/H01408X/1) and NERC Radiocarbon Facility NRCF010001 (allocation number 1896.0415). Logistical support was provided by the British Antarctic Survey (BAS) Operations Group, and the officers and crew of the RSS James Clark Ross. The Centre for Genomic Research at the University of Liverpool conducted the pyrosequencing, Claire Horrocks (Rothamsted Research) provided data on lignin derivatives in soils, Laura Gerrish (BAS) drew the map in Fig. 1, Marta Misiak (BAS) assisted with enzyme assays, Lynne Boddy (Cardiff University) supplied the culture of Trametes versicolor and Bo Elberling (University of Copenhagen) made helpful comments. All are gratefully acknowledged.</t>
  </si>
  <si>
    <t>10.1038/s41598-018-25877-9</t>
  </si>
  <si>
    <t>GG1IT</t>
  </si>
  <si>
    <t>WOS:000432441400054</t>
  </si>
  <si>
    <t>Le Roy, E; Sanial, V; Charette, MA; van Beek, P; Lacan, F; Jacquet, SHM; Henderson, PB; Souhaut, M; García-Ibáñez, MI; Jeandel, C; Pérez, FF; Sarthou, G</t>
  </si>
  <si>
    <t>Le Roy, Emilie; Sanial, Virginie; Charette, Matthew A.; van Beek, Pieter; Lacan, Francois; Jacquet, Stephanie H. M.; Henderson, Paul B.; Souhaut, Marc; Garcia-Ibanez, Maribel I.; Jeandel, Catherine; Perez, Fiz F.; Sarthou, Geraldine</t>
  </si>
  <si>
    <t>The 226Ra-Ba relationship in the North Atlantic during GEOTRACES-GA01</t>
  </si>
  <si>
    <t>WESTERN MEDITERRANEAN SEA; WATER MASSES; MARINE GEOCHEMISTRY; BA CONCENTRATIONS; ISOTOPE-DILUTION; THORIUM ISOTOPES; BARITE FORMATION; ANTARCTIC OCEAN; RADIUM; PACIFIC</t>
  </si>
  <si>
    <t>We report detailed sections of radium-226 (Ra-226, T-1/2 = 1602 years) activities and barium (Ba) concentrations determined in the North Atlantic (Portugal-Greenland-Canada) in the framework of the international GEO-TRACES program (GA01 section - GEOVIDE project, May-July 2014). Dissolved Ra-226 and Ba are strongly correlated along the section, a pattern that may reflect their similar chemical behavior. Because Ra-226 and Ba have been widely used as tracers of water masses and ocean mixing, we investigated their behavior more thoroughly in this crucial region for thermohaline circulation, taking advantage of the contrasting biogeochemical patterns existing along the GA01 section. We used an optimum multiparameter (OMP) analysis to distinguish the relative importance of physical transport (water mass mixing) from nonconservative processes (sedimentary, river or hydrothermal inputs, uptake by particles and dissolved-particulate dynamics) on the Ra-226 and Ba distributions in the North Atlantic. Results show that the measured Ra-226 and Ba concentrations can be explained by conservative mixing for 58 and 65% of the samples, respectively, notably at intermediate depth, away from the ocean interfaces. Ra-226 and Ba can thus be considered conservative tracers of water mass transport in the ocean interior on the space scales considered here, namely, on the order of a few thousand kilometers. However, regions in which Ra-226 and Ba displayed nonconservative behavior and in some cases decoupled behaviors were also identified, mostly at the ocean boundaries (seafloor, continental margins and surface waters). Elevated Ra-226 and Ba concentrations found in deep-water in the West European Basin suggest that lower Northeast Atlantic DeepWater (NEADWl) accumulates Ra-226 and Ba from sediment diffusion and/or particle dissolution during transport. In the upper 1500m of the West European Basin, deficiencies in Ra-226 and Ba are likely explained by their incorporation in planktonic calcareous and siliceous shells, or in barite (BaSO4) by substitution or adsorption mechanisms. Finally, because Ba and Ra-226 display different source terms (mostly deep-sea sediments for Ra-226 and rivers for Ba), strong decoupling between Ra-226 and Ba were observed at the land-ocean boundaries. This is especially true in theshallow stations near the coasts of Greenland and Newfound-land where high Ra-226/Ba ratios at depth reflect the diffusion of Ra-226 from sediment and low Ra-226/Ba ratios in the upper water column reflect the input of Ba associated with meteoric waters.</t>
  </si>
  <si>
    <t>[Le Roy, Emilie; Sanial, Virginie; van Beek, Pieter; Lacan, Francois; Souhaut, Marc; Jeandel, Catherine] Univ Toulouse, CNRS CNES IRD UPS, LEGOS, Observ Midi Pyrenees, 14 Ave Edouard Belin, F-31400 Toulouse, France; [Sanial, Virginie; Charette, Matthew A.; Henderson, Paul B.] Woods Hole Oceanog Inst, Dept Marine Chem &amp; Geochem, Woods Hole, MA 02543 USA; [Jacquet, Stephanie H. M.] Univ Toulon &amp; Var, IRD, MIO, Aix Marseille Univ,CNRS INSU,UM110, F-13288 Marseille, France; [Garcia-Ibanez, Maribel I.; Perez, Fiz F.] CSIC, IIM, Eduardo Cabello 6, Vigo 36208, Spain; [Sarthou, Geraldine] IUEM, UMR 6539, Lab Sci Environm Marin LEMAR, Technopole Brest Iroise, F-29280 Plouzane, France; [Sanial, Virginie] Univ Southern Mississippi, Dept Marine Sci, Stennis Space Ctr, MS 39529 USA; [Garcia-Ibanez, Maribel I.] Bjerknes Ctr Climate Res, Uni Res Climate, N-5008 Bergen, Norway</t>
  </si>
  <si>
    <t>Universite de Toulouse; Universite Toulouse III - Paul Sabatier; Centre National de la Recherche Scientifique (CNRS); Institut de Recherche pour le Developpement (IRD); Laboratoire d'Etudes en Geophysique et oceanographie spatiales; Woods Hole Oceanographic Institution; Aix-Marseille Universite; Universite de Toulon; Centre National de la Recherche Scientifique (CNRS); CNRS - National Institute for Earth Sciences &amp; Astronomy (INSU); Institut de Recherche pour le Developpement (IRD); Consejo Superior de Investigaciones Cientificas (CSIC); CSIC - Instituto de Investigaciones Marinas (IIM); Centre National de la Recherche Scientifique (CNRS); Ifremer; Institut de Recherche pour le Developpement (IRD); Universite de Bretagne Occidentale; Institut Universitaire Europeen de la Mer (IUEM); University of Southern Mississippi; Bjerknes Centre for Climate Research</t>
  </si>
  <si>
    <t>Le Roy, E (corresponding author), Univ Toulouse, CNRS CNES IRD UPS, LEGOS, Observ Midi Pyrenees, 14 Ave Edouard Belin, F-31400 Toulouse, France.</t>
  </si>
  <si>
    <t>emilie.le.roy@legos.obs-mip.fr</t>
  </si>
  <si>
    <t>García-Ibáñez, Maribel I./AAE-1798-2019; Fernandez Perez, Fiz/B-9001-2011; Lacan, Francois/B-8032-2009; Le Roy, Emilie/HHN-0611-2022; jacquet, stéphanie/K-8678-2016; Charette, Matthew/I-9495-2012; Sanial, Virginie/D-6160-2019</t>
  </si>
  <si>
    <t>García-Ibáñez, Maribel I./0000-0001-5218-0064; Fernandez Perez, Fiz/0000-0003-4836-8974; Lacan, Francois/0000-0001-6794-2279; Le Roy, Emilie/0000-0001-6292-3618; Sarthou, Geraldine/0000-0001-6560-6669; van Beek, Pieter/0000-0002-3872-8916; Sanial, Virginie/0000-0002-0800-5127</t>
  </si>
  <si>
    <t>European Union; Region Occitanie-Pyrenees-Mediterranee (European Regional Development Fund); French national program LEFE/INSU (GEOVIDE); ANR Blanc (GEOVIDE) [ANR-13-BS06-0014]; RPDOC [ANR-12-PDOC-0025-01]; LabEX MER [ANR-10-LABX-19]; IFREMER; French national program LEFE/INSU REPAP; US National Science Foundation [OCE-1458305, OCE-1232669]; Spanish Ministry of Economy and Competitiveness through the BOCATS project - Fondo Europeo de Desarrollo Regional (FEDER) [CTM2013-41048-P]; Agence Nationale de la Recherche (ANR) [ANR-13-BS06-0014] Funding Source: Agence Nationale de la Recherche (ANR)</t>
  </si>
  <si>
    <t>European Union(European Union (EU)); Region Occitanie-Pyrenees-Mediterranee (European Regional Development Fund)(European Union (EU)Marie Curie Actions); French national program LEFE/INSU (GEOVIDE); ANR Blanc (GEOVIDE)(Agence Nationale de la Recherche (ANR)); RPDOC; LabEX MER; IFREMER; French national program LEFE/INSU REPAP; US National Science Foundation(National Science Foundation (NSF)); Spanish Ministry of Economy and Competitiveness through the BOCATS project - Fondo Europeo de Desarrollo Regional (FEDER); Agence Nationale de la Recherche (ANR)(Agence Nationale de la Recherche (ANR))</t>
  </si>
  <si>
    <t>The present research and Emilie Le Roy's fellowship are co-funded by the European Union and the Region Occitanie-Pyrenees-Mediterranee (European Regional Development Fund). We are grateful to the captain and crew of the N/O Pourquoi Pas?. The GEOVIDE project is co-funded by the French national program LEFE/INSU (GEOVIDE), ANR Blanc (GEOVIDE, ANR-13-BS06-0014) and RPDOC (ANR-12-PDOC-0025-01), LabEX MER (ANR-10-LABX-19) and IFREMER. The GEOVIDE cruise would not have been achieved without the technical skills and commitment of Catherine Kermabon, Olivier Menage, Stephane Leizour, Michel Hamon, Philippe Le Bot, Emmanuel de Saint-Leger and Fabien Perault. We are grateful to Manon Le Goff, Emilie Grosstefan, Morgane Gallinari and Paul Treguer for Si(OH)4 sampling and analysis. This work was also co-funded by the French national program LEFE/INSU REPAP (PI Stephanie H. M Jacquet) and the US National Science Foundation (PI Matthew A. Charette, OCE-1458305; OCE-1232669). For this work Maribel I. Garcia-Ibanez and Fiz F. Perez were supported by the Spanish Ministry of Economy and Competitiveness through the BOCATS (CTM2013-41048-P) project co-funded by the Fondo Europeo de Desarrollo Regional 2014-2020 (FEDER). Several figures were constructed using Ocean Data View (Schlitzer, 2003). Therefore, Reiner Schlitzer is warmly thanked. Satellite chlorophyll a visualizations used in this study were produced with the Giovanni online data system, developed and maintained by the NASA GES DISC.</t>
  </si>
  <si>
    <t>MAY 17</t>
  </si>
  <si>
    <t>10.5194/bg-15-3027-2018</t>
  </si>
  <si>
    <t>GG0TO</t>
  </si>
  <si>
    <t>WOS:000432392200003</t>
  </si>
  <si>
    <t>Meinen, E; Dueck, T; Kempkes, F; Stanghellini, C</t>
  </si>
  <si>
    <t>Meinen, Esther; Dueck, Tom; Kempkes, Frank; Stanghellini, Cecilia</t>
  </si>
  <si>
    <t>Growing fresh food on future space missions: Environmental conditions and crop management</t>
  </si>
  <si>
    <t>SCIENTIA HORTICULTURAE</t>
  </si>
  <si>
    <t>LED lighting; Resource use efficiency; Spread harvesting; EDEN ISS; Antarctic</t>
  </si>
  <si>
    <t>PLANT-GROWTH; PHYTOCHROME; TOMATO; ENERGY; YIELD; RED</t>
  </si>
  <si>
    <t>This paper deals with vegetable cultivation that could be faced in a space mission. This paper focusses on optimization, light, temperature and the harvesting process, while other factors concerning cultivation in space missions, i.e. gravity, radiation, were not addressed. It describes the work done in preparation of the deployment of a mobile test facility for vegetable production of fresh food at the Neumayer III Antarctic research station. A selection of vegetable crops was grown under varying light and temperature conditions to quantify crop yield response to climate factors that determine resource requirement of the production system. Crops were grown at 21 degrees C or 25 degrees C under light treatments varying from 200 to 600 mu mol M-2 S-1 and simulated the dusk and dawn light spectrum. Fresh food biomass was harvested as spread harvesting (lettuce), before and after regrowth (herbs) and at the end of cultivation. Lettuce and red mustard responded well to increasing light intensities, by 35-90% with increasing light from 200 to 600 mu mol m(-2)s(-1), while the other crops responded more variably. However, the quality of the leafy greens often deteriorated at higher light intensities. The fruit biomass of both determinate tomato and cucumber increased by 8-15% from 300 to 600 mu mol m(-2)s(-1). With the increase in biomass, the number of tomato fruits also increased, while the number of cucumber fruits decreased, resulting in heavier individual fruits. Increasing the temperature had varied effects on production. While in some cases the production increased, regrowth of herbs often lagged behind in the 25 degrees C treatment. In terms of fresh food production, the most can be expected from lettuce, cucumber, radish, then tomato, although the 2 fruit vegetables require a considerable amount of crop management. Spread harvesting had a large influence on the amount of harvested biomass per unit area. In particular, yield of the 3 lettuce cultivars and spinach was ca. 400% than single harvesting. Increasing plant density and applying spread harvesting increased fresh food production. This information will be the basis for determining crop growth recipes and management to maximize the amount of fresh food available, in view of the constraints of space and energy requirement of such a production system.</t>
  </si>
  <si>
    <t>[Meinen, Esther; Dueck, Tom; Kempkes, Frank; Stanghellini, Cecilia] Wageningen Univ &amp; Res, Business Unit Greenhouse Hort, Droevendaalsesteeg 1, NL-6708 PB Wageningen, Netherlands</t>
  </si>
  <si>
    <t>Wageningen University &amp; Research</t>
  </si>
  <si>
    <t>Meinen, E (corresponding author), Wageningen Univ &amp; Res, Business Unit Greenhouse Hort, Droevendaalsesteeg 1, NL-6708 PB Wageningen, Netherlands.</t>
  </si>
  <si>
    <t>esther.meinen@wur.nl</t>
  </si>
  <si>
    <t>Stanghellini, Cecilia/0000-0003-2281-8711</t>
  </si>
  <si>
    <t>EU-H2020 project Ground Demonstration of Plant Cultivation Technologies and Operation in Space for Safe Food Production on-board ISS and Future Human Space Exploration Vehicles and Planetary Outposts (EDEN-ISS) [636501]; Dutch Top Sector Tuinbouw &amp; Uitgangsmaterialen [EU-2016-01]; H2020 - Industrial Leadership [636501] Funding Source: H2020 - Industrial Leadership</t>
  </si>
  <si>
    <t>EU-H2020 project Ground Demonstration of Plant Cultivation Technologies and Operation in Space for Safe Food Production on-board ISS and Future Human Space Exploration Vehicles and Planetary Outposts (EDEN-ISS); Dutch Top Sector Tuinbouw &amp; Uitgangsmaterialen; H2020 - Industrial Leadership(European Union (EU)H2020 - Industrial Leadership)</t>
  </si>
  <si>
    <t>This work was supported jointly by the EU-H2020 project Ground Demonstration of Plant Cultivation Technologies and Operation in Space for Safe Food Production on-board ISS and Future Human Space Exploration Vehicles and Planetary Outposts (EDEN-ISS, grant 636501) and by the Dutch Top Sector Tuinbouw &amp; Uitgangsmaterialen (EU-2016-01). However, no endorsement from the European Commission nor the Dutch Ministry of Economy of the results and conclusions is hereby implied. The authors are grateful to Gerrit Stunnenberg for the preparing the climate rooms and care of the experiments and Willem de Visser, Paul Zabel (DLR) and Johan Steenhuizen for assisting with harvesting. We also thank plant breeders John Verbruggen and Marc Celis (Rijk Zwaan), Jan van Heijst (Vreugdenhil) and Gerard Janssen (Bayer) for their advice before and during plant cultivation.</t>
  </si>
  <si>
    <t>0304-4238</t>
  </si>
  <si>
    <t>1879-1018</t>
  </si>
  <si>
    <t>SCI HORTIC-AMSTERDAM</t>
  </si>
  <si>
    <t>Sci. Hortic.</t>
  </si>
  <si>
    <t>10.1016/j.scienta.2018.03.002</t>
  </si>
  <si>
    <t>Horticulture</t>
  </si>
  <si>
    <t>Agriculture</t>
  </si>
  <si>
    <t>GD8KZ</t>
  </si>
  <si>
    <t>Green Published, hybrid</t>
  </si>
  <si>
    <t>WOS:000430762600033</t>
  </si>
  <si>
    <t>Paxman, GJG; Jamieson, SSR; Ferraccioli, F; Bentley, MJ; Ross, N; Armadillo, E; Gasson, EGW; Leitchenkov, G; DeConto, RM</t>
  </si>
  <si>
    <t>Paxman, Guy J. G.; Jamieson, Stewart S. R.; Ferraccioli, Fausto; Bentley, Michael J.; Ross, Neil; Armadillo, Egidio; Gasson, Edward G. W.; Leitchenkov, German; DeConto, Robert M.</t>
  </si>
  <si>
    <t>Bedrock Erosion Surfaces Record Former East Antarctic Ice Sheet Extent</t>
  </si>
  <si>
    <t>CENOZOIC LANDSCAPE EVOLUTION; SEA-LEVEL CHANGE; TRANSANTARCTIC MOUNTAINS; GLACIAL EROSION; WILKES LAND; BED; AUSTRALIA; STABILITY; GEOMORPHOLOGY; ROUGHNESS</t>
  </si>
  <si>
    <t>East Antarctica hosts large subglacial basins into which the East Antarctic Ice Sheet (EAIS) likely retreated during past warmer climates. However, the extent of retreat remains poorly constrained, making quantifying past and predicted future contributions to global sea level rise from these marine basins challenging. Geomorphological analysis and flexural modeling within the Wilkes Subglacial Basin are used to reconstruct the ice margin during warm intervals of the Oligocene-Miocene. Flat-lying bedrock plateaus are indicative of an ice sheet margin positioned &gt;400-500 km inland of the modern grounding zone for extended periods of the Oligocene-Miocene, equivalent to a 2-m rise in global sea level. Our findings imply that if major EAIS retreat occurs in the future, isostatic rebound will enable the plateau surfaces to act as seeding points for extensive ice rises, thus limiting extensive ice margin retreat of the scale seen during the early EAIS.</t>
  </si>
  <si>
    <t>[Paxman, Guy J. G.; Jamieson, Stewart S. R.; Bentley, Michael J.] Univ Durham, Dept Geog, Durham, England; [Ferraccioli, Fausto] British Antarctic Survey, Cambridge, England; [Ross, Neil] Newcastle Univ, Sch Geog Polit &amp; Sociol, Newcastle Upon Tyne, Tyne &amp; Wear, England; [Armadillo, Egidio] Univ Genoa, Dipartimento Sci Terra Ambiente &amp; Vita, Genoa, Italy; [Gasson, Edward G. W.] Univ Sheffield, Dept Geog, Sheffield, S Yorkshire, England; [Leitchenkov, German] Inst Geol &amp; Mineral Resources World Ocean, St Petersburg, Russia; [Leitchenkov, German] St Petersburg State Univ, Inst Earth Sci, St Petersburg, Russia; [DeConto, Robert M.] Univ Massachusetts, Dept Geosci, Amherst, MA 01003 USA</t>
  </si>
  <si>
    <t>Durham University; UK Research &amp; Innovation (UKRI); Natural Environment Research Council (NERC); NERC British Antarctic Survey; Newcastle University - UK; University of Genoa; University of Sheffield; Saint Petersburg State University; University of Massachusetts System; University of Massachusetts Amherst</t>
  </si>
  <si>
    <t>Paxman, GJG (corresponding author), Univ Durham, Dept Geog, Durham, England.</t>
  </si>
  <si>
    <t>guy.j.paxman@durham.ac.uk</t>
  </si>
  <si>
    <t>Jamieson, Stewart S.R./B-8330-2013; Bentley, Michael J/F-7386-2011; Armadillo, Egidio/AAD-2877-2021</t>
  </si>
  <si>
    <t>Jamieson, Stewart S.R./0000-0002-9036-2317; Bentley, Michael J/0000-0002-2048-0019; Armadillo, Egidio/0000-0003-0982-6629; Ferraccioli, Fausto/0000-0002-9347-4736; Gasson, Edward/0000-0003-4653-6217; Paxman, Guy/0000-0003-1787-7442</t>
  </si>
  <si>
    <t>Natural Environment Research Council UK [NE/L002590/1]; Russian Science Foundation [16-17-10139]; Russian Science Foundation [16-17-10139] Funding Source: Russian Science Foundation; NERC [bas0100029] Funding Source: UKRI</t>
  </si>
  <si>
    <t>Natural Environment Research Council UK(UK Research &amp; Innovation (UKRI)Natural Environment Research Council (NERC)); Russian Science Foundation(Russian Science Foundation (RSF)); Russian Science Foundation(Russian Science Foundation (RSF)); NERC(UK Research &amp; Innovation (UKRI)Natural Environment Research Council (NERC))</t>
  </si>
  <si>
    <t>We thank everyone involved with the planning and implementation of the WISE-ISODYN airborne geophysical survey. We wish to thank Tom Jordan for providing the radar echograms and Pippa Whitehouse for helpful sea level discussions. We also thank Stuart Thomson for his constructive review, which greatly improved the final manuscript. G.J.G.P. was supported by the Natural Environment Research Council UK studentship NE/L002590/1. G.L. acknowledges Russian Science Foundation grant 16-17-10139. The processed WISE-ISODYN radar data are freely available on the NERC/BAS Polar Data Centre airborne geophysics data portal (https://doi.org/10.5285/59e5a6f5-e67d-4a05-99af-30f656569401). Modern-day and reconstructed topography grids produced as part of this study are available to download in the supporting information. This paper is dedicated to the memory of Graham Paxman.</t>
  </si>
  <si>
    <t>MAY 16</t>
  </si>
  <si>
    <t>10.1029/2018GL077268</t>
  </si>
  <si>
    <t>GI1DU</t>
  </si>
  <si>
    <t>WOS:000434111700041</t>
  </si>
  <si>
    <t>Tilmes, S; Richter, JH; Mills, MJ; Kravitz, B; MacMartin, DG; Garcia, RR; Kinnison, DE; Lamarque, JF; Tribbia, J; Vitt, F</t>
  </si>
  <si>
    <t>Tilmes, Simone; Richter, Jadwiga H.; Mills, Michael J.; Kravitz, Ben; MacMartin, Douglas G.; Garcia, Rolando R.; Kinnison, Douglas E.; Lamarque, Jean-Francois; Tribbia, Joseph; Vitt, Francis</t>
  </si>
  <si>
    <t>Effects of Different Stratospheric SO2 Injection Altitudes on Stratospheric Chemistry and Dynamics</t>
  </si>
  <si>
    <t>geoengineering; ozone hole; SRM; aerosol; stratospheric dynamics and chemistry; climate engineering</t>
  </si>
  <si>
    <t>OZONE; CLIMATOLOGY; IMPACT</t>
  </si>
  <si>
    <t>Strategically applied geoengineering is proposed to reduce some of the known side effects of stratospheric aerosol modifications. Specific climate goals could be reached depending on design choices of stratospheric sulfur injections by latitude, altitude, and magnitude. Here we explore in detail the stratospheric chemical and dynamical responses to injections at different altitudes using a fully coupled Earth System Model. Two different scenarios are explored that produce approximately the same global cooling of 2 degrees C over the period 2042-2049, a high-altitude injection case using 24TgSO(2)/year at 30hPa (approximate to 25-km altitude) and a low-altitude injection case using 32TgSO(2)/year injections at 70hPa (between 19- and 20-km altitude), with annual injections divided equally between 15 degrees N and 15 degrees S. Both cases result in a warming of the lower tropical stratosphere up to 10 and 15 degrees C for the high- and low-altitude injection case and in substantial increases of stratospheric water vapor of up to 2 and 4ppm, respectively, compared to no geoengineering conditions. Polar column ozone in the Northern Hemisphere is reduced by up to 18% in March for the high-altitude injection case and up to 8% for the low-altitude injection case. However, for winter middle and high northern latitudes, low-altitude injections result in greater column ozone values than without geoengineering. These changes are mostly driven by dynamics and advection. Antarctic column ozone in 2042-2049 does not recover from present-day (2002-2009) values for both cases.</t>
  </si>
  <si>
    <t>[Tilmes, Simone; Mills, Michael J.; Garcia, Rolando R.; Kinnison, Douglas E.; Vitt, Francis] Natl Ctr Atmospher Res, Atmospher Chem Observat &amp; Modeling Lab, POB 3000, Boulder, CO 80307 USA; [Tilmes, Simone; Richter, Jadwiga H.; Lamarque, Jean-Francois; Tribbia, Joseph] Natl Ctr Atmospher Res, Climate &amp; Global Dynam Lab, POB 3000, Boulder, CO 80307 USA; [Kravitz, Ben] Pacific Northwest Natl Lab, Atmospher Sci &amp; Global Change Div, Richland, WA USA; [MacMartin, Douglas G.] Cornell Univ, Mech &amp; Aerosp Engn, Ithaca, NY USA; [MacMartin, Douglas G.] CALTECH, Dept Comp &amp; Math Sci, Pasadena, CA 91125 USA</t>
  </si>
  <si>
    <t>National Center Atmospheric Research (NCAR) - USA; National Center Atmospheric Research (NCAR) - USA; United States Department of Energy (DOE); Pacific Northwest National Laboratory; Cornell University; California Institute of Technology</t>
  </si>
  <si>
    <t>Tilmes, S (corresponding author), Natl Ctr Atmospher Res, Atmospher Chem Observat &amp; Modeling Lab, POB 3000, Boulder, CO 80307 USA.;Tilmes, S (corresponding author), Natl Ctr Atmospher Res, Climate &amp; Global Dynam Lab, POB 3000, Boulder, CO 80307 USA.</t>
  </si>
  <si>
    <t>tilmes@ucar.edu</t>
  </si>
  <si>
    <t>Tilmes, Simone/JUV-6618-2023; MacMartin, Douglas/AAB-5314-2020; Garcia-Herrera, Ricardo/ABE-4731-2020; Kravitz, Ben/P-7925-2014; Mills, Michael/B-5068-2010; MacMartin, Douglas/A-6333-2016; Lamarque, Jean-Francois/L-2313-2014</t>
  </si>
  <si>
    <t>Tilmes, Simone/0000-0002-6557-3569; Kravitz, Ben/0000-0001-6318-1150; Vitt, Francis/0000-0002-8684-214X; Mills, Michael/0000-0002-8054-1346; MacMartin, Douglas/0000-0003-1987-9417; Kinnison, Douglas/0000-0002-3418-0834; Tribbia, Joseph/0000-0003-1639-9688; Lamarque, Jean-Francois/0000-0002-4225-5074</t>
  </si>
  <si>
    <t>National Science Foundation; U.S. Department of Energy by Battelle Memorial Institute [DE-AC05-76RL01830]; Office of Science (BER) of the U.S. Department of Energy; Defense Advanced Research Projects Agency (DARPA)</t>
  </si>
  <si>
    <t>National Science Foundation(National Science Foundation (NSF)); U.S. Department of Energy by Battelle Memorial Institute(United States Department of Energy (DOE)); Office of Science (BER) of the U.S. Department of Energy(United States Department of Energy (DOE)); Defense Advanced Research Projects Agency (DARPA)(United States Department of DefenseDefense Advanced Research Projects Agency (DARPA))</t>
  </si>
  <si>
    <t>We thank Andrew Conley, Alan Robock, and an anonymous reviewer for useful comments and suggestions. We further would like to acknowledge high-performance computing support from Yellowstone (ark:/85065/d7wd3xhc) provided by NCAR's Computational and Information Systems Laboratory, sponsored by the National Science Foundation. The Pacific Northwest National Laboratory is operated for the U.S. Department of Energy by Battelle Memorial Institute under contract DE-AC05-76RL01830. The CESM project is supported by the National Science Foundation and the Office of Science (BER) of the U.S. Department of Energy. The National Center for Atmospheric Research is funded by the National Science Foundation. This research was developed with funding from the Defense Advanced Research Projects Agency (DARPA). The views, opinions, and/or findings expressed are those of the author and should not be interpreted as representing the official views or policies of the Department of Defense or the U.S. Government. All simulations were carried out on the Yellowstone high-performance computing platform (Computational and Information Systems Laboratory, 2012) and are available to the community via the Earth System Grid at https://doi.org/10.5065/D6X63KMM.</t>
  </si>
  <si>
    <t>10.1002/2017JD028146</t>
  </si>
  <si>
    <t>GI1LQ</t>
  </si>
  <si>
    <t>Green Accepted, Bronze</t>
  </si>
  <si>
    <t>WOS:000434132400016</t>
  </si>
  <si>
    <t>Murray, DF</t>
  </si>
  <si>
    <t>Murray, David F.</t>
  </si>
  <si>
    <t>Albert W. Johnson, 1926-2017 IN MEMORIAM</t>
  </si>
  <si>
    <t>Biographical-Item</t>
  </si>
  <si>
    <t>[Murray, David F.] Univ Alaska Fairbanks, Fairbanks, AK 99775 USA</t>
  </si>
  <si>
    <t>University of Alaska System; University of Alaska Fairbanks</t>
  </si>
  <si>
    <t>Murray, DF (corresponding author), Univ Alaska Fairbanks, Fairbanks, AK 99775 USA.</t>
  </si>
  <si>
    <t>dfmurray@alaska.edu</t>
  </si>
  <si>
    <t>INST ARCTIC ALPINE RES</t>
  </si>
  <si>
    <t>BOULDER</t>
  </si>
  <si>
    <t>UNIV COLORADO, BOULDER, CO 80309 USA</t>
  </si>
  <si>
    <t>UNSP e1447541</t>
  </si>
  <si>
    <t>10.1080/15230430.2018.1447541</t>
  </si>
  <si>
    <t>GN1HT</t>
  </si>
  <si>
    <t>WOS:000438740400001</t>
  </si>
  <si>
    <t>Adusumilli, S; Fricker, HA; Siegfried, MR; Padman, L; Paolo, FS; Ligtenberg, SRM</t>
  </si>
  <si>
    <t>Adusumilli, Susheel; Fricker, Helen Amanda; Siegfried, Matthew R.; Padman, Laurie; Paolo, Fernando S.; Ligtenberg, Stefan R. M.</t>
  </si>
  <si>
    <t>Variable Basal Melt Rates of Antarctic Peninsula Ice Shelves, 1994-2016</t>
  </si>
  <si>
    <t>Ice Shelves; Satellite Altimetry; Mass Balance; Climate variability; Antarctic Peninsula</t>
  </si>
  <si>
    <t>CIRCUMPOLAR DEEP-WATER; SURFACE MASS-BALANCE; SENSITIVITY; DRIVEN; LAND; FLOW</t>
  </si>
  <si>
    <t>We have constructed 23-year (1994-2016) time series of Antarctic Peninsula (AP) ice-shelf height change using data from four satellite radar altimeters (ERS-1, ERS-2, Envisat, and CryoSat-2). Combining these time series with output from atmospheric and firn models, we partitioned the total height-change signal into contributions from varying surface mass balance, firn state, ice dynamics, and basal mass balance. On the Bellingshausen coast of the AP, ice shelves lost 84 +/- 34Gt a(-1) to basal melting, compared to contributions of 50 +/- 7 Gt a(-1) from surface mass balance and ice dynamics. Net basal melting on the Weddell coast was 51 +/- 71 Gt a(-1). Recent changes in ice-shelf height include increases over major AP ice shelves driven by changes in firn state. Basal melt rates near Bawden Ice Rise, a major pinning point of Larsen C Ice Shelf, showed large increases, potentially leading to substantial loss of buttressing if sustained.</t>
  </si>
  <si>
    <t>[Adusumilli, Susheel; Fricker, Helen Amanda; Siegfried, Matthew R.; Paolo, Fernando S.] Univ Calif San Diego, Scripps Inst Oceanog, La Jolla, CA 92093 USA; [Siegfried, Matthew R.] Stanford Univ, Dept Geophys, Palo Alto, CA 94304 USA; [Padman, Laurie] Earth &amp; Space Res, Corvallis, OR USA; [Paolo, Fernando S.] CALTECH, Jet Prop Lab, Pasadena, CA 91125 USA; [Ligtenberg, Stefan R. M.] Univ Utrecht, Inst Marine &amp; Atmospher Res Utrecht, Utrecht, Netherlands</t>
  </si>
  <si>
    <t>University of California System; University of California San Diego; Scripps Institution of Oceanography; Stanford University; National Aeronautics &amp; Space Administration (NASA); NASA Jet Propulsion Laboratory (JPL); California Institute of Technology; Utrecht University</t>
  </si>
  <si>
    <t>Adusumilli, S (corresponding author), Univ Calif San Diego, Scripps Inst Oceanog, La Jolla, CA 92093 USA.</t>
  </si>
  <si>
    <t>suadusum@ucsd.edu</t>
  </si>
  <si>
    <t>Paolo, Fernando/AGQ-9348-2022; Padman, Laurence/AAH-3808-2021; Ligtenberg, Stefan/AAF-8290-2020</t>
  </si>
  <si>
    <t>Paolo, Fernando/0000-0002-6439-2918; Fricker, Helen Amanda/0000-0002-0921-1432; Padman, Laurence/0000-0003-2010-642X</t>
  </si>
  <si>
    <t>NASA [NNX17AI03G, NNX13AP60G, NNX17AG63G]; George Thompson Fellowship at Stanford University; NWO-ALW Veni grant [863.15.023]; NASA [NNX13AP60G, 466837] Funding Source: Federal RePORTER</t>
  </si>
  <si>
    <t>NASA(National Aeronautics &amp; Space Administration (NASA)); George Thompson Fellowship at Stanford University; NWO-ALW Veni grant; NASA(National Aeronautics &amp; Space Administration (NASA))</t>
  </si>
  <si>
    <t>This study was funded by NASA grants NNX17AI03G, NNX13AP60G, and NNX17AG63G. M. R. S. was also supported in part by the George Thompson Fellowship at Stanford University. S. R. M. L. is supported by NWO-ALW Veni grant 863.15.023. We thank the European Space Agency for providing the CryoSat-2 data; NASA for providing the Operation IceBridge data; Melchior van Wessem and the Institute of Marine and Atmospheric Research for providing RACMO data products; Susan Howard for developing data sets from the ERA-Interim reanalysis product; and Maya Becker, Adrian Borsa, Paul Holland, and two anonymous reviewers for helpful comments. This is ESR contribution 159.</t>
  </si>
  <si>
    <t>10.1002/2017GL076652</t>
  </si>
  <si>
    <t>WOS:000434111700038</t>
  </si>
  <si>
    <t>Kehrl, L; Conway, H; Holschuh, N; Campbell, S; Kurbatov, AV; Spaulding, NE</t>
  </si>
  <si>
    <t>Kehrl, Laura; Conway, Howard; Holschuh, Nicholas; Campbell, Seth; Kurbatov, Andrei V.; Spaulding, Nicole E.</t>
  </si>
  <si>
    <t>Evaluating the Duration and Continuity of Potential Climate Records From the Allan Hills Blue Ice Area, East Antarctica</t>
  </si>
  <si>
    <t>Ice-penetrating radar; Ice cores; Blue ice areas; Ice-flow modeling; Paleoclimate records</t>
  </si>
  <si>
    <t>DOME C; WEST ANTARCTICA; TAYLOR GLACIER; PATRIOT HILLS; OLD ICE; CORE; DEGLACIATION; PLEISTOCENE; TRANSITION; METEORITES</t>
  </si>
  <si>
    <t>The current ice core record extends back 800,000 years. Geologic and glaciological evidence suggests that the Allan Hills Blue Ice Area, East Antarctica, may preserve a continuous record that extends further back in time. In this study, we use ice-penetrating radar and existing age constraints to map the internal stratigraphy and age structure of the Allan Hills Main Ice Field. The dated isochrones provide constraints for an ice flow model to estimate the age of ice near the bed. Previous drilling in the region recovered stratigraphically disturbed sections of ice up to 2.7 million years old. Our study identifies a site similar to 5 km upstream, which likely preserves a continuous record through Marine Isotope Stage 11 with the possibility that the record extends back 1 million years. Such records would provide new insight into the past climate and glacial history of the Ross Sea Sector.</t>
  </si>
  <si>
    <t>[Kehrl, Laura; Conway, Howard; Holschuh, Nicholas; Campbell, Seth] Univ Washington, Earth &amp; Space Sci, Seattle, WA 98195 USA; [Kehrl, Laura] Univ Washington, Polar Sci Ctr, Appl Phys Lab, Seattle, WA 98195 USA; [Campbell, Seth; Kurbatov, Andrei V.] Univ Maine, Sch Earth &amp; Climate Sci, Orono, ME USA; [Kurbatov, Andrei V.; Spaulding, Nicole E.] Univ Maine, Climate Change Inst, Orono, ME USA</t>
  </si>
  <si>
    <t>University of Washington; University of Washington Seattle; University of Washington; University of Washington Seattle; University of Maine System; University of Maine Orono; University of Maine System; University of Maine Orono</t>
  </si>
  <si>
    <t>Kehrl, L (corresponding author), Univ Washington, Earth &amp; Space Sci, Seattle, WA 98195 USA.;Kehrl, L (corresponding author), Univ Washington, Polar Sci Ctr, Appl Phys Lab, Seattle, WA 98195 USA.</t>
  </si>
  <si>
    <t>kehrl@uw.edu</t>
  </si>
  <si>
    <t>Holschuh, Nicholas/0000-0003-1703-5085; Kehrl, Laura/0000-0002-4926-2015; Kurbatov, Andrei/0000-0002-9819-9251; Spaulding, Nicole/0000-0001-5159-3078; Conway, Howard/0000-0003-4634-3474; Campbell, Seth/0000-0002-9620-8329</t>
  </si>
  <si>
    <t>U.S. National Science Foundation [PLR-1443260, PLR-1443461]; National Defense Science and Engineering Graduate Fellowship; NASA [NNX16AM01G]; NASA [900845, NNX16AM01G] Funding Source: Federal RePORTER</t>
  </si>
  <si>
    <t>U.S. National Science Foundation(National Science Foundation (NSF)); National Defense Science and Engineering Graduate Fellowship; NASA(National Aeronautics &amp; Space Administration (NASA)); NASA(National Aeronautics &amp; Space Administration (NASA))</t>
  </si>
  <si>
    <t>We thank the U.S. National Science Foundation (grants PLR-1443260 and -1443461) for supporting this project and the Antarctic Support Contractor, Air National Guard, Kenn Borek Air, and UNAVCO for logistical and field support. L. Kehrl was supported by a National Defense Science and Engineering Graduate Fellowship, and N. Holschuh was supported by NASA grant NNX16AM01G. Radar data are available at the U.S. Antarctica Program Data Center (http://www.usap-dc.org/view/dataset/601005). Stake measurements and age constraints are from Spaulding et al. (2012, 2013). Code for the ice-flow model is available at https://github.com/kehrl/allanhills.</t>
  </si>
  <si>
    <t>10.1029/2018GL077511</t>
  </si>
  <si>
    <t>WOS:000434111700039</t>
  </si>
  <si>
    <t>Deb, P; Orr, A; Bromwich, DH; Nicolas, JP; Turner, J; Hosking, JS</t>
  </si>
  <si>
    <t>Deb, Pranab; Orr, Andrew; Bromwich, David H.; Nicolas, Julien P.; Turner, John; Hosking, J. Scott</t>
  </si>
  <si>
    <t>Summer Drivers of Atmospheric Variability Affecting Ice Shelf Thinning in the Amundsen Sea Embayment, West Antarctica</t>
  </si>
  <si>
    <t>ice shelves; West Antarctica; Amundsen Sea Embayment; melting; Pine Island Glacier; El Nino-Southern Oscillation</t>
  </si>
  <si>
    <t>POLAR WEATHER RESEARCH; SOUTHERN ANNULAR MODE; EL-NINO; MASS-BALANCE; PINE ISLAND; LEVEL RISE; CLIMATE; CIRCULATION; REPRESENTATION; UNCERTAINTY</t>
  </si>
  <si>
    <t>Satellite data and a 35-year hindcast of the Amundsen Sea Embayment summer climate using the Weather Research and Forecasting model are used to understand how regional and large-scale atmospheric variability affects thinning of ice shelves in this sector of West Antarctica by melting from above and below (linked to intrusions of warm water caused by anomalous westerlies over the continental shelf edge). El Nino episodes are associated with an increase in surface melt but do not have a statistically significant impact on westerly winds over the continental shelf edge. The location of the Amundsen Sea Low and the polarity of the Southern Annular Mode (SAM) have negligible impact on surface melting, although a positive SAM and eastward shift of the Amundsen Sea Low cause anomalous westerlies over the continental shelf edge. The projected future increase in El Nino episodes and positive SAM could therefore increase the risk of disintegration of West Antarctic ice shelves.</t>
  </si>
  <si>
    <t>[Deb, Pranab; Orr, Andrew; Turner, John; Hosking, J. Scott] British Antarctic Survey, Cambridge, England; [Deb, Pranab] Univ East Anglia, Sch Environm Sci, Climat Res Unit, Norwich, Norfolk, England; [Bromwich, David H.; Nicolas, Julien P.] Ohio State Univ, Byrd Polar &amp; Climate Res Ctr, Columbus, OH 43210 USA</t>
  </si>
  <si>
    <t>UK Research &amp; Innovation (UKRI); Natural Environment Research Council (NERC); NERC British Antarctic Survey; University of East Anglia; University System of Ohio; Ohio State University</t>
  </si>
  <si>
    <t>Deb, P (corresponding author), British Antarctic Survey, Cambridge, England.;Deb, P (corresponding author), Univ East Anglia, Sch Environm Sci, Climat Res Unit, Norwich, Norfolk, England.</t>
  </si>
  <si>
    <t>p.deb@uea.ac.uk</t>
  </si>
  <si>
    <t>Hosking, Scott/D-3437-2013</t>
  </si>
  <si>
    <t>Hosking, Scott/0000-0002-3646-3504; Turner, John/0000-0002-6111-5122; Deb, Pranab/0000-0002-1858-0918</t>
  </si>
  <si>
    <t>Natural Environment Research Council (NERC) [NE/K00445X/1]; National Science Foundation [PLR 134165, PLR 1443443]; NERC [NE/K00445X/1, bas0100032] Funding Source: UKRI; Directorate For Geosciences; Office of Polar Programs (OPP) [1443443] Funding Source: National Science Foundation</t>
  </si>
  <si>
    <t>Natural Environment Research Council (NERC)(UK Research &amp; Innovation (UKRI)Natural Environment Research Council (NERC)); National Science Foundation(National Science Foundation (NSF)); NERC(UK Research &amp; Innovation (UKRI)Natural Environment Research Council (NERC)); Directorate For Geosciences; Office of Polar Programs (OPP)(National Science Foundation (NSF)NSF - Directorate for Geosciences (GEO))</t>
  </si>
  <si>
    <t>The authors would like to thank Tom Bracegirdle, Paul Holland, Adrian Jenkins (British Antarctic Survey), Kyle Clem (Rutgers University), and Tony Payne (University of Bristol) for useful conversations, as well as the two anonymous reviewers for their insightful comments that helped to considerably improve this study. The AWS data were obtained from the University of Wisconsin-Madison Automatic Weather Station Program, with special thanks to Matthew Lazzara. The satellite-based melt data are based on passive microwave satellite data obtained from the National Snow and Ice Data Center. Both the satellite-based melt data (https://doi.org/10.5285/ffd24dd7-e201-4a02-923f-038680bf7bb5) and the Polar WRF hindcast data (https://doi.org/10.5285/9536f22e-37dd-4f37-948b-e19c70e15292) used in this study are archived at the UK Polar Data Centre (based at British Antarctic Survey), with special thanks to Tony Phillips for his assistance. The Natural Environment Research Council (NERC) under grant NE/K00445X/1 and the National Science Foundation under grants PLR 134165 and PLR 1443443 supported this study. This is contribution 1575 of the Byrd Polar and Climate Research Center.</t>
  </si>
  <si>
    <t>10.1029/2018GL077092</t>
  </si>
  <si>
    <t>WOS:000434111700042</t>
  </si>
  <si>
    <t>Cao, SN; Zhang, F; Zheng, HY; Liu, CP; Peng, F; Zhou, QM</t>
  </si>
  <si>
    <t>Cao, Shunan; Zhang, Fang; Zheng, Hongyuan; Liu, Chuanpeng; Peng, Fang; Zhou, Qiming</t>
  </si>
  <si>
    <t>Coccomyxa antarctica sp nov from the Antarctic lichen Usnea aurantiacoatra</t>
  </si>
  <si>
    <t>PHYTOKEYS</t>
  </si>
  <si>
    <t>Lichen epiphyte; morphology; TEM; phylogeny</t>
  </si>
  <si>
    <t>The single celled green alga Coccomyxa aniarciica Shunan Cao &amp; Qiming Zhou, sp. nov. was isolated from the Antarctic torrential lichen Usnea aurantiacoaira (Jacq.) Bory. It is described and illustrated based on a comprehensive study of its morphology, ultrastructure, ecology and phylogeny. C. antarctica is a lichenicolous alga which has elongated cells and contains a parietal chloroplast as observed under the microscope. C. antarctica is clearly different from other species by phylogenetic analysis (ITS rDNA and SSU rDNA sequences), also it differs from its phylogenetic closely species C. viridis by its larger cell size.</t>
  </si>
  <si>
    <t>[Cao, Shunan; Zheng, Hongyuan] Polar Res Inst China, Key Lab Polar Sci SOA, 451 Jinqiao Rd,Pudong Ave, Shanghai 200136, Peoples R China; [Zhang, Fang; Zheng, Hongyuan] Tongji Univ, Coll Environm Sci &amp; Engn, Shanghai 200092, Peoples R China; [Liu, Chuanpeng; Zhou, Qiming] Harbin Inst Technol, Sch Life Sci &amp; Technol, 2 Yikuang St, Harbin 150080, Heilongjiang, Peoples R China; [Peng, Fang] Wuhan Univ, CCTCC, Coll Life Sci, 299 Bayi Rd, Wuhan 430072, Hubei, Peoples R China</t>
  </si>
  <si>
    <t>Polar Research Institute of China; Tongji University; Harbin Institute of Technology; Wuhan University</t>
  </si>
  <si>
    <t>Zhang, F (corresponding author), Tongji Univ, Coll Environm Sci &amp; Engn, Shanghai 200092, Peoples R China.;Zhou, QM (corresponding author), Harbin Inst Technol, Sch Life Sci &amp; Technol, 2 Yikuang St, Harbin 150080, Heilongjiang, Peoples R China.</t>
  </si>
  <si>
    <t>zhangfang@pric.org.cn; genbank@vip.sina.com</t>
  </si>
  <si>
    <t>zhou, qi/JEF-7253-2023; Zhou, Qi/JTT-3417-2023; ZHENG, HONGYUAN/ABF-9513-2020</t>
  </si>
  <si>
    <t>ZHENG, HONGYUAN/0000-0002-0225-3883; zhou, qi ming/0000-0002-2892-6329</t>
  </si>
  <si>
    <t>Natural Science Foundation of Shanghai [16ZR1439800]; National Infrastructure of Natural Resources for Science and Technology Program of China [NIMR-2017-8]</t>
  </si>
  <si>
    <t>Natural Science Foundation of Shanghai(Natural Science Foundation of Shanghai); National Infrastructure of Natural Resources for Science and Technology Program of China</t>
  </si>
  <si>
    <t>Samples Information and Data were issued by the Resource-sharing Platform of Polar Samples (http://birds.chinare.org.cn) which was established by the National Science &amp; Technology Infrastructures Polar Research Institute of China (PRIC) and the Chinese National Arctic &amp; Antarctic Data Centre (CN-NADC). We are grateful to the Chinese Arctic and Antarctic Administration for their help in carrying out the project in the Great Wall Station during the 30th Chinese National Antarctic Expedition (2012GW03003). This research was supported by the Natural Science Foundation of Shanghai (No. 16ZR1439800) and National Infrastructure of Natural Resources for Science and Technology Program of China (No. NIMR-2017-8).</t>
  </si>
  <si>
    <t>PENSOFT PUBLISHERS</t>
  </si>
  <si>
    <t>SOFIA</t>
  </si>
  <si>
    <t>12 PROF GEORGI ZLATARSKI ST, SOFIA, 1700, BULGARIA</t>
  </si>
  <si>
    <t>1314-2011</t>
  </si>
  <si>
    <t>1314-2003</t>
  </si>
  <si>
    <t>PhytoKeys</t>
  </si>
  <si>
    <t>10.3897/phytokeys.98.25360</t>
  </si>
  <si>
    <t>Plant Sciences</t>
  </si>
  <si>
    <t>GG0BR</t>
  </si>
  <si>
    <t>WOS:000432343600001</t>
  </si>
  <si>
    <t>Jiang, MZ; Pang, XP; Wang, JJ; Cao, C</t>
  </si>
  <si>
    <t>Jiang, Mengzhen; Pang, Xiaoping; Wang, Jianjun; Cao, Chao</t>
  </si>
  <si>
    <t>Islands ecological integrity evaluation using multi sources data</t>
  </si>
  <si>
    <t>OCEAN &amp; COASTAL MANAGEMENT</t>
  </si>
  <si>
    <t>Island ecological integrity; Anthropogenic pressures; Climate change impacts; Multi scales</t>
  </si>
  <si>
    <t>BIOTIC INTEGRITY; VULNERABILITY; COMMUNITIES; DISTURBANCE; ESTUARY</t>
  </si>
  <si>
    <t>The islands located adjacent to the mainland provide us a lot of natural resources supported by their specific ecosystem structure and function, but they are easy to suffer from anthropogenic pressures and environmental change impacts. The island ecological integrity evaluation is one of the useful tools for the island protection and management. In this study, we proposed the island ecological integrity concept and developed a multi spatial and temporal scale evaluation index system, including anthropogenic pressures, climate change impacts, ecosystem function, and ecosystem structure. We applied the method and used the multi sources data to evaluate the ecological integrity in Nanri island, Dongan island, and Chuanshi island in Fujian Province, China in 2006 respectively. The result showed that the IAcEE scores were 0.61, 0.55 and 0.60 in Dongan, Chuanshi and Nanri islands respectively. The Ipp, Ica 'CF and IFS scores were 0.72, 0.71, 0.43 and 0.54 in Dongan island; 0.71, 0.70, 0.40 and 0.39 in Chuanshi island; 0.67, 0.58, 0.41 and 0.62 in Nanri island respectively. The results indicated that the indexes system could reveal the islands ecological integrity on different spatial scales and spatial locations.</t>
  </si>
  <si>
    <t>[Jiang, Mengzhen; Pang, Xiaoping] Wuhan Univ, Chinese Antarctic Ctr Surveying &amp; Mapping, 129 Luoyu Rd, Wuhan 430079, Hubei, Peoples R China; [Jiang, Mengzhen; Wang, Jianjun] State Ocean Adm, Inst Oceanog 3, Key Lab Global Change &amp; Marine Atmospher Chem, Xiamen 361005, Peoples R China; [Cao, Chao] State Ocean Adm, Inst Oceanog 3, Xiamen 361005, Peoples R China</t>
  </si>
  <si>
    <t>Wuhan University; Third Institute of Oceanography, Ministry of Natural Resources; Third Institute of Oceanography, Ministry of Natural Resources</t>
  </si>
  <si>
    <t>Jiang, MZ (corresponding author), SOA, Inst Oceanog 3, 178 Daxue Rd, Xiamen 361005, Peoples R China.</t>
  </si>
  <si>
    <t>mengzhenj@gmail.com</t>
  </si>
  <si>
    <t>Natural Science Foundation of Fujian Province, China [2015J01165]; Key Laboratory for Ecological Environment in Coastal Areas, State Oceanic Administration [201503]</t>
  </si>
  <si>
    <t>Natural Science Foundation of Fujian Province, China(Natural Science Foundation of Fujian Province); Key Laboratory for Ecological Environment in Coastal Areas, State Oceanic Administration</t>
  </si>
  <si>
    <t>The project was supported by the Natural Science Foundation of Fujian Province, China (No. 2015J01165) and the Key Laboratory for Ecological Environment in Coastal Areas, State Oceanic Administration (No. 201503).</t>
  </si>
  <si>
    <t>0964-5691</t>
  </si>
  <si>
    <t>1873-524X</t>
  </si>
  <si>
    <t>OCEAN COAST MANAGE</t>
  </si>
  <si>
    <t>Ocean Coastal Manage.</t>
  </si>
  <si>
    <t>MAY 15</t>
  </si>
  <si>
    <t>10.1016/j.ocecoaman.2018.03.033</t>
  </si>
  <si>
    <t>Oceanography; Water Resources</t>
  </si>
  <si>
    <t>GK5JX</t>
  </si>
  <si>
    <t>WOS:000436212500014</t>
  </si>
  <si>
    <t>Stelling, JM; Yu, ZC; Loisel, J; Beilman, DW</t>
  </si>
  <si>
    <t>Stelling, Jonathan M.; Yu, Zicheng; Loisel, Julie; Beilman, David W.</t>
  </si>
  <si>
    <t>Peatbank response to late Holocene temperature and hydroclimate change in the western Antarctic Peninsula</t>
  </si>
  <si>
    <t>Holocene; Paleoclimatology; Antarctica; Vegetation dynamics; Paleoecology; Litchfield Island; Chorisodontium; Polytrichum</t>
  </si>
  <si>
    <t>SOUTHERN ANNULAR MODE; SEA-ICE; DECOMPOSITION RATES; VASCULAR PLANTS; MOSS BANK; CLIMATE; ECOLOGY; GROWTH; CARBON; MICROCLIMATE</t>
  </si>
  <si>
    <t>The western Antarctic Peninsula experienced rapid warming in the second half of the 20th century, which has increased vascular plant abundance and moss productivity. To better understand long-term ecological responses, we used paleoecological and microclimate data to investigate dynamics of late Holocene peatbank development and landscape influences. In peatbank cores from three locations on Litchfield Island (64 degrees 46'S; 64 degrees 06'W) high-resolution plant macrofossil and geochemical analysis show contrasting ecological and environmental changes. Two peatbanks on the southwest- and west-facing slopes of two separate hills are about 500 years old in contrast to a north-facing peatbank that is 2700 years old. The period from 1350 to 450 calibrated years before present (cal yr BP) at the north-facing peatbank had low accumulation (0.25 mm yr(-1), 36 g OM m(-2) yr(-1)), which we interpret as a period of low temperature and increased snow cover. Microclimate differences were amplified by this regional climate cooling, causing the delayed peat initiation on non-equator-facing slopes. Over the last 500 years, the north-facing peatbank had an accumulation rate (0.7 mm yr(-1), 76 g OM m(-2) yr(-1)) that was lower than the southwest- and west-facing peatbanks (1-1.4 mm yr(-1), 97-110 g OM m(-2) yr(-1)). Microclimate data suggest that slope aspect on Litchfield Island influences soil temperature, snow cover, and water availability that in turn affect growing-season lengths and peat accumulation. Plant macrofossils preserved in the north- and west-facing peatbanks show a centennial-scale pattern of fluctuation in relative abundance of dry-adapted Polytrichum strictum and wetter Chorisodontium aciphyllum mosses. Our results suggest that moss communities responded to external environmental influence, particularly those affecting moisture conditions, while topography and resultant microclimate differences had a strong influence on peat accumulation. (C) 2017 Elsevier Ltd. All rights reserved.</t>
  </si>
  <si>
    <t>[Stelling, Jonathan M.; Yu, Zicheng] Lehigh Univ, Dept Earth &amp; Environm Sci, Bethlehem, PA 18015 USA; [Loisel, Julie] Texas A&amp;M Univ, Dept Geog, College Stn, TX 77843 USA; [Beilman, David W.] Univ Hawaii Manoa, Dept Geog, Honolulu, HI 96822 USA</t>
  </si>
  <si>
    <t>Lehigh University; Texas A&amp;M University System; Texas A&amp;M University College Station; University of Hawaii System; University of Hawaii Manoa</t>
  </si>
  <si>
    <t>Stelling, JM; Yu, ZC (corresponding author), Lehigh Univ, Dept Earth &amp; Environm Sci, Bethlehem, PA 18015 USA.</t>
  </si>
  <si>
    <t>jmsa14@lehigh.edu; ziy2@lehigh.edu</t>
  </si>
  <si>
    <t>Stelling, Jonathan/0000-0003-3887-4240; Yu, Zicheng/0000-0003-2358-2712</t>
  </si>
  <si>
    <t>US NSF-Antarctic Earth Sciences Program [PLR 1246190, 1246359]; Directorate For Geosciences; Office of Polar Programs (OPP) [1246359] Funding Source: National Science Foundation</t>
  </si>
  <si>
    <t>US NSF-Antarctic Earth Sciences Program(National Science Foundation (NSF)NSF - Directorate for Geosciences (GEO)); Directorate For Geosciences; Office of Polar Programs (OPP)(National Science Foundation (NSF)NSF - Directorate for Geosciences (GEO))</t>
  </si>
  <si>
    <t>This project was supported by US NSF-Antarctic Earth Sciences Program (PLR 1246190 and 1246359).</t>
  </si>
  <si>
    <t>10.1016/j.quascirev.2017.10.033</t>
  </si>
  <si>
    <t>GG5YA</t>
  </si>
  <si>
    <t>WOS:000432770600007</t>
  </si>
  <si>
    <t>Sagredo, EA; Kaplan, MR; Araya, PS; Lowell, TV; Aravena, JC; Moreno, PI; Kelly, MA; Schaefer, JM</t>
  </si>
  <si>
    <t>Sagredo, Esteban A.; Kaplan, Michael R.; Araya, Paola S.; Lowell, Thomas V.; Aravena, Juan C.; Moreno, Patricio I.; Kelly, Meredith A.; Schaefer, Joerg M.</t>
  </si>
  <si>
    <t>Trans-pacific glacial response to the Antarctic Cold Reversal in the southern mid-latitudes</t>
  </si>
  <si>
    <t>Patagonia; Monte San Lorenzo; Glacier fluctuation; Antarctic Cold Reversal; Late glacial; Southern westerly winds</t>
  </si>
  <si>
    <t>NUCLIDE PRODUCTION-RATES; CLIMATE-CHANGE; PATAGONIAN ICEFIELD; HOLOCENE TRANSITION; LAST DEGLACIATION; ATMOSPHERIC CO2; NORTHWESTERN PATAGONIA; VEGETATION CHANGES; YOUNGER DRYAS; NEW-ZEALAND</t>
  </si>
  <si>
    <t>Elucidating the timing and regional extent of abrupt climate events during the last glacial-interglacial transition (similar to 18-11.5 ka) is critical for identifying spatial patterns and mechanisms responsible for large-magnitude climate events. The record of climate change in the Southern Hemisphere during this time period, however, remains scarce and unevenly distributed. We present new geomorphic, chronological, and equilibrium line altitude (ELA) data from a climatically sensitive mountain glacier at Monte San Lorenzo (47 degrees S), Central Patagonia. Twenty-four new cosmogenic Be-10 exposure ages from moraines provide a comprehensive glacial record in the mid-latitudes of South America, which constrain the timing, spatial extent and magnitude of glacial fluctuations during the Antarctic Cold Reversal (ACR, similar to 14.5-12.9 ka). Rio Tranquilo glacier advanced and reached a maximum extent at 13.9 +/- 0.7 ka. Three additional inboard moraines afford statistically similar ages, indicating repeated glacier expansions or marginal fluctuations over the ACR. Our record represents the northernmost robust evidence of glacial fluctuations during the ACR in southern South America, documenting not only the timing of the ACR maximum, but also the sequence of glacier changes within this climate event. Based on ELA reconstructions, we estimate a cooling of &gt;1.6-1.8 degrees C at the peak of the ACR. The Rio Tranquilo record along with existing glacial reconstructions from New Zealand (43 degrees S) and paleovegetation records from northwestern (41 degrees S) and central-west (45 degrees S) Patagonia, suggest an uniform trans-Pacific glacier-climate response to an ACR trigger across the southern mid-latitudes. We posit that the equatorial migration of the southern westerly winds provides an adequate mechanism to propagate a common ACR signal across the Southern Hemisphere. (C) 2018 Elsevier Ltd. All rights reserved.</t>
  </si>
  <si>
    <t>[Sagredo, Esteban A.; Araya, Paola S.] Pontificia Univ Catolica Chile, Inst Geog, Santiago, Chile; [Kaplan, Michael R.; Schaefer, Joerg M.] Columbia Univ, Lamont Doherty Earth Observ, Palisades, NY 10944 USA; [Lowell, Thomas V.] Univ Cincinnati, Geol Dept, Cincinnati, OH 45221 USA; [Aravena, Juan C.] Univ Magallanes, Gaia Antartica, Punta Arenas, Chile; [Moreno, Patricio I.] Univ Chile, Inst Ecol &amp; Biodiversidad, Dept Ciencias Ecol, Santiago, Chile; [Kelly, Meredith A.] Dartmouth Coll, Dept Earth Sci, Hanover, NH 03755 USA; [Schaefer, Joerg M.] Columbia Univ, Dept Earth &amp; Environm Sci, New York, NY 10027 USA</t>
  </si>
  <si>
    <t>Pontificia Universidad Catolica de Chile; Columbia University; University System of Ohio; University of Cincinnati; Universidad de Magallanes; Universidad de Chile; Dartmouth College; Columbia University</t>
  </si>
  <si>
    <t>Sagredo, EA (corresponding author), Pontificia Univ Catolica Chile, Inst Geog, Santiago, Chile.</t>
  </si>
  <si>
    <t>esagredo@uc.cl</t>
  </si>
  <si>
    <t>Kaplan, Michael R/D-4720-2011; SAGREDO, ESTEBAN/B-7280-2016; Moreno, Patricio/D-2317-2012</t>
  </si>
  <si>
    <t>Kelly, Meredith/0000-0001-8163-3907; SAGREDO, ESTEBAN/0000-0002-4494-5423; Lowell, Thomas/0000-0001-7826-0636; Moreno, Patricio/0000-0002-1333-6238</t>
  </si>
  <si>
    <t>Iniciativa Cientifica Milenio [NC120066]; FONDECYT [11121280, 1160488, 1151469]; CONICYT USA [2013-0035]; NSF-BCS [1263474]; Fulbright; Direct For Social, Behav &amp; Economic Scie; Division Of Behavioral and Cognitive Sci [1263474] Funding Source: National Science Foundation</t>
  </si>
  <si>
    <t>Iniciativa Cientifica Milenio; FONDECYT(Comision Nacional de Investigacion Cientifica y Tecnologica (CONICYT)CONICYT FONDECYT); CONICYT USA; NSF-BCS(National Science Foundation (NSF)NSF - Directorate for Social, Behavioral &amp; Economic Sciences (SBE)); Fulbright; Direct For Social, Behav &amp; Economic Scie; Division Of Behavioral and Cognitive Sci(National Science Foundation (NSF)NSF - Directorate for Social, Behavioral &amp; Economic Sciences (SBE))</t>
  </si>
  <si>
    <t>This work was funded by Iniciativa Cientifica Milenio NC120066, FONDECYT 11121280, 1160488, and 1151469, CONICYT USA 2013-0035 NSF-BCS 1263474 and a Fulbright Visiting Scholar Grant (Kaplan). We thank R. Schwartz, J. Hanley, J. Frisch and J. Howley for laboratory assistance. Our appreciation goes to CEQUA, J. Araos, I. Gonzalez, F. Gonzalez, B. Luckman, J. Koch, L. Soto and L. Gomez, for providing field assistance. This is LDEO contribution #8180.</t>
  </si>
  <si>
    <t>10.1016/j.quascirev.2018.01.011</t>
  </si>
  <si>
    <t>WOS:000432770600013</t>
  </si>
  <si>
    <t>Ghiglione, C; Alvaro, MC; Cecchetto, M; Canese, S; Downey, R; Guzzi, A; Mazzoli, C; Piazza, P; Rapp, HT; Sarà, A; Schiaparelli, S</t>
  </si>
  <si>
    <t>Ghiglione, Claudio; Alvaro, Maria Chiara; Cecchetto, Matteo; Canese, Simonepietro; Downey, Rachel; Guzzi, Alice; Mazzoli, Claudio; Piazza, Paola; Rapp, Hans Tore; Sara, Antonio; Schiaparelli, Stefano</t>
  </si>
  <si>
    <t>Porifera collection of the Italian National Antarctic Museum (MNA), with an updated checklist from Terra Nova Bay (Ross Sea)</t>
  </si>
  <si>
    <t>ZOOKEYS</t>
  </si>
  <si>
    <t>Article; Data Paper</t>
  </si>
  <si>
    <t>Antarctica; Italian National Antarctic Museum; Porifera; Ross Sea; Terra Nova Bay; 3D models</t>
  </si>
  <si>
    <t>BURKHOLDERIA-CEPACIA COMPLEX; VOLATILE ORGANIC-COMPOUNDS; BACTERIA; SPONGE; POECILOSCLERIDA; STRAINS</t>
  </si>
  <si>
    <t>This new dataset presents occurrence data for Porifera collected in the Ross Sea, mainly in the Terra Nova Bay area, and curated at the Italian National Antarctic Museum (MNA, section of Genoa). Specimens were collected in 331 different sampling stations at depths ranging from 17 to 1,100 meters in the framework of 17 different Italian Antarctic expeditions funded by the Italian National Antarctic Research Program (PNRA). A total of 807 specimens, belonging to 144 morphospecies (i.e., 95 taxa identified at species level and 49 classified at least at the genus level) is included in the dataset. Nearly half (45%) of the species reported here correspond to species already known for Terra Nova Bay. Out of the remaining 55% previously unknown records, under a third (similar to 29%) were classified at the species level, while over a quarter (similar to 26%) were ascribed to the genus level only and these would require further study. All vouchers are permanently curated at the MNA and are available for study to the scientific community. A 3D model of an uncommon species from the Ross Sea, i.e. Tethyopsis brondstedi (Burton, 1929), is also presented and will be made available for outreach purposes.</t>
  </si>
  <si>
    <t>[Ghiglione, Claudio; Alvaro, Maria Chiara; Cecchetto, Matteo; Guzzi, Alice; Piazza, Paola; Schiaparelli, Stefano] Italian Natl Antarctic Museum MNA, Sect Genoa, Genoa, Italy; [Alvaro, Maria Chiara; Cecchetto, Matteo; Guzzi, Alice; Schiaparelli, Stefano] Univ Genoa, Dept Earth Environm &amp; Life Sci DISTAV, Genoa, Italy; [Canese, Simonepietro] ISPRA, Inst Environm Protect &amp; Res, Milazzo, Italy; [Downey, Rachel] Australia Natl Univ, Fenner Sch Environm &amp; Soc, Canberra, ACT, Australia; [Mazzoli, Claudio] Univ Padua, Dept Geosci, Padua, Italy; [Piazza, Paola] Univ Siena, Dept Phys Earth &amp; Environm Sci, Siena, Italy; [Rapp, Hans Tore] Univ Bergen, Dept Biol Sci, Bergen, Norway; [Rapp, Hans Tore] Univ Bergen, KG Jebsen Ctr Deep Sea Res, Bergen, Norway; [Sara, Antonio] Studio Associato Gaia SNC, Via Brigata Liguria, Genoa, Italy</t>
  </si>
  <si>
    <t>University of Genoa; European Commission Joint Research Centre; EC JRC ISPRA Site; Italian Institute for Environmental Protection &amp; Research (ISPRA); Australian National University; University of Padua; University of Siena; University of Bergen; University of Bergen</t>
  </si>
  <si>
    <t>Schiaparelli, S (corresponding author), Italian Natl Antarctic Museum MNA, Sect Genoa, Genoa, Italy.;Schiaparelli, S (corresponding author), Univ Genoa, Dept Earth Environm &amp; Life Sci DISTAV, Genoa, Italy.</t>
  </si>
  <si>
    <t>stefano.schiaparelli@unige.it</t>
  </si>
  <si>
    <t>Canese, Simonepietro/AAA-5499-2019; Mazzoli, Claudio/H-9651-2015; Downey, Rachel/Q-4156-2019</t>
  </si>
  <si>
    <t>Canese, Simonepietro/0000-0001-6049-4506; Mazzoli, Claudio/0000-0002-0374-8415; Sara, Antonio/0000-0003-4551-1042; Downey, Rachel/0000-0001-9275-8879; Cecchetto, Matteo/0000-0002-4505-4104; Guzzi, Alice/0000-0001-8066-9158</t>
  </si>
  <si>
    <t>Italian National Antarctic Program (PNRA); PNRA project GEO-SMART [2013/AZ2.06]; Antarctic biodiversity Portal (Belgian Science Policy Office (BELSPO)) [FR/36/AN1/AntaBIS]; EU-Lifewatch</t>
  </si>
  <si>
    <t>Italian National Antarctic Program (PNRA); PNRA project GEO-SMART; Antarctic biodiversity Portal (Belgian Science Policy Office (BELSPO)); EU-Lifewatch</t>
  </si>
  <si>
    <t>We would like to acknowledge the Italian National Antarctic Program (PNRA) for funding and logistic support of the Italian scientific expeditions. The PNRA project GEO-SMART (2013/AZ2.06, PI Paolo Montagna) is acknowledged for the ROV images. We are indebted to Rob Van Soest and Claire Goodwin for the classification of Lycopodina cf. vaceleti (Van Soest and Baker 2011). This publication was supported by the Antarctic biodiversity Portal (www.biodiversity.aq, funded by the Belgian Science Policy Office (BELSPO, contract no FR/36/AN1/AntaBIS) in the Framework of EU-Lifewatch.</t>
  </si>
  <si>
    <t>PENSOFT PUBL</t>
  </si>
  <si>
    <t>1313-2989</t>
  </si>
  <si>
    <t>1313-2970</t>
  </si>
  <si>
    <t>ZooKeys</t>
  </si>
  <si>
    <t>10.3897/zookeys.758.23485</t>
  </si>
  <si>
    <t>Zoology</t>
  </si>
  <si>
    <t>GG0CG</t>
  </si>
  <si>
    <t>WOS:000432345200003</t>
  </si>
  <si>
    <t>Vandergoes, MJ; Howarth, JD; Dunbar, GB; Turnbull, JC; Roop, HA; Levy, RH; Li, X; Prior, C; Norris, M; Keller, LD; Baisden, WT; Ditchburn, R; Fitzsimons, SJ; Ramsey, CB</t>
  </si>
  <si>
    <t>Vandergoes, Marcus J.; Howarth, Jamie D.; Dunbar, Gavin B.; Turnbull, Jocelyn C.; Roop, Heidi A.; Levy, Richard H.; Li, Xun; Prior, Christine; Norris, Margaret; Keller, Liz D.; Baisden, W. Troy; Ditchburn, Robert; Fitzsimons, Sean J.; Ramsey, Christopher Bronk</t>
  </si>
  <si>
    <t>Integrating chronological uncertainties for annually laminated lake sediments using layer counting, independent chronologies and Bayesian age modelling (Lake Ohau, South Island, New Zealand)</t>
  </si>
  <si>
    <t>Geochronology; Bayesian age modelling; Varve chronologies; C-14 dating; Integrated age model</t>
  </si>
  <si>
    <t>NORTH ANATOLIAN FAULT; LAST GLACIAL MAXIMUM; ATMOSPHERIC CIRCULATION; CLIMATE-CHANGE; RADIOCARBON CALIBRATION; VARVE CHRONOLOGY; AMS RADIOCARBON; LATE HOLOCENE; POLLEN; RECORD</t>
  </si>
  <si>
    <t>Annually resolved (varved) lake sequences are important palaeoenvironmental archives as they offer a direct incremental dating technique for high-frequency reconstruction of environmental and climate change. Despite the importance of these records, establishing a robust chronology and quantifying its precision and accuracy (estimations of error) remains an essential but challenging component of their development. We outline an approach for building reliable independent chronologies, testing the accuracy of layer counts and integrating all chronological uncertainties to provide quantitative age and error estimates for varved lake sequences. The approach incorporates (1) layer counts and estimates of counting precision; (2) radiometric and biostratigrapic dating techniques to derive independent chronology; and (3) the application of Bayesian age modelling to produce an integrated age model. This approach is applied to a case study of an annually resolved sediment record from Lake Ohau, New Zealand. The most robust age model provides an average error of 72 years across the whole depth range. This represents a fractional uncertainty of similar to 5%, higher than the &lt;3% quoted for most published varve records. However, the age model and reported uncertainty represent the best fit between layer counts and independent chronology and the uncertainties account for both layer counting precision and the chronological accuracy of the layer counts. This integrated approach provides a more representative estimate of age uncertainty and therefore represents a statistically more robust chronology. (C) 2018 Elsevier Ltd. All rights reserved.</t>
  </si>
  <si>
    <t>[Vandergoes, Marcus J.; Levy, Richard H.; Li, Xun] GNS Sci, 1 Fairway Dr,POB 30-368, Lower Hutt 5040, New Zealand; [Howarth, Jamie D.] Victoria Univ Wellington, Sch Geog Environm &amp; Earth Sci, POB 600, Wellington 6140, New Zealand; [Dunbar, Gavin B.] Victoria Univ Wellington, Antarctic Res Ctr, POB 600, Wellington 6140, New Zealand; [Vandergoes, Marcus J.; Turnbull, Jocelyn C.; Prior, Christine; Norris, Margaret; Keller, Liz D.; Baisden, W. Troy; Ditchburn, Robert] GNS Sci, Natl Isotope Ctr, Rafter Radiocarbon Lab, Lower Hutt, New Zealand; [Roop, Heidi A.] Univ Washington, Coll Environm, Box 355674, Seattle, WA 98195 USA; [Fitzsimons, Sean J.] Univ Otago, Dept Geog, POB 56, Dunedin 9056, Otago, New Zealand; [Ramsey, Christopher Bronk] Univ Oxford, Res Lab Archaeol &amp; Hist Art, Dyson Perrins Bldg,South Parks Rd, Oxford OX1 3QY, England; [Baisden, W. Troy] Univ Waikato, Fac Sci &amp; Engn, Private Bag 3105, Hamilton 3240, New Zealand</t>
  </si>
  <si>
    <t>GNS Science - New Zealand; Victoria University Wellington; Victoria University Wellington; GNS Science - New Zealand; University of Washington; University of Washington Seattle; University of Otago; University of Oxford; University of Waikato</t>
  </si>
  <si>
    <t>Vandergoes, MJ (corresponding author), GNS Sci, 1 Fairway Dr,POB 30-368, Lower Hutt 5040, New Zealand.</t>
  </si>
  <si>
    <t>m.vandergoes@gns.cri.nz</t>
  </si>
  <si>
    <t>Turnbull, Jocelyn/E-1426-2016; Levy, Richard H/E-2477-2011; Keller, Elizabeth Diane/GLN-5354-2022; Ramsey, Christopher Bronk/AAQ-2227-2021; Baisden, Troy/B-9831-2008; Keller, Elizabeth/N-9428-2019</t>
  </si>
  <si>
    <t>Turnbull, Jocelyn/0000-0002-0306-9658; Ramsey, Christopher Bronk/0000-0002-8641-9309; Baisden, Troy/0000-0003-1814-1306; Keller, Elizabeth/0000-0002-9408-9215; Howarth, Jamie/0000-0003-4365-0292; Levy, Richard/0000-0002-8783-0167</t>
  </si>
  <si>
    <t>GNS Science [C05X1702]; Natural Environment Research Council [NE/F004400/1] Funding Source: researchfish; NERC [NE/F004400/1] Funding Source: UKRI</t>
  </si>
  <si>
    <t>GNS Science; Natural Environment Research Council(UK Research &amp; Innovation (UKRI)Natural Environment Research Council (NERC)); NERC(UK Research &amp; Innovation (UKRI)Natural Environment Research Council (NERC))</t>
  </si>
  <si>
    <t>Support for this research came from GNS Science's direct crown funded research program 'Global Change through Time' and the Sarah Beanland Memorial Scholarship (contract C05X1702). Many thanks to the additional GNS staff who have supported this research: Kelly Lyons, Cathy Ginnane, Helen Zhang, Johannes Kaiser, Albert Zondervan. We thank the two anonymous reviewers for providing constructive comment that has greatly improved the manuscript.</t>
  </si>
  <si>
    <t>10.1016/j.quascirev.2018.03.015</t>
  </si>
  <si>
    <t>WOS:000432770600009</t>
  </si>
  <si>
    <t>Bosmans, JHC; Erb, MP; Dolan, AM; Drijthout, SS; Tuenter, E; Hilgen, FJ; Edge, D; Pope, JO; Lourens, LJ</t>
  </si>
  <si>
    <t>Bosmans, J. H. C.; Erb, M. P.; Dolan, A. M.; Drijthout, S. S.; Tuenter, E.; Hilgen, F. J.; Edge, D.; Pope, J. O.; Lourens, L. J.</t>
  </si>
  <si>
    <t>Response of the Asian summer monsoons to idealized precession and obliquity forcing in a set of GCMs</t>
  </si>
  <si>
    <t>Monsoon; Orbital forcing; Paleoclimate modelling; South-east asia; Multi-model; Climate dynamics</t>
  </si>
  <si>
    <t>INTERGLACIAL CLIMATE VARIABILITY; INDIAN MONSOON; VEGETATION FEEDBACKS; ORBITAL PARAMETERS; EC-EARTH; AFRICAN; MIDHOLOCENE; OCEAN; SIMULATIONS; SENSITIVITY</t>
  </si>
  <si>
    <t>We examine the response of the Indian and East Asian summer monsoons to separate precession and obliquity forcing, using a set of fully coupled high-resolution models for the first time: EC-Earth, GFDL CM2.1, CESM and HadCM3. We focus on the effect of insolation changes on monsoon precipitation and underlying circulation changes, and find strong model agreement despite a range of model physics, parameterization, and resolution. Our results show increased summer monsoon precipitation at times of increased summer insolation, i.e. minimum precession and maximum obliquity, accompanied by a redistribution of precipitation and convection from ocean to land. Southerly monsoon winds over East Asia are strengthened as a consequence of an intensified land-sea pressure gradient. The response of the Indian summer monsoon is less straightforward. Over south-east Asia low surface pressure is less pronounced and winds over the northern Indian Ocean are directed more westward. An Indian Ocean Dipole pattern emerges, with increased precipitation and convection over the western Indian Ocean. Increased temperatures occur during minimum precession over the Indian Ocean, but not during maximum obliquity when insolation is reduced over the tropics and southern hemisphere during northern hemisphere summer. Evaporation is reduced over the northern Indian Ocean, which together with increased precipitation over the western Indian Ocean dampens the increase of monsoonal precipitation over the continent. The southern tropical Indian Ocean as well as the western tropical Pacific (for precession) act as a moisture source for enhanced monsoonal precipitation. The models are in closest agreement for precession-induced changes, with more model spread for obliquity-induced changes, possibly related to a smaller insolation forcing. Our results indicate that a direct response of the Indian and East Asian summer monsoons to insolation forcing is possible, in line with speleothem records but in contrast to what most marine proxy climate records suggest. (C) 2018 Elsevier Ltd. All rights reserved.</t>
  </si>
  <si>
    <t>[Bosmans, J. H. C.; Tuenter, E.; Hilgen, F. J.; Lourens, L. J.] Univ Utrecht, Fac Geosci, Postbus 80-115, NL-3508 TC Utrecht, Netherlands; [Erb, M. P.] No Arizona Univ, Sch Earth Sci &amp; Environm Sustainabil, Flagstaff, AZ 86011 USA; [Dolan, A. M.; Edge, D.; Pope, J. O.] Univ Leeds, Sch Earth &amp; Environm, Leeds LS2 9JT, W Yorkshire, England; [Bosmans, J. H. C.; Drijthout, S. S.; Tuenter, E.] Royal Netherlands Meteorol Inst, Postbus 201, NL-3730 AE De Bilt, Netherlands; [Erb, M. P.] Univ Southern Calif, Dept Earth Sci, Los Angeles, CA USA; [Erb, M. P.] Univ Texas Austin, Inst Geophys, 10100 Burnet Rd R2200, Austin, TX 78758 USA; [Drijthout, S. S.] Univ Southampton, Ocean &amp; Earth Sci, Waterfront Campus NOCS,European Way, Southampton SO14 3ZH, Hants, England; [Drijthout, S. S.] Univ Utrecht, Fac Sci, Princetonpl 5, NL-3584 CC Utrecht, Netherlands; [Pope, J. O.] British Antarctic Survey, Cambridge, England</t>
  </si>
  <si>
    <t>Utrecht University; Northern Arizona University; University of Leeds; Royal Netherlands Meteorological Institute; University of Southern California; University of Texas System; University of Texas Austin; University of Southampton; Utrecht University; UK Research &amp; Innovation (UKRI); Natural Environment Research Council (NERC); NERC British Antarctic Survey</t>
  </si>
  <si>
    <t>Bosmans, JHC (corresponding author), Univ Utrecht, Fac Geosci, Postbus 80-115, NL-3508 TC Utrecht, Netherlands.</t>
  </si>
  <si>
    <t>j.h.c.bosmans@uu.nl</t>
  </si>
  <si>
    <t>Dolan, Aisling M/D-2625-2012; Pope, James/E-9473-2017</t>
  </si>
  <si>
    <t>Erb, Michael/0000-0002-1187-952X; Bosmans, Joyce/0000-0001-7697-5136; Pope, James/0000-0001-8945-4209; Hilgen, Frits/0000-0002-5683-259X; Drijfhout, Sybren/0000-0001-5325-7350</t>
  </si>
  <si>
    <t>Focus en Massa grant of Utrecht University, the Netherlands; University of Texas Institute for Geophysics; National Science Foundation [ATM0902735]; National Science Foundation; European Research Council under the European Union's Seventh Framework Programme (FP7)/ERC grant [278636]; EPSRC; NERC [bas0100032] Funding Source: UKRI</t>
  </si>
  <si>
    <t>Focus en Massa grant of Utrecht University, the Netherlands(Netherlands Government); University of Texas Institute for Geophysics; National Science Foundation(National Science Foundation (NSF)); National Science Foundation(National Science Foundation (NSF)); European Research Council under the European Union's Seventh Framework Programme (FP7)/ERC grant(European Research Council (ERC)); EPSRC(UK Research &amp; Innovation (UKRI)Engineering &amp; Physical Sciences Research Council (EPSRC)); NERC(UK Research &amp; Innovation (UKRI)Natural Environment Research Council (NERC))</t>
  </si>
  <si>
    <t>The EC-Earth experiments were performed by Joyce Bosmans, who was funded by a Focus en Massa grant of Utrecht University, the Netherlands. Computing time for EC-Earth was provided by the Royal Netherlands Meteorological Institute (KNMI) and the European Center for Medium-range Weather Forecast (ECMWF). Michael Erb performed the GFDL CM2.1 and CESM experiments, and was supported by a postdoctoral fellowship from the University of Texas Institute for Geophysics and a Paleo Perspectives on Climate Change grant from the National Science Foundation (Grant ATM0902735). Computing resources for GFDL CM2.1 were provided by the Geophysical Fluid Dynamics Laboratory at Princeton and resources for CESM were provided by the Climate Simulation Laboratory at NCAR's Computational and Informational Systems Laboratory (ark:/85065/d7wd3xhc), which is sponsored by the National Science Foundation and other agencies. We would like to thank Tony Broccoli for help running the GFDL CM2.1 experiments and Charles Jackson for guidance in running CESM. The Had-CM3 experiments were performed by Aisling Dolan, James Pope and Dominic Edge. Aisling Dolan acknowledges receipt of funding from the European Research Council under the European Union's Seventh Framework Programme (FP7/2007-2013)/ERC grant agreement no. 278636 and also the EPSRC-funded Past Earth Network.</t>
  </si>
  <si>
    <t>10.1016/j.quascirev.2018.03.025</t>
  </si>
  <si>
    <t>Green Submitted, Green Accepted, hybrid</t>
  </si>
  <si>
    <t>WOS:000432770600010</t>
  </si>
  <si>
    <t>Mongwe, NP; Vichi, M; Monteiro, PMS</t>
  </si>
  <si>
    <t>Mongwe, N. Precious; Vichi, Marcello; Monteiro, Pedro M. S.</t>
  </si>
  <si>
    <t>The seasonal cycle of pCO2 and CO2 fluxes in the Southern Ocean: diagnosing anomalies in CMIP5 Earth system models</t>
  </si>
  <si>
    <t>CARBON SINK; CLIMATE-CHANGE; FORCING RESPONSE; HISTORICAL BIAS; SURFACE PCO(2); INDIAN-OCEAN; VERSION 2; VARIABILITY; IRON; UNCERTAINTY</t>
  </si>
  <si>
    <t>The Southern Ocean forms an important component of the Earth system as a major sink of CO2 and heat. Recent studies based on the Coupled Model Intercomparison Project version 5 (CMIP5) Earth system models (ESMs) show that CMIP5 models disagree on the phasing of the seasonal cycle of the CO2 flux (FCO2) and compare poorly with available observation products for the Southern Ocean. Because the seasonal cycle is the dominant mode of CO2 variability in the Southern Ocean, its simulation is a rigorous test for models and their long-term projections. Here we examine the competing roles of temperature and dissolved inorganic carbon (DIC) as drivers of the seasonal cycle of pCO(2) in the Southern Ocean to explain the mechanistic basis for the seasonal biases in CMIP5 models. We find that despite significant differences in the spatial characteristics of the mean annual fluxes, the intra-model homogeneity in the seasonal cycle of FCO2 is greater than observational products. FCO2 biases in CMIP5 models can be grouped into two main categories, i.e., group-SST and group-DIC. Group-SST models show an exaggeration of the seasonal rates of change of sea surface temperature (SST) in autumn and spring during the cooling and warming peaks. These higher-than-observed rates of change of SST tip the control of the seasonal cycle of pCO(2) and FCO2 towards SST and result in a divergence between the observed and modeled seasonal cycles, particularly in the Sub-Antarctic Zone. While almost all analyzed models (9 out of 10) show these SST-driven biases, 3 out of 10 (namely NorESM1-ME, HadGEM-ES and MPI-ESM, collectively the group-DIC models) compensate for the solubility bias because of their overly exaggerated primary production, such that biologically driven DIC changes mainly regulate the seasonal cycle of FCO2.</t>
  </si>
  <si>
    <t>[Mongwe, N. Precious; Monteiro, Pedro M. S.] CSIR, SOCCO, Cape Town, South Africa; [Mongwe, N. Precious; Vichi, Marcello; Monteiro, Pedro M. S.] Univ Cape Town, Dept Oceanog, Cape Town, South Africa; [Vichi, Marcello] Univ Cape Town, Marine Res Inst, Cape Town, South Africa</t>
  </si>
  <si>
    <t>Council for Scientific &amp; Industrial Research (CSIR) - South Africa; University of Cape Town; University of Cape Town</t>
  </si>
  <si>
    <t>Monteiro, PMS (corresponding author), CSIR, SOCCO, Cape Town, South Africa.;Monteiro, PMS (corresponding author), Univ Cape Town, Dept Oceanog, Cape Town, South Africa.</t>
  </si>
  <si>
    <t>npmongwe@gmail.com</t>
  </si>
  <si>
    <t>Monteiro, Pedro M. S./D-3767-2009; Vichi, Marcello/B-8719-2008; Vichi, Marcello/GLR-9823-2022</t>
  </si>
  <si>
    <t>Vichi, Marcello/0000-0002-0686-9634; Vichi, Marcello/0000-0002-0686-9634; Mongwe, Precious/0000-0003-0130-0833</t>
  </si>
  <si>
    <t>CSIR Parliamentary Grant; National Research Foundation (NRF SANAP programme); Department of Science and Technology South Africa (DST); Applied Centre for Climate and Earth Systems Science (ACCESS)</t>
  </si>
  <si>
    <t>CSIR Parliamentary Grant(Council of Scientific &amp; Industrial Research (CSIR) - India); National Research Foundation (NRF SANAP programme); Department of Science and Technology South Africa (DST); Applied Centre for Climate and Earth Systems Science (ACCESS)</t>
  </si>
  <si>
    <t>This work was undertaken with financial support from the following South African institutions: CSIR Parliamentary Grant, National Research Foundation (NRF SANAP programme), Department of Science and Technology South Africa (DST), and the Applied Centre for Climate and Earth Systems Science (ACCESS). We thank the CSIR Centre for High Performance Computing (CHPC) for providing the resources for doing this analysis. We also want to thank the CMIP5 model community, Peter Landschutzer, Taro Takahashi and Luke Gregor for making their products available as well as the three reviewers for their productive comments that we think have strengthened the paper.</t>
  </si>
  <si>
    <t>10.5194/bg-15-2851-2018</t>
  </si>
  <si>
    <t>GF8FZ</t>
  </si>
  <si>
    <t>WOS:000432206000001</t>
  </si>
  <si>
    <t>Zhao, LY; Moore, JC; Sun, B; Tang, XY; Guo, XR</t>
  </si>
  <si>
    <t>Zhao, Liyun; Moore, John C.; Sun, Bo; Tang, Xueyuan; Guo, Xiaoran</t>
  </si>
  <si>
    <t>Where is the 1-million-year-old ice at Dome A?</t>
  </si>
  <si>
    <t>ANTARCTIC ICE; EAST ANTARCTICA; GEOTHERMAL FLUX; SHEET; CORE; FLOW; ACCUMULATION; VARIABILITY; CHRONOLOGY; ANISOTROPY</t>
  </si>
  <si>
    <t>Ice fabric influences the rheology of ice, and hence the age-depth profile at ice core drilling sites. To investigate the age-depth profile to be expected of the ongoing deep ice coring at Kunlun station, Dome A, we use the depth-varying anisotropic fabric suggested by the recent polarimetric measurements around Dome A along with prescribed fabrics ranging from isotropic through girdle to single maximum in a three-dimensional, thermo-mechanically coupled full-Stokes model of a 70 x 70 km(2) domain around Kunlun station. This model allows for the simulation of the near basal ice temperature and age, and ice flow around the location of the Chinese deep ice coring site. Ice fabrics and geothermal heat flux strongly affect the vertical advection and basal temperature which consequently control the age profile. Constraining modeled age-depth profiles with dated radar isochrones to 2/3 ice depth, the surface vertical velocity, and also the spatial variability of a radar isochrones dated to 153.3 ka BP, limits the age of the deep ice at Kunlun to between 649 and 831 ka, a much smaller range than previously inferred. The simple interpretation of the polarimetric radar fabric data that we use produces best fits with a geothermal heat flux of 55 mW m(-2). A heat flux of 50mWm(-2) is too low to fit the deeper radar layers, and 60mWm(-2) leads to unrealistic surface velocities. The modeled basal temperature at Kunlun reaches the pressure melting point with a basal melting rate of 2.2-2.7mma(-1). Using the spatial distribution of basal temperatures and the best fit fabric suggests that within 400m of Kunlun station, 1-million-year-old ice may be found 200m above the bed, and that there are large regions where even older ice is well above the bedrock within 5-6 km of the Kunlun station.</t>
  </si>
  <si>
    <t>[Zhao, Liyun; Moore, John C.; Guo, Xiaoran] Beijing Normal Univ, Coll Global Change &amp; Earth Syst Sci, Beijing 100875, Peoples R China; [Sun, Bo; Tang, Xueyuan] Polar Res Inst China, Shanghai 200129, Peoples R China; [Zhao, Liyun; Moore, John C.] JCGCS, Beijing 100875, Peoples R China; [Moore, John C.] Univ Lapland, Arctic Ctr, POB 122, Rovaniemi 96101, Finland</t>
  </si>
  <si>
    <t>Beijing Normal University; Polar Research Institute of China; University of Lapland</t>
  </si>
  <si>
    <t>Moore, JC (corresponding author), Beijing Normal Univ, Coll Global Change &amp; Earth Syst Sci, Beijing 100875, Peoples R China.;Moore, JC (corresponding author), JCGCS, Beijing 100875, Peoples R China.;Moore, JC (corresponding author), Univ Lapland, Arctic Ctr, POB 122, Rovaniemi 96101, Finland.</t>
  </si>
  <si>
    <t>john.moore.bnu@gmail.com</t>
  </si>
  <si>
    <t>Moore, John C/B-2868-2013; sun, bo/JFA-9978-2023</t>
  </si>
  <si>
    <t>Moore, John C/0000-0001-8271-5787; Tang, Xueyuan/0000-0002-6226-4891</t>
  </si>
  <si>
    <t>National Natural Science Foundation of China [41506212, 41530748, 41376192]; National Key Science Program for Global Change Research [2015CB953601]; Fundamental Research Funds for the Central Universities</t>
  </si>
  <si>
    <t>National Natural Science Foundation of China(National Natural Science Foundation of China (NSFC)); National Key Science Program for Global Change Research; Fundamental Research Funds for the Central Universities(Fundamental Research Funds for the Central Universities)</t>
  </si>
  <si>
    <t>This study is supported by National Natural Science Foundation of China (nos. 41506212, 41530748, 41376192) and National Key Science Program for Global Change Research (2015CB953601), and the Fundamental Research Funds for the Central Universities. We thank Thomas Zwinger and Carlos Martin for their advice and the anisotropic fabric and age-depth solver that was used in the Elmer/Ice model, Michael Wolovick for general insights into the Dome A glaciological setting, and two anonymous referees for their helpful comments.</t>
  </si>
  <si>
    <t>10.5194/tc-12-1651-2018</t>
  </si>
  <si>
    <t>GF8GR</t>
  </si>
  <si>
    <t>gold, Green Submitted</t>
  </si>
  <si>
    <t>WOS:000432208000001</t>
  </si>
  <si>
    <t>Rahul, P; Prasanna, K; Ghosh, P; Anilkumar, N; Yoshimura, K</t>
  </si>
  <si>
    <t>Rahul, P.; Prasanna, K.; Ghosh, Prosenjit; Anilkumar, N.; Yoshimura, Kei</t>
  </si>
  <si>
    <t>Stable isotopes in water vapor and rainwater over Indian sector of Southern Ocean and estimation of fraction of recycled moisture</t>
  </si>
  <si>
    <t>HYDROGEN ISOTOPES; OXYGEN; EVAPORATION; SIMULATION; MONSOON; SEA</t>
  </si>
  <si>
    <t>Stable Hydrogen and Oxygen isotopic composition of water vapor, rainwater and surface seawater show a distinct trend across the latitude over the Southern Indian Ocean. Our observations on isotopic composition of surface seawater, water vapor and rainwater across a transect covering the tropical Indian Ocean to the regions of the Southern Ocean showed a strong latitudinal dependency; characterized by the zonal process of evaporation and precipitation. The sampling points were spread across diverse zones of SST, wind speed and rainfall regimes. The observed physical parameters such as sea surface temperature, wind speed and relative humidity over the oceanic regions were used in a box model calculation across the latitudes to predict the isotopic composition of water vapor under equilibrium and kinetic conditions, and compared with results from isotope enabled global spectral model. Further, we obtained the average fraction of recycled moisture across the oceanic transect latitudes as 13.4 +/- 7.7%. The values of recycled fraction were maximum at the vicinity of the Inter Tropical Convergence Zone (ITCZ), while the minimum values were recorded over the region of subsidence and evaporation, at the Northern and Southern latitudes of the ITCZ. These estimates are consistent with the earlier reported recyling values.</t>
  </si>
  <si>
    <t>[Rahul, P.; Ghosh, Prosenjit] Indian Inst Sci, Div Ctr Climate Change, Bangalore, Karnataka, India; [Prasanna, K.; Ghosh, Prosenjit] Indian Inst Sci, Ctr Earth Sci, Bangalore, Karnataka, India; [Prasanna, K.] Birbal Sahni Inst Palaeosci, Lucknow, Uttar Pradesh, India; [Anilkumar, N.] Natl Ctr Antarctic &amp; Ocean Res, Vasco, Goa, India; [Yoshimura, Kei] Univ Tokyo, Atmosphere &amp; Ocean Res Inst, Kashiwa, Chiba, Japan</t>
  </si>
  <si>
    <t>Indian Institute of Science (IISC) - Bangalore; Indian Institute of Science (IISC) - Bangalore; Department of Science &amp; Technology (India); Birbal Sahni Institute of Palaeobotany (BSIP); Ministry of Earth Sciences (MoES) - India; National Centre for Polar and Ocean Research (NCPOR); University of Tokyo</t>
  </si>
  <si>
    <t>Ghosh, P (corresponding author), Indian Inst Sci, Div Ctr Climate Change, Bangalore, Karnataka, India.;Ghosh, P (corresponding author), Indian Inst Sci, Ctr Earth Sci, Bangalore, Karnataka, India.</t>
  </si>
  <si>
    <t>pghosh@iisc.ac.in</t>
  </si>
  <si>
    <t>Naidu, Prasanna/T-4975-2019; Peethambaran, Rahul/R-6116-2016; Yoshimura, Kei/F-2041-2010</t>
  </si>
  <si>
    <t>Naidu, Prasanna/0000-0001-5162-3900; Peethambaran, Rahul/0000-0001-7305-0605; Yoshimura, Kei/0000-0002-5761-1561</t>
  </si>
  <si>
    <t>Ministry of Earth Science, Government of India</t>
  </si>
  <si>
    <t>We thank the Ministry of Earth Science, Government of India for providing financial support for the Indian Scientific Expedition to the Indian Ocean sector of the Southern Ocean, under which the present work was carried out. We also thank the Director, NCAOR, Goa, and the Chairman of Divecha Centre for Climate Change, Bangalore, for providing the necessary facilities and support. We sincerely thank Prof. Kevin T Trenberth of National Center for Atmospheric Research for providing the materials from his publication Trenberth, 1999.</t>
  </si>
  <si>
    <t>10.1038/s41598-018-25522-5</t>
  </si>
  <si>
    <t>GF6WG</t>
  </si>
  <si>
    <t>WOS:000432108300014</t>
  </si>
  <si>
    <t>Santora, JA; Zeno, R; Dorman, JG; Sydeman, WJ</t>
  </si>
  <si>
    <t>Santora, Jarrod A.; Zeno, Ramona; Dorman, Jeffrey G.; Sydeman, William J.</t>
  </si>
  <si>
    <t>Submarine canyons represent an essential habitat network for krill hotspots in a Large Marine Ecosystem</t>
  </si>
  <si>
    <t>CALIFORNIA CURRENT; SPATIAL-DISTRIBUTION; CLIMATE-CHANGE; EL-NINO; EUPHAUSIIDS; ABUNDANCE; WIND; AGGREGATIONS; ZOOPLANKTON; CETACEANS</t>
  </si>
  <si>
    <t>Submarine canyon systems are ubiquitous features of marine ecosystems, known to support high levels of biodiversity. Canyons may be important to benthic-pelagic ecosystem coupling, but their role in concentrating plankton and structuring pelagic communities is not well known. We hypothesize that at the scale of a large marine ecosystem, canyons provide a critical habitat network, which maintain energy flow and trophic interactions. We evaluate canyon characteristics relative to the distribution and abundance of krill, critically important prey in the California Current Ecosystem. Using a geological database, we conducted a census of canyon locations, evaluated their dimensions, and quantified functional relationships with krill hotspots (i.e., sites of persistently elevated abundance) derived from hydro-acoustic surveys. We found that 76% of krill hotspots occurred within and adjacent to canyons. Most krill hotspots were associated with large shelf-incising canyons. Krill hotspots and canyon dimensions displayed similar coherence as a function of latitude and indicate a potential regional habitat network. The latitudinal migration of many fish, seabirds and mammals may be enhanced by using this canyon-krill network to maintain foraging opportunities. Biogeographic assessments and predictions of krill and krill-predator distributions under climate change may be improved by accounting for canyons in habitat models.</t>
  </si>
  <si>
    <t>[Santora, Jarrod A.] Univ Calif Santa Cruz, Dept Appl Math &amp; Stat, Ctr Stock Assessment Res, 1156 High St, Santa Cruz, CA 95060 USA; [Santora, Jarrod A.; Zeno, Ramona; Dorman, Jeffrey G.; Sydeman, William J.] Farallon Inst, 101H St,Suite Q, Petaluma, CA 94952 USA</t>
  </si>
  <si>
    <t>University of California System; University of California Santa Cruz</t>
  </si>
  <si>
    <t>Santora, JA (corresponding author), Univ Calif Santa Cruz, Dept Appl Math &amp; Stat, Ctr Stock Assessment Res, 1156 High St, Santa Cruz, CA 95060 USA.;Santora, JA (corresponding author), Farallon Inst, 101H St,Suite Q, Petaluma, CA 94952 USA.</t>
  </si>
  <si>
    <t>jsantora@ucsc.edu</t>
  </si>
  <si>
    <t>Dorman, Jeffrey/JGE-0267-2023</t>
  </si>
  <si>
    <t>NOAA California Current Integrated Ecosystem Assessment (CCIEA) program</t>
  </si>
  <si>
    <t>NOAA California Current Integrated Ecosystem Assessment (CCIEA) program(National Oceanic Atmospheric Admin (NOAA) - USA)</t>
  </si>
  <si>
    <t>We dedicate this paper to the memory of William T. Peterson, friend, mentor and dedicated scientist. Bill Peterson was always willing to share ideas on zooplankton and ecosystem ecology, and supported our research on krill over the past decade in an unwavering manner; he will be sorely missed. We thank the NOAA Southwest and Northwest Fisheries Science Centers, particularly JC Field, WT Peterson, S Hayes and BK Wells for contributing raw echosounder data for analyses and A Cossio and CS Reiss from the NOAA U.S. Antarctic Marine Living Resources (AMLR) program for their assistance in deriving acoustic krill indices. We appreciate the feedback and suggestions from 2 anonymous reviewers, which helped to improve this study. We thank Bonneville Power Authority for supporting surveys in the northern CCE, and NASA, NSF, NOAA, and Marisla Foundation for supporting analysis of krill data over the past decade. We also thank C Harvey and appreciate support from the NOAA California Current Integrated Ecosystem Assessment (CCIEA) program. Support for computer processing and preparation of this paper was provided by the Marisla Foundation.</t>
  </si>
  <si>
    <t>10.1038/s41598-018-25742-9</t>
  </si>
  <si>
    <t>GF6WK</t>
  </si>
  <si>
    <t>WOS:000432108700025</t>
  </si>
  <si>
    <t>Howe, JNW; Huang, KF; Oppo, DW; Chiessi, CM; Mulitza, S; Blusztajn, J; Piotrowski, AM</t>
  </si>
  <si>
    <t>Howe, Jacob N. W.; Huang, Kuo-Fang; Oppo, Delia W.; Chiessi, Cristiano M.; Mulitza, Stefan; Blusztajn, Jurek; Piotrowski, Alexander M.</t>
  </si>
  <si>
    <t>Similar mid-depth Atlantic water mass provenance during the Last Glacial Maximum and Heinrich Stadial 1</t>
  </si>
  <si>
    <t>Atlantic overturning; neodymium isotopes; Heinrich Stadial 1; Last Glacial Maximum</t>
  </si>
  <si>
    <t>MERIDIONAL OVERTURNING CIRCULATION; ANTARCTIC INTERMEDIATE WATER; WESTERN NORTH-ATLANTIC; SOUTHERN-OCEAN; DEEP-WATER; TROPICAL ATLANTIC; THERMOHALINE CIRCULATION; SURFACE-TEMPERATURE; NEODYMIUM ISOTOPES; ATMOSPHERIC CO2</t>
  </si>
  <si>
    <t>The delivery of freshwater to the North Atlantic during Heinrich Stadial 1 (HS1) is thought to have fundamentally altered the operation of Atlantic meridional overturning circulation (AMOC). Although benthic foraminiferal carbon isotope records from the mid-depth Atlantic show a pronounced excursion to lower values during HS1, whether these shifts correspond to changes in water mass proportions, advection, or shifts in the carbon cycle remains unclear. Here we present new deglacial records of authigenic neodymium isotopes - a water mass tracer that is independent of the carbon cycle-from two cores in the mid-depth South Atlantic. We find no change in neodymium isotopic composition, and thus water mass proportions, between the Last Glacial Maximum (LGM) and HS1, despite large decreases in carbon isotope values at the onset of HS1 in the same cores. We suggest that the excursions of carbon isotopes to lower values were likely caused by the accumulation of respired organic matter due to slow overturning circulation, rather than to increased southern-sourced water, as typically assumed. The finding that there was little change in water mass provenance in the mid-depth South Atlantic between the LGM and HS1, despite decreased overturning, suggests that the rate of production of mid-depth southern-sourced water mass decreased in concert with decreased production of northern-sourced intermediate water at the onset of HS1. Consequently, we propose that even drastic changes in the strength of AMOC need not cause a significant change in South Atlantic mid-depth water mass proportions. (C) 2018 Elsevier B.V. All rights reserved.</t>
  </si>
  <si>
    <t>[Howe, Jacob N. W.; Piotrowski, Alexander M.] Univ Cambridge, Dept Earth Sci, Cambridge CB2 3EQ, England; [Howe, Jacob N. W.; Huang, Kuo-Fang; Oppo, Delia W.; Blusztajn, Jurek] Woods Hole Oceanog Inst, Dept Geol &amp; Geophys, Woods Hole, MA 02543 USA; [Huang, Kuo-Fang] Acad Sinica, Inst Earth Sci, 128,Sec 2,Acad Rd, Taipei 11529, Taiwan; [Chiessi, Cristiano M.] Univ Sao Paulo, Sch Arts Sci &amp; Humanities, Av Arlindo Bettio 1000, BR-03828000 Sao Paulo, SP, Brazil; [Mulitza, Stefan] Univ Bremen, MARUM Ctr Marine Environm Sci, Leobener Str, D-28359 Bremen, Germany</t>
  </si>
  <si>
    <t>University of Cambridge; Woods Hole Oceanographic Institution; Academia Sinica - Taiwan; Universidade de Sao Paulo; University of Bremen</t>
  </si>
  <si>
    <t>Huang, KF (corresponding author), Acad Sinica, Inst Earth Sci, 128,Sec 2,Acad Rd, Taipei 11529, Taiwan.</t>
  </si>
  <si>
    <t>kfhuang@earth.sinica.edu.tw</t>
  </si>
  <si>
    <t>Mulitza, Stefan/G-5357-2011; Chiessi, Cristiano Mazur/E-1916-2012; Chiessi, Cristiano Mazur/JAZ-0806-2023; Huang, Kuo-Fang/M-2740-2019</t>
  </si>
  <si>
    <t>Chiessi, Cristiano Mazur/0000-0003-3318-8022; Chiessi, Cristiano Mazur/0000-0003-3318-8022; Huang, Kuo-Fang/0000-0002-7858-4865</t>
  </si>
  <si>
    <t>NERC [NE/K005235/1, NE/F006047/1]; NSF [OCE-1335191]; WHOI's investment in Science Program; Academia Sinica; Taiwan MOST [MOST 104-2628-M-001-007-MY3]; FAPESP [2012/17517-3]; CAPES [1976/2014, 564/2015]; DFG Research Center/Cluster of Excellence The Ocean in the Earth System; NERC [NE/K005235/1, NE/F006047/1] Funding Source: UKRI</t>
  </si>
  <si>
    <t>NERC(UK Research &amp; Innovation (UKRI)Natural Environment Research Council (NERC)); NSF(National Science Foundation (NSF)); WHOI's investment in Science Program; Academia Sinica(Academia Sinica - Taiwan); Taiwan MOST; FAPESP(Fundacao de Amparo a Pesquisa do Estado de Sao Paulo (FAPESP)); CAPES(Coordenacao de Aperfeicoamento de Pessoal de Nivel Superior (CAPES)); DFG Research Center/Cluster of Excellence The Ocean in the Earth System(German Research Foundation (DFG)); NERC(UK Research &amp; Innovation (UKRI)Natural Environment Research Council (NERC))</t>
  </si>
  <si>
    <t>Ma Luiza S. Albuquerque is thanked for providing core material from GL1090. Vicky Rennie, KR Pietro, Jo Clegg, Jason Day, Mervyn Greaves and Caroline Daunt are thanked for technical support and Thiago Pereira dos Santos is thanked for providing stable isotope data from GL1090. Nd isotope analyses were supported by NERC grants NE/K005235/1 and NE/F006047/1 to AMP and NSF Grant OCE-1335191 to DWO. DWO acknowledges funding from WHOI's investment in Science Program. KFH acknowledges financial support from Academia Sinica and Taiwan MOST (MOST 104-2628-M-001-007-MY3). CMC acknowledges financial support from FAPESP (grant 2012/17517-3) and CAPES (grants 1976/2014 and 564/2015), and SM was supported by the DFG Research Center/Cluster of Excellence The Ocean in the Earth System.</t>
  </si>
  <si>
    <t>10.1016/j.epsl.2018.03.006</t>
  </si>
  <si>
    <t>GD5BS</t>
  </si>
  <si>
    <t>Green Submitted, hybrid</t>
  </si>
  <si>
    <t>WOS:000430520600006</t>
  </si>
  <si>
    <t>Takahashi, K; Tsunogae, T; Santosh, M; Takamura, Y; Tsutsumi, Y</t>
  </si>
  <si>
    <t>Takahashi, Kazuki; Tsunogae, Toshiaki; Santosh, M.; Takamura, Yusuke; Tsutsumi, Yukiyasu</t>
  </si>
  <si>
    <t>Paleoproterozoic (ca. 1.8 Ga) arc magmatism in the Liitzow-Holm Complex, East Antarctica: Implications for crustal growth and terrane assembly in erstwhile Gondwana fragments</t>
  </si>
  <si>
    <t>JOURNAL OF ASIAN EARTH SCIENCES</t>
  </si>
  <si>
    <t>Geochemistry; Zircon U-Pb geochronology; Paleoproterozoic; Volcanic-arc magmatism; Sri Lanka; Gondwana supercontinent</t>
  </si>
  <si>
    <t>U-PB GEOCHRONOLOGY; ULTRAHIGH-TEMPERATURE METAMORPHISM; GARNET-SILLIMANITE GNEISS; PAN-AFRICAN GRANULITES; SRI-LANKA IMPLICATIONS; ASIAN OROGENIC BELT; HIGH-GRADE ROCKS; LU-HF ISOTOPES; HIGHLAND COMPLEX; SOUTHERN INDIA</t>
  </si>
  <si>
    <t>The Liitzow-Holm Complex (LHC) of East Antarctica forms a part of the latest Neoproterozoic-Cambrian high-grade metamorphic segment of the East African-Antarctic Orogen. Here we present new petrological, geo-chemical, and zircon U-Pb geochronological data on meta-igneous rocks from four localities (Austhovde, Telen, Skallevikshalsen, and Skallen) in the LHC, and evaluate the regional Paleoproterozoic (ca. 1.8 Ga) arc magmatism in this terrane for the first time. The geochemical features reveal a volcanic-arc affinity for most of the meta-igneous rocks from Austhovde and Telen, suggesting that the protoliths of these rocks were derived from felsic to mafic arc magmatic rocks. The protoliths of two mafic granulites from Austhovde are inferred as non volcanic-arc basalt such as E-MORB, suggesting the accretion of remnant oceanic lithosphere together with the volcanic-arc components during the subduction-collision events. The weighted mean Pb-206/U-238 ages of the dominant population of magmatic zircons in felsic orthogneisses from Austhovde and Telen show 1819 +/- 19 Ma and 1830 +/- 10 Ma, respectively, corresponding to Paleoproterozoic magmatic event. The magmatic zircons in orthogneisses from other two localities yield upper intercept ages of 1837 +/- 54 Ma (Skallevikshalsen), and 1856 +/- 37 Ma and 1854 +/- 45 Ma (Skallen), which also support Paleoproterozoic magmatism. The earlier thermal events during Neoarchean to Early Paleoproterozoic are also traced by (206)pb/U-238 ages of xenocrystic zircons in the felsic orthogneisses from Austhovde (2517 +/- 17 Ma and 2495 +/- 15 Ma) and Telen (2126 +/- 16 Ma), suggesting partial reworking of the basement of a 2.5 Ga micro continent during ca. 1.8 Ga continental-arc magmatism. The timing of peak metamorphism is inferred to be in the range of 645.6 +/- 10.4 to 521.4 +/- 12.0 Ma based on Pb-206/U-238 weighted mean ages of metamorphic zircon grains. The results of this study, together with the available magmatic ages as well as geophysical and lithological data from the region, suggest that the LHC can be divided into three units: Neoarchean (ca. 2.5 Ga) unit in the southern LHC (Shirase Orthogneiss or Shirase microcontinent), Neoproterozoic (ca. 1.0 Ga) unit in the northern LHC, and supracrustal unit in the central LHC with fragments of Paleoproterozoic (ca. 1.8 Ga) and minor Neoarchean (ca. 2.5 Ga) and Neoproterozoic (ca. 1.0 Ga) magmatic arcs. The 1.8 Ga arc magmatism inferred in this study has also been reported from adjacent Gondwana fragments such as the Highland Complex in Sri Lanka, and the Trivandrum and Nagercoil Blocks in southern India. Although the ca. 1.8 Ga arc-magmatic event is coeval in these regions, the Paleoproterozoic supracrustal unit in the central LHC may not be contiguous with those in the Highland Complex of Sri Lanka because recent studies have shown that the Vijayan Complex in Sri Lanka and the ca. 1.0 Ga northern LHC possibly were part of a single crustal unit (northern Liitzow-Holm-Vijayan Complex) within the Kalahari Block. The supracrustal unit possibly marks part of a discrete suture formed by the collision of the ca. 2.5 Ga southern LHC (Shirase microcontinent) and the ca. 1.0 Ga northern Liitzow-Holm-Vijayan Complex during the latest Neoproterozoic-Cambrian Gondwana amalgamation, which might be coeval with the collision of the Vijayan and Wanni Complexes and the formation of the Highland Complex in Sri Lanka. Our study provides new insights on crustal growth and terrane assembly in the ancient continental blocks of Gondwana.</t>
  </si>
  <si>
    <t>[Takahashi, Kazuki; Tsunogae, Toshiaki; Takamura, Yusuke] Univ Tsukuba, Grad Sch Life &amp; Environm Sci, Ibaraki 3058572, Japan; [Tsunogae, Toshiaki] Univ Johannesburg, Dept Geol, ZA-2006 Auckland Pk, South Africa; [Santosh, M.] China Univ Geosci Beijing, Sch Earth Sci &amp; Resources, 29 Xueyuan Rd, Beijing 100083, Peoples R China; [Santosh, M.] Univ Adelaide, Dept Earth Sci, Ctr Tecton Resources &amp; Explorat, Adelaide, SA 5005, Australia; [Tsutsumi, Yukiyasu] Natl Museum Nat &amp; Sci, Dept Geol &amp; Paleontol, Ibaraki 3050005, Japan</t>
  </si>
  <si>
    <t>University of Tsukuba; University of Johannesburg; China University of Geosciences; University of Adelaide; National Museum of Nature and Science</t>
  </si>
  <si>
    <t>Tsunogae, T (corresponding author), Univ Tsukuba, Grad Sch Life &amp; Environm Sci, Ibaraki 3058572, Japan.</t>
  </si>
  <si>
    <t>tsunogae@geol.tsukuba.ac.jp</t>
  </si>
  <si>
    <t>Santosh, M/B-2563-2012</t>
  </si>
  <si>
    <t>Santosh, M/0000-0002-1073-8477; Tsunogae, Toshiaki/0000-0003-1606-5717; Tsutsumi, Yukiyasu/0000-0001-9593-0822</t>
  </si>
  <si>
    <t>Japan Society for the Promotion of Science (JSPS) [22403017, 26302009]; NIPR General Collaboration Projects [26-34]; Grants-in-Aid for Scientific Research [26302009] Funding Source: KAKEN</t>
  </si>
  <si>
    <t>Japan Society for the Promotion of Science (JSPS)(Ministry of Education, Culture, Sports, Science and Technology, Japan (MEXT)Japan Society for the Promotion of Science); NIPR General Collaboration Projects; Grants-in-Aid for Scientific Research(Ministry of Education, Culture, Sports, Science and Technology, Japan (MEXT)Japan Society for the Promotion of ScienceGrants-in-Aid for Scientific Research (KAKENHI))</t>
  </si>
  <si>
    <t>We thank Profs. K. Shiraishi, Y. Motoyoshi, T. Kawasaki, Y. Osanai, T. Toyoshima, M. Owada, Drs. T. Hokada, D.J. Dunkley, T. Miyamoto, M. Kato, and JARE-52 and JARE-39 members for their support of geological field work. We also thank Dr. Renjith M.L. and an anonymous reviewer for their constructive comments, and Dr. E. Shaji and Prof. Mei-Fu Zhou for their editorial comments and advice. Takahashi thanks his colleagues T. Koizumi, T. Endo, Y. Kuribara, M. Yano, C. Miyahara, Tang Li, E.N. Ugwuonah, and M. Amara for their support. Partial funding for this project was produced by a Grant-in-Aid for Scientific Research (B) from Japan Society for the Promotion of Science (JSPS) (no. 22403017 and no. 26302009) and by the NIPR General Collaboration Projects (No. 26-34) to Tsunogae.</t>
  </si>
  <si>
    <t>1367-9120</t>
  </si>
  <si>
    <t>1878-5786</t>
  </si>
  <si>
    <t>J ASIAN EARTH SCI</t>
  </si>
  <si>
    <t>J. Asian Earth Sci.</t>
  </si>
  <si>
    <t>10.1016/j.jseaes.2017.07.053</t>
  </si>
  <si>
    <t>GC8GF</t>
  </si>
  <si>
    <t>WOS:000430031000015</t>
  </si>
  <si>
    <t>Bose, S; Gupta, S</t>
  </si>
  <si>
    <t>Bose, Subham; Gupta, Saibal</t>
  </si>
  <si>
    <t>Strain partitioning along the Mahanadi Shear Zone: Implications for paleotectonics of the Eastern Ghats Province, India</t>
  </si>
  <si>
    <t>Indo-Antarctic collision; Eastern Ghats Province; Pseudotachylite; Mahanadi Shear Zone; Crystallographic Preferred Orientation (CPO); Electron Back Scatter Diffraction (EBSD)</t>
  </si>
  <si>
    <t>MOBILE BELT; U-PB; GEOLOGICAL CONNECTIONS; NORTHERN ORISSA; DEFORMED QUARTZ; TECTONIC EVENTS; SOUTHERN INDIA; BASTAR CRATON; EVOLUTION; TERRANE</t>
  </si>
  <si>
    <t>During Indo-Antarctic collision at c. 1.0 Ga, Eastern Ghats Province (EGP) granulites amalgamated with the Archean Indian craton. The northern boundary of the EGP was subsequently reworked, undergoing dextral strike-slip shearing at 0.5 Ga. This study documents a phase of dextral shearing within the EGP along WNW-ESE trending shear planes in c. 0.5 Ga mylonites of the Mahanadi Shear Zone. Regional structural trends in the EGP show a swing from NE-SW to the south of the shear zone, to WNW-ESE to its north. The mylonitic shear zone foliation has a sub-horizontal lineation associated with a prominent dextral shear sense in near-horizontal sections. Electron Back Scatter Diffraction (EBSD) studies on quartz confirm that mylonitisation was associated with dextral strike-slip movement in the greenschist facies. North of the Mahanadi Shear Zone, strain was partitioned into narrow dextral strike-slip shear zones along which the older granulite fabrics were transposed parallel to later WNW-ESE trending shear planes at lower grades of metamorphism. This regional-scale shearing at similar to 500 Ma possibly resulted in a significant dextral shift of the northern EGP with respect to the south. The shear zone was reactivated in the Permian time during deposition of Gondwana sediments in the Mahanadi basin.</t>
  </si>
  <si>
    <t>[Bose, Subham; Gupta, Saibal] Indian Inst Technol, Dept Geol &amp; Geophys, Kharagpur 721302, W Bengal, India</t>
  </si>
  <si>
    <t>Indian Institute of Technology System (IIT System); Indian Institute of Technology (IIT) - Kharagpur</t>
  </si>
  <si>
    <t>Gupta, S (corresponding author), Indian Inst Technol, Dept Geol &amp; Geophys, Kharagpur 721302, W Bengal, India.</t>
  </si>
  <si>
    <t>saibl2008@gmail.com</t>
  </si>
  <si>
    <t>Department of Geology and Geophysics, IIT Kharagpur</t>
  </si>
  <si>
    <t>This work was carried out at the Department of Geology and Geophysics, IIT Kharagpur, and the Head is thanked for providing financial support during fieldwork. Prof. Rahul Mitra, Chairman of the Central Research Facility, IIT Kharagpur, is thanked for facilitating the EBSD analyses. The authors thank Soumyajit Mukherjee, Vinod Samuel and an anonymous reviewer for critical comments that resulted in near complete rewriting of a major part of this manuscript. Very constructive editorial comments of Sanghoon Kwon are also gratefully acknowledged. The work has also benefited through continuous discussions with Prof. Manish Mamtani, Amol Sawant, C.S. Vishnu, Ritabrata Dobe and Subhashish Debnath.</t>
  </si>
  <si>
    <t>10.1016/j.jseaes.2017.11.021</t>
  </si>
  <si>
    <t>WOS:000430031000016</t>
  </si>
  <si>
    <t>Lanjewar, S; Randive, K</t>
  </si>
  <si>
    <t>Lanjewar, Shubhangi; Randive, Kirtikumar</t>
  </si>
  <si>
    <t>Lamprophyres from the Harohalli dyke swarm in the Halaguru and Mysore areas, Southern India: Implications for backarc basin magmatism</t>
  </si>
  <si>
    <t>Dharwar craton; Neoproterozoic; Harohalli dyke swarm; Back-arc basin magmas; Calc-alkaline lamprophyres</t>
  </si>
  <si>
    <t>EAST SCOTIA RIDGE; VOLCANIC-ROCKS; MANTLE SOURCES; ISLAND-ARC; LAU BASIN; GEOCHEMISTRY; BASALTS; ORIGIN; SYSTEM; PETROGENESIS</t>
  </si>
  <si>
    <t>The Bangalore and Harohalli dyke swarms occur in the eastern part of the Dharwar craton. The older Bangalore dyke swarm is made up of dolerites, trending east-west, and the younger contains alkaline dykes that trend approximately north-south. The lamprophyres of the Harohalli dyke swarm occur in the Halaguru and Mysore industrial areas where they are exposed as fresh porphyritic - panidiomorphic dykes, containing crustal xenoliths, and showing chilled contacts with the country rock charnokites. They are chiefly composed of amphiboles which form well-developed phenocrysts. Clinopyroxenes are present in some of the dykes. Compositional zoning is observed in clinopyroxenes and amphiboles; their zoning patterns indicate that the magma experienced cryptic variations and that fractional crystallization was a dominant process in the evolution of the Harohalli Lamprophyres (HRL). The HRL are calc-alkaline with shoshonitic affinity and exhibit a K2O/Na2O ratio of similar to 1. They show primitive (MORB-like) trace-element characters. LILE and LREE both show marginally enriched patterns; whereas HFSE and HREE show strongly depleted patterns. In the regional geologic sense, HRL dykes are characterised by two major influences; namely, (i) primary source region characteristics, which are geochemically more primitive, roughly falling within fields of primitive - MORB and enriched- MORE and (ii) the continental lithosphere. The data points for the HRL distinctly show their proximity to N-MORB and scatter towards the continental crust. Moreover, features like xenolith assimilation might influence the trace-element characteristics of the HRL dykes. Such magmas with mixed characters can be formed in a backarc basin environment. Geochemical proxies such as Ba/Nb vs Nb/Yb, Ba/Th vs Th/Nb, and the water content of magmas; which have been effectively used for discriminating backarc basin magmas worldwide, also indicate that the HRL magmas were generated in a backarc environment with inputs from a shallow subduction component and interaction with carbonatite melt. This paper therefore presents a new provenance for the generation of calc-alkaline lamprophyres, which were so far known to occur in orogenic belts.</t>
  </si>
  <si>
    <t>[Lanjewar, Shubhangi; Randive, Kirtikumar] RTM Nagpur Univ, Dept Geol, Nagpur 440001, MH, India</t>
  </si>
  <si>
    <t>Rashtrasant Tukadoji Maharaj Nagpur University</t>
  </si>
  <si>
    <t>Randive, K (corresponding author), RTM Nagpur Univ, Dept Geol, Nagpur 440001, MH, India.</t>
  </si>
  <si>
    <t>randivekr@nagpuruniversity.nic.in</t>
  </si>
  <si>
    <t>National Centre for Antarctic and Ocean Research, Ministry of Earth Sciences, Goa, India [NCAOR/MoES/9/11/NU/2012]</t>
  </si>
  <si>
    <t>National Centre for Antarctic and Ocean Research, Ministry of Earth Sciences, Goa, India</t>
  </si>
  <si>
    <t>This research is funded by National Centre for Antarctic and Ocean Research, Ministry of Earth Sciences, Goa, India vide Project No. NCAOR/MoES/9/11/NU/2012 dated 09-05-2013. We thank Dr. Peter Downes and two anonymous reviewers of the journal for critical review of the manuscript. We sincerely thank Prof. T.C. Devaraju for introducing us to the field area, to Dr. Mrs. Karuna M. Deslunulth for linguistic editing of earlier draft of MS and to Prof. M. Santosh for providing us an opportunity to present this paper in IAGR, Trivandrum. We dedicate this paper with affection to our guru Prof. L.G. Gwalani, Perth, Australia.</t>
  </si>
  <si>
    <t>10.1016/j.jseaes.2017.11.031</t>
  </si>
  <si>
    <t>WOS:000430031000020</t>
  </si>
  <si>
    <t>Battandier, M; Bonal, L; Quirico, E; Beck, P; Engrand, C; Duprat, J; Dartois, E</t>
  </si>
  <si>
    <t>Battandier, M.; Bonal, L.; Quirico, E.; Beck, P.; Engrand, C.; Duprat, J.; Dartois, E.</t>
  </si>
  <si>
    <t>Characterization of the organic matter and hydration state of Antarctic micrometeorites: A reservoir distinct from carbonaceous chondrites</t>
  </si>
  <si>
    <t>ICARUS</t>
  </si>
  <si>
    <t>OXYGEN ISOTOPIC COMPOSITIONS; COSMIC SPHERULES; ATMOSPHERIC ENTRY; RAMAN-SPECTROSCOPY; ION IRRADIATION; ACCRETION RATE; SOLAR-SYSTEM; TAGISH LAKE; MU-M; METEORITE</t>
  </si>
  <si>
    <t>This work presents a multi-analysis on 35 Antarctic micrometeorites (AMMs) (Concordia collection 2006) by coupled Raman and Infrared (IR) spectroscopies, in comparison with samples from type 1 and 2 carbonaceous CM, CR and Cl chondrites. We identified the Raman G- and D-bands revealing the presence of polyaromatic carbonaceous material on raw particles in a subset of 16 particles. Thirteen AMMs (10 Fg+1 Fg-Sc+1 Sc) were selected from this first subset, and analyzed by infrared microscopy along with 4 AMMs (2 Fg+1 Fg-Sc+1 Sc) from a previous study by Dobrica et al. (2011). These analyses showed that scoriaceous, fine-grained scoriaceous and part of the fine-grained AMMs are not hydrated, with a weak abundance of carbonaceous matter. According to the Raman criterion defined by Dobrica et al. (2011), hydrous AMMs do not show structural modifications induced by heating through the atmospheric entry. In several hydrous AMMs, the carbonaceous matter abundance is found larger than in Orgueil (CI), Murchison (CM) and QUE 99177 (CR) chondrites and their mineral content exhibit differences reflected by the structure of the silicate 10 mu m band. These observations suggest that part of the AMMs originates from one, or several, distinct parent bodies with respect to primitive carbonaceous chondrites. Each hydrous Fg-AMMS displays higher CH2/CH3 ratio and a smaller carbonyl abundance than chondrites, which point toward a mild processing during atmospheric entry, possibly oxidation, which did not modify the carbon backbone and therefore do not induce differences in Raman spectroscopy. (C) 2018 Elsevier Inc. All rights reserved.</t>
  </si>
  <si>
    <t>[Battandier, M.; Bonal, L.; Quirico, E.; Beck, P.] Univ Grenoble Alpes, CNRS, Inst Planetol &amp; Astrophys Grenoble, F-38000 Grenoble, France; [Engrand, C.; Duprat, J.] Univ Paris Saclay, Univ Paris Sud, CNRS, CSNSM,IN2P3, F-91405 Orsay, France; [Dartois, E.] Univ Paris Saclay, Univ Paris Sud, CNRS, IAS,INSU, F-91405 Orsay, France</t>
  </si>
  <si>
    <t>Institut de Planetologie et d'Astrophysique de Grenoble (IPAG); Centre National de la Recherche Scientifique (CNRS); Communaute Universite Grenoble Alpes; Universite Grenoble Alpes (UGA); Universite Paris Saclay; Centre National de la Recherche Scientifique (CNRS); CNRS - National Institute of Nuclear and Particle Physics (IN2P3); Universite Paris Cite; Universite Paris Saclay; Universite Paris Cite; Centre National de la Recherche Scientifique (CNRS); CNRS - National Institute for Earth Sciences &amp; Astronomy (INSU)</t>
  </si>
  <si>
    <t>Battandier, M (corresponding author), Univ Grenoble Alpes, CNRS, Inst Planetol &amp; Astrophys Grenoble, F-38000 Grenoble, France.</t>
  </si>
  <si>
    <t>manon.battandier@univ-grenoble-alpes.fr</t>
  </si>
  <si>
    <t>Beck, Pierre/F-3149-2011</t>
  </si>
  <si>
    <t>Dartois, Emmanuel/0000-0003-1197-7143; BONAL, Lydie/0000-0002-0655-4034</t>
  </si>
  <si>
    <t>French spatial agency CNES (Centre National d'Etudes Spatiales); French Planetary Sciences national program PNP (Programme National de Planetologie) fundings; DIM-ACAV (Region Ile de France); LABEX P2IO; ANR [ANR2011-BS56-026-01]; Institut National des Sciences de l'Univers (INSU-France)</t>
  </si>
  <si>
    <t>French spatial agency CNES (Centre National d'Etudes Spatiales)(Centre National D'etudes Spatiales); French Planetary Sciences national program PNP (Programme National de Planetologie) fundings; DIM-ACAV (Region Ile de France)(Region Ile-de-France); LABEX P2IO; ANR(Agence Nationale de la Recherche (ANR)); Institut National des Sciences de l'Univers (INSU-France)</t>
  </si>
  <si>
    <t>This study was made possible through the logistic support of the French polar institute (IPEV) for the collect of AMMs in Antarctica. This research was supported by grants from the French spatial agency CNES (Centre National d'Etudes Spatiales) and French Planetary Sciences national program PNP (Programme National de Planetologie) fundings. The micrometeorite curation facility is supported by grants from DIM-ACAV (Region Ile de France), LABEX P2IO and ANR (ANR2011-BS56-026-01). The Raman facility in Lyon is supported by the Institut National des Sciences de l'Univers (INSU-France) and we thank the team there for warmly welcoming us each time. We also want to thank Elena Dobrica who selected and acquired SEM images of the present AMMs during her PhD work. We are also grateful to two anonymous reviewers for providing very relevant comments that greatly improved the quality of the manuscript.</t>
  </si>
  <si>
    <t>ACADEMIC PRESS INC ELSEVIER SCIENCE</t>
  </si>
  <si>
    <t>SAN DIEGO</t>
  </si>
  <si>
    <t>525 B ST, STE 1900, SAN DIEGO, CA 92101-4495 USA</t>
  </si>
  <si>
    <t>0019-1035</t>
  </si>
  <si>
    <t>1090-2643</t>
  </si>
  <si>
    <t>Icarus</t>
  </si>
  <si>
    <t>10.1016/j.icarus.2018.02.002</t>
  </si>
  <si>
    <t>GB5DG</t>
  </si>
  <si>
    <t>WOS:000429082000006</t>
  </si>
  <si>
    <t>Xie, D; Mu, HY; Tang, TP; Wang, XS; Wei, W; Jin, J; Wang, XG; Jin, QZ</t>
  </si>
  <si>
    <t>Xie, Dan; Mu, Hongyan; Tang, Tianpei; Wang, Xiaosan; Wei, Wei; Jin, Jun; Wang, Xingguo; Jin, Qingzhe</t>
  </si>
  <si>
    <t>Production of three types of krill oils from krill meal by a three-step solvent extraction procedure</t>
  </si>
  <si>
    <t>FOOD CHEMISTRY</t>
  </si>
  <si>
    <t>Krill oil; Three-step solvent extraction; Phospholipids; Fatty acids; Minor components; Antioxidant capacity</t>
  </si>
  <si>
    <t>POLYUNSATURATED FATTY-ACIDS; ANTIOXIDANT ACTIVITY; ANTARCTIC KRILL; SUPPLEMENTATION; LIPIDS; PHOSPHOLIPIDS; CHOLESTEROL; SUPERBA; ETHANOL</t>
  </si>
  <si>
    <t>In this study, a three-step extraction method (separately use acetone, hexane, and ethanol as extraction solvent in each step) was conducted to selectively extract three types of krill oils with different compositions. The lipid yields were 5.08% in step 1, 4.80% in step 2, and 9.11% in step 3, with a total of 18.99%. The krill oil extracted with acetone in step 1 (A-KO) contained the lowest contents of phospholipids (PL) (2.32%) and n-3 polyunsaturated fatty acids (PUFA) (16.63%), but the highest levels of minor components (505.00 mg/kg of astaxanthin, 29.39 mg/100 g of tocopherols, 34.32 mg/100 g of vitamin A and 27.95 mg/g of cholesterol). By contrast, despite having traces of minor components, the krill oil extracted using ethanol in step 3 (E-KO) was the most abundant in PL (59.52%) and n-3 PUFA (41.74%). The krill oil extracted using hexane in step 2 (H-KO) expressed medium contents of all the testing indices. The oils showed significant differences in the antioxidant capacity (E-KO &gt; H-KO &gt; A-KO) which exhibited positive correlation with the PL content. These results could be used for further development of a wide range of krill oil products with tailor-made functions.</t>
  </si>
  <si>
    <t>[Xie, Dan; Tang, Tianpei; Wang, Xiaosan; Wei, Wei; Jin, Jun; Wang, Xingguo; Jin, Qingzhe] Jiangnan Univ, Collaborat Innovat Ctr Food Safety &amp; Qual Control, Natl Engn Res Ctr Funct Food, Sch Food Sci &amp; Technol, 1800 Lihu Ave, Wuxi 214122, Jiangsu, Peoples R China; [Xie, Dan] Jiangnan Univ, Zhonghai Ocean Wuxi Marine Equipment Engn Co Ltd, Natl Univ Sci Pk,100 Jinxi Rd, Wuxi 214125, Jiangsu, Peoples R China; [Mu, Hongyan] Qingdao Agr Univ, Coll Food Sci &amp; Engn, 700 Changcheng Rd, Qingdao 266109, Shandong, Peoples R China</t>
  </si>
  <si>
    <t>Jiangnan University; Jiangnan University; Qingdao Agricultural University</t>
  </si>
  <si>
    <t>Jin, QZ (corresponding author), Jiangnan Univ, Collaborat Innovat Ctr Food Safety &amp; Qual Control, Natl Engn Res Ctr Funct Food, Sch Food Sci &amp; Technol, 1800 Lihu Ave, Wuxi 214122, Jiangsu, Peoples R China.</t>
  </si>
  <si>
    <t>jqzwx12@163.com</t>
  </si>
  <si>
    <t>Jin, Jun/U-4130-2019; Wei, Wei/GQG-9683-2022; Chen, Xiaojia/JYV-2395-2024</t>
  </si>
  <si>
    <t>Jin, Jun/0000-0002-6186-6882; Wei, Wei/0000-0001-7836-7812; Jin, Qingzhe/0000-0003-2309-6239</t>
  </si>
  <si>
    <t>Natural Science Foundation of Jiangsu Province - China [BK20150137]; National Natural Science Foundation of China [31701559]; Fundamental Research Funds for the Central Universities - China [JUSRP11734]</t>
  </si>
  <si>
    <t>Natural Science Foundation of Jiangsu Province - China(Natural Science Foundation of Jiangsu Province); National Natural Science Foundation of China(National Natural Science Foundation of China (NSFC)); Fundamental Research Funds for the Central Universities - China(Fundamental Research Funds for the Central Universities)</t>
  </si>
  <si>
    <t>The research was financially supported by the Natural Science Foundation of Jiangsu Province - China (Grant No: BK20150137), the National Natural Science Foundation of China (Grant No: 31701559), and the Fundamental Research Funds for the Central Universities - China (Grants No: JUSRP11734).</t>
  </si>
  <si>
    <t>0308-8146</t>
  </si>
  <si>
    <t>1873-7072</t>
  </si>
  <si>
    <t>FOOD CHEM</t>
  </si>
  <si>
    <t>Food Chem.</t>
  </si>
  <si>
    <t>10.1016/j.foodchem.2017.12.068</t>
  </si>
  <si>
    <t>Chemistry, Applied; Food Science &amp; Technology; Nutrition &amp; Dietetics</t>
  </si>
  <si>
    <t>Chemistry; Food Science &amp; Technology; Nutrition &amp; Dietetics</t>
  </si>
  <si>
    <t>FS2XV</t>
  </si>
  <si>
    <t>WOS:000419643600035</t>
  </si>
  <si>
    <t>Cleary, AC; Durbin, EG; Casas, MC</t>
  </si>
  <si>
    <t>Cleary, Alison C.; Durbin, Edward G.; Casas, Maria C.</t>
  </si>
  <si>
    <t>Feeding by Antarctic krill Euphausia superba in the West Antarctic Peninsula: differences between fjords and open waters</t>
  </si>
  <si>
    <t>Euphausia superba; Feeding; Stomach contents; 18S rDNA; West Antarctic Peninsula; Fjords; Chaetoceros spp.</t>
  </si>
  <si>
    <t>RIBOSOMAL-RNA GENE; SOUTHERN-OCEAN; FOOD-WEB; DISTRIBUTION PATTERNS; MOLECULAR APPROACH; STABLE-ISOTOPES; WEDDELL SEA; POLAR FRONT; PHYTOPLANKTON; DIET</t>
  </si>
  <si>
    <t>Antarctic krill Euphausia superba are key components of Antarctic ecosystems, serving as the major prey item for most of the megafauna in the region. Coastal fjords along the West Antarctic Peninsula have been identified as biological hotspots, areas in which high biomasses of both E. superba and their megafauna predators are consistently observed. We investigated feeding by E. superba in fjords and adjacent open waters of the West Antarctic Peninsula. Next generation sequencing of stomach contents from 174 krill indicated a diverse diet, with broad patterns consistent with previous understanding of E. superba feeding. Diatom sequence reads were frequent and abundant, indicating a largely diatom-based diet, while the occasional presence of high abundances of copepod sequence reads suggests carnivory supplemented the diet. Striking differences were observed between the stomach contents of krill collected in fjords and those of krill collected in adjacent open waters. Chaetoceros spp. diatoms made up 71 % of the stomach contents sequences of krill collected in fjords, but less than 10% of the stomach contents sequences of krill collected in open waters. These differences could not be explained by differences in the surface water phytoplankton communities, as in both open waters and fjords Chaetoceros spp. made up less than 10% of the surface water sequence read assemblages. These feeding differences highlight the importance of taking into account regional differences in krill feeding when considering E. superba's roles in Southern Ocean ecosystems, and suggest krill in fjords may make use of vertical structure in phytoplankton assemblages.</t>
  </si>
  <si>
    <t>[Cleary, Alison C.; Durbin, Edward G.; Casas, Maria C.] Univ Rhode Isl, Grad Sch Oceanog, Narragansett, RI 02882 USA; [Cleary, Alison C.] Norwegian Polar Res Inst, N-9296 Tromso, Norway</t>
  </si>
  <si>
    <t>University of Rhode Island; Norwegian Polar Institute</t>
  </si>
  <si>
    <t>Cleary, AC (corresponding author), Univ Rhode Isl, Grad Sch Oceanog, Narragansett, RI 02882 USA.;Cleary, AC (corresponding author), Norwegian Polar Res Inst, N-9296 Tromso, Norway.</t>
  </si>
  <si>
    <t>alison.cleary@npolar.no</t>
  </si>
  <si>
    <t>NSF Office of Polar Programs [ANT-1142107]; NSF EPSCoR [EPS-1004057]</t>
  </si>
  <si>
    <t>NSF Office of Polar Programs(National Science Foundation (NSF)); NSF EPSCoR(National Science Foundation (NSF)NSF - Office of the Director (OD)NSF - Office of Integrative Activities (OIA))</t>
  </si>
  <si>
    <t>We thank the science party and the vessel command and crew from NBP1410. Special thanks to Iain McCoy, Michelle Denis, Dave Gleeson, and Jessica Perreault for assistance with krill and water collections, and to Joe Warren for assistance with acoustic data collection. Thanks also to Samuel Urmy for assistance with acoustic data processing. This research was part of the Seasonal Trophic Roles of Euphausia superba (STRES) project funded under NSF Office of Polar Programs grant #ANT-1142107. This work was partially conducted at the Rhode Island Genomics and Sequencing Centre, which is supported in part by NSF EPSCoR grant #EPS-1004057. This work was also partially conducted using computational resources at the Center for Computation and Visualization, Brown University. We thank Helen Kershaw from Brown for her assistance scripting the nested OTU picking. The manuscript was improved by comments from 4 anonymous reviewers, whom we thank.</t>
  </si>
  <si>
    <t>MAY 14</t>
  </si>
  <si>
    <t>10.3354/meps12568</t>
  </si>
  <si>
    <t>GG2VV</t>
  </si>
  <si>
    <t>WOS:000432551900004</t>
  </si>
  <si>
    <t>Babian, S; Grieger, J; Cubasch, U</t>
  </si>
  <si>
    <t>Babian, Stella; Grieger, Jens; Cubasch, Ulrich</t>
  </si>
  <si>
    <t>A new index for the wintertime southern hemispheric split jet</t>
  </si>
  <si>
    <t>EMPIRICAL ORTHOGONAL FUNCTIONS; AMERICAN MODES; ANNULAR MODES; VARIABILITY; BLOCKING; CIRCULATION; OSCILLATION; ANOMALIES; RAINFALL; TROPICS</t>
  </si>
  <si>
    <t>One of the most prominent asymmetric features of the southern hemispheric (SH) circulation is the split jet over Australia and New Zealand in austral winter. Previous studies have developed indices to detect the degree to which the upper-level midlatitude westerlies are split and investigated the relationship between split events and the low-frequency teleconnection patterns, viz. the Antarctic Oscillation (AAO) and the El Nino-Southern Oscillation (ENSO). As the results were inconsistent, the relationship between the wintertime SH split jet and the climate variability indices remains unresolved and is the focus of this study. Until now, all split indices' definitions were based on the specific region where the split jet is recognizable. We consider the split jet as hemispheric rather than a regional feature and propose a new, hemispherical index that is based on the principal components (PCs) of the zonal wind field for the SH winter. A linear combination of PC2 and PC3 of the anomalous monthly (JAS) zonal wind is used to identify split-jet conditions. In a subsequent correlation analysis, our newly defined PC-based split index (PSI) indicates a strong coherence with the AAO. However, this significant relationship is unstable over the analysis period; during the 1980s, the AAO amplitude was higher than the PSI, and vice versa in the 1990s. It is probable that the PSI, as well as the AAO, underlie low-frequency variability on the decadal to centennial timescales, but the analyzed period is too short to draw these conclusions. A regression analysis with the Multivariate ENSO Index points to a nonlinear relationship between PSI and ENSO; i.e., split jets occur during both strong positive and negative phases of ENSO but rarely under normal conditions. The Pacific South American (PSA) patterns, defined as the second and third modes of the geopotential height variability at 500 hPa, correlate poorly with the PSI (r(PSA-1) approximate to 0.2 and r(PSA-2) = 0.06), but significantly with the individual components (PCs) of the PSI, revealing an indirect influence on the SH split-jet variability. Our study suggests that the wintertime SH split jet is strongly associated with the AAO, while ENSO is to a lesser extent connected to the PSI. We conclude that a positive AAO phase, as well as both flavors of ENSO and the PSA-1 pattern produce favorable conditions for a SH split event.</t>
  </si>
  <si>
    <t>[Babian, Stella; Grieger, Jens; Cubasch, Ulrich] Free Univ Berlin, Meteorol Inst, Carl Heinrich Becker Weg 6-10, D-12165 Berlin, Germany</t>
  </si>
  <si>
    <t>Free University of Berlin</t>
  </si>
  <si>
    <t>Babian, S (corresponding author), Free Univ Berlin, Meteorol Inst, Carl Heinrich Becker Weg 6-10, D-12165 Berlin, Germany.</t>
  </si>
  <si>
    <t>stella.babian@met.fu-berlin.de</t>
  </si>
  <si>
    <t>Grieger, Jens/A-1107-2014</t>
  </si>
  <si>
    <t>Grieger, Jens/0000-0003-0985-8479; Cubasch, Ulrich/0000-0001-9628-4666</t>
  </si>
  <si>
    <t>10.5194/acp-18-6749-2018</t>
  </si>
  <si>
    <t>GF8FQ</t>
  </si>
  <si>
    <t>WOS:000432204900005</t>
  </si>
  <si>
    <t>Kuhn, T; Zizka, VMA; Münster, J; Klapper, R; Mattiucci, S; Kochmann, J; Klimpel, S</t>
  </si>
  <si>
    <t>Kuhn, Thomas; Zizka, Vera M. A.; Muenster, Julian; Klapper, Regina; Mattiucci, Simonetta; Kochmann, Judith; Klimpel, Sven</t>
  </si>
  <si>
    <t>Lighten up the dark: metazoan parasites as indicators for the ecology of Antarctic crocodile icefish (Channichthyidae) from the north-west Antarctic Peninsula</t>
  </si>
  <si>
    <t>Channichthyidae; Anisakid nematodes; Contracaecum; Pseudoterranova; Champsocephalus gunnari; Chaenodraco wilsoni; Neopagetopsis ionah; Pagetopsis macropterus; Pseudochaenichthys georgianus; Antarctica</t>
  </si>
  <si>
    <t>SOUTH-SHETLAND ISLANDS; CHAMPSOCEPHALUS-GUNNARI; CONTRACAECUM-RADIATUM; LIFE-CYCLE; NEMATODA; FISHES; GEORGIA; MITOCHONDRIAL; ASCARIDOIDEA; SPECIFICITY</t>
  </si>
  <si>
    <t>Due to its remote and isolated location, Antarctica is home to a unique diversity of species. The harsh conditions have shaped a primarily highly adapted endemic fauna. This includes the notothenioid family Channichthyidae. Their exceptional physiological adaptations have made this family of icefish the focus of many studies. However, studies on their ecology, especially on their parasite fauna, are comparatively rare. Parasites, directly linked to the food chain, can function as biological indicators and provide valuable information on host ecology (e.g., trophic interactions) even in remote habitats with limited accessibility, such as the Southern Ocean. In the present study, channichthyid fish (Champsocephalus gunnari: n = 25, Chaenodraco wilsoni: n = 33, Neopagetopsis ionah: n = 3, Pagetopsis macropterus: n = 4, Pseudochaenichthys georgianus: n = 15) were collected off South Shetland Island, Elephant Island, and the tip of the Antarctic Peninsula (CCAML statistical subarea 48.1). The parasite fauna consisted of 14 genera and 15 species, belonging to the six taxonomic groups including Digenea (four species), Nematoda (four), Cestoda (two), Acanthocephala (one), Hirudinea (three), and Copepoda (one). The stomach contents were less diverse with only Crustacea (Euphausiacea, Amphipoda) recovered from all examined fishes. Overall, 15 new parasite-host records could be established, and possibly a undescribed genotype or even species might exist among the nematodes.</t>
  </si>
  <si>
    <t>[Kuhn, Thomas; Muenster, Julian; Klapper, Regina; Kochmann, Judith; Klimpel, Sven] Goethe Univ Frankfurt, Senckenberg Biodivers &amp; Climate Res Ctr, Senckenberg Gesell Nat Forsch, Inst Ecol Evolut &amp; Divers, Frankfurt, Germany; [Zizka, Vera M. A.] Univ Duisburg Essen, Fac Biol, Aquat Ecosyst Res, Essen, Germany; [Mattiucci, Simonetta] Univ Roma La Sapienza, Dept Publ Hlth &amp; Infect Dis, Sect Parasitol, Rome, Italy</t>
  </si>
  <si>
    <t>Goethe University Frankfurt; Senckenberg Gesellschaft fur Naturforschung (SGN); Senckenberg Biodiversitat &amp; Klima- Forschungszentrum (BiK-F); University of Duisburg Essen; Sapienza University Rome</t>
  </si>
  <si>
    <t>Münster, J (corresponding author), Goethe Univ Frankfurt, Senckenberg Biodivers &amp; Climate Res Ctr, Senckenberg Gesell Nat Forsch, Inst Ecol Evolut &amp; Divers, Frankfurt, Germany.</t>
  </si>
  <si>
    <t>muenster@em.uni-frankfurt.de</t>
  </si>
  <si>
    <t>Mattiucci, Simonetta/K-5285-2018; Kochmann, Judith/AAG-3574-2021; Zizka, Vera/HNI-7151-2023</t>
  </si>
  <si>
    <t>Kochmann, Judith/0000-0001-6312-7859</t>
  </si>
  <si>
    <t>MAY 11</t>
  </si>
  <si>
    <t>e4638</t>
  </si>
  <si>
    <t>10.7717/peerj.4638</t>
  </si>
  <si>
    <t>GF5OV</t>
  </si>
  <si>
    <t>WOS:000432018300002</t>
  </si>
  <si>
    <t>Van De Vijver, B; Kociolek, JP</t>
  </si>
  <si>
    <t>Van De Vijver, Bart; Kociolek, J. Patrick</t>
  </si>
  <si>
    <t>A new species of Nagumoea (Bacillariophyta) from Antarctica, and a further consideration of the systematic position of the genus</t>
  </si>
  <si>
    <t>PHYTOTAXA</t>
  </si>
  <si>
    <t>Nagumoea; Maritime Antarctic Region; morphology; taxonomy; new species</t>
  </si>
  <si>
    <t>FRESH-WATER; SOUTH-AFRICA; DIATOMS; EVOLUTION; ISLANDS; GENERA; LAKES; SEA</t>
  </si>
  <si>
    <t>Nagumoea livingstonensis sp. nov., a new diatom species is described from a coastal pool on the Maritime Antarctic Livingston Island, South Shetland Islands, based on light and scanning electron microscopy observations. A morphological comparison is made with the two other known Nagumoea taxa. The new species can be separated by the clear hyaline line between the valve face and mantle areolae, differences in the structure of its a scalariform valvocopula and broader fibulae. The taxonomic position of the genus Nagumoea is discussed. A placement within the Rhopalodiales is doubtful based on the absence of clover-shaped areolae coverings in Nagumoea making the order of Bacillariales a more probable position.</t>
  </si>
  <si>
    <t>[Van De Vijver, Bart] Bot Garden Meise, Res Dept, Nieuwelaan 38, B-1860 Meise, Belgium; [Van De Vijver, Bart] Univ Antwerp, Dept Biol, ECOBE, Univ Pl 1, B-2610 Antwerp, Belgium; [Kociolek, J. Patrick] Univ Colorado, Museum Nat Hist, Boulder, CO 80309 USA; [Kociolek, J. Patrick] Univ Colorado, Dept Ecol &amp; Evolutionary Biol, Boulder, CO 80309 USA</t>
  </si>
  <si>
    <t>University of Antwerp; University of Colorado System; University of Colorado Boulder; University of Colorado System; University of Colorado Boulder</t>
  </si>
  <si>
    <t>Van De Vijver, B (corresponding author), Bot Garden Meise, Res Dept, Nieuwelaan 38, B-1860 Meise, Belgium.;Van De Vijver, B (corresponding author), Univ Antwerp, Dept Biol, ECOBE, Univ Pl 1, B-2610 Antwerp, Belgium.</t>
  </si>
  <si>
    <t>bart.vandevijver@plantentuinmeise.be; patrick.kociolek@colorado.edu</t>
  </si>
  <si>
    <t>MAGNOLIA PRESS</t>
  </si>
  <si>
    <t>AUCKLAND</t>
  </si>
  <si>
    <t>PO BOX 41383, AUCKLAND, ST LUKES 1030, NEW ZEALAND</t>
  </si>
  <si>
    <t>1179-3155</t>
  </si>
  <si>
    <t>1179-3163</t>
  </si>
  <si>
    <t>Phytotaxa</t>
  </si>
  <si>
    <t>10.11646/phytotaxa.349.2.5</t>
  </si>
  <si>
    <t>GF2VG</t>
  </si>
  <si>
    <t>WOS:000431797400005</t>
  </si>
  <si>
    <t>Ji, Q; Yang, TB; Dong, J; He, Y</t>
  </si>
  <si>
    <t>Ji, Qin; Yang, Tai-bao; Dong, Jun; He, Yi</t>
  </si>
  <si>
    <t>Glacier variations in response to climate change in the eastern Nyainqentanglha Range, Tibetan Plateau from 1999 to 2015</t>
  </si>
  <si>
    <t>Glacier retreat; climate change; eastern Nyainqentanglha Range; remote sensing</t>
  </si>
  <si>
    <t>NAM CO BASIN; MASS-BALANCE; ICE-AGE; INVENTORY; MOUNTAINS; SATELLITE; RETREAT; CHINA; RUNOFF; DEBRIS</t>
  </si>
  <si>
    <t>Changes in glaciers in response to climate change in the eastern Nyainqentanglha Range were studied using Landsat TM/ETM+/OLI. The entire mountain range contained approximately 6,426 glaciers, covering an area of 6508.03 +/- 252.02 km(2) in 1999. The glaciers shrank from 1999 to 2015 and the total ice cover was reduced by 1285.99 +/- 6.01 km(2), accounting for 19.76 +/- 3.78% of the glacierized area in 1999. The mean loss of glacier area was 1.24%.a(-1) during 1999-2015. The analysis of meteorological data showed a remarkable pattern in mean annual air temperature (especially after 1998), whereas the annual precipitation displayed a stable pattern from 1989 to 2011. The glacier shrinkage in the region can probably be attributed to the increase in air temperature. The largest glaciers in the area show a maximum elevation of about 5,200-5,400 m a.s.l. in 1990, 2013, and 2015. The altitude of glaciers varied from 4,000 m a.s.l. to 6,000 m a.s.l. and the majority of the glaciers were distributed between 4,800 m and 5,800 m. All glaciers, regardless of their orientation, have shrunk, but glaciers mainly south-facing retreated faster than those facing others directions.</t>
  </si>
  <si>
    <t>[Ji, Qin; Yang, Tai-bao] Lanzhou Univ, Coll Earth &amp; Environm Sci, Inst Glaciol &amp; Ecogeog, Lanzhou, Gansu, Peoples R China; [Dong, Jun] Lanzhou Univ, Coll Earth &amp; Environm Sci, Res Ctr Arid Area &amp; Desert, Lanzhou, Gansu, Peoples R China; [He, Yi] Lanzhou Jiaotong Univ, Fac Geomat, Lanzhou, Gansu, Peoples R China</t>
  </si>
  <si>
    <t>Lanzhou University; Lanzhou University; Lanzhou Jiaotong University</t>
  </si>
  <si>
    <t>Yang, TB (corresponding author), Lanzhou Univ, Coll Earth &amp; Environm Sci, Inst Glaciol &amp; Ecogeog, Lanzhou, Gansu, Peoples R China.</t>
  </si>
  <si>
    <t>yangtb@lzu.edu.cn</t>
  </si>
  <si>
    <t>National Science Foundation of China [41271024, 41411130204, J1210065]; Fundamental Research Funds for the Central Universities [lzujbky-2016-266]</t>
  </si>
  <si>
    <t>National Science Foundation of China(National Natural Science Foundation of China (NSFC)); Fundamental Research Funds for the Central Universities(Fundamental Research Funds for the Central Universities)</t>
  </si>
  <si>
    <t>This research was funded by the National Science Foundation of China (Grants Nos. 41271024, 41411130204, and J1210065) and the Fundamental Research Funds for the Central Universities (lzujbky-2016-266).</t>
  </si>
  <si>
    <t>MAY 10</t>
  </si>
  <si>
    <t>e1435844</t>
  </si>
  <si>
    <t>10.1080/15230430.2018.1435844</t>
  </si>
  <si>
    <t>GN1EP</t>
  </si>
  <si>
    <t>WOS:000438728700001</t>
  </si>
  <si>
    <t>Han, XN; Liu, DC</t>
  </si>
  <si>
    <t>Han, Xiangning; Liu, Daicheng</t>
  </si>
  <si>
    <t>Di(2-ethylhexyl) adipate (DEHA) detection in Antarctic krill (Euphasia superba Dana)</t>
  </si>
  <si>
    <t>toxicity; high-performance thin-layer chromatography (HPTLC); ecotoxins; plastic particles; marine pollution; krill oil</t>
  </si>
  <si>
    <t>DIOCTYL ADIPATE; PLASTICIZER RESIDUES; EXTRACTION; LIVER; DOA; CHROMATOGRAPHY; MIGRATION; HISTOLOGY; RATS</t>
  </si>
  <si>
    <t>In this reported study, a novel high-performance thin-layer chromatography (HPTLC) method was developed for the detection and quantification of the toxic substance di(2-ethylhexyl) adipate (DEHA) in Antarctic krill. This procedure was based on the extraction of DEHA by ultrasonic solvent extraction with anhydrous ethanol, silica-gel column chromatographic separation, HPTLC detection and quantification using petroleum ether/ethyl acetate/acetone/glacial acetic acid (29:1:0.5:2d*, v/v/v/v) as the developing solvent and bromine thymol blue solution as the chromogenic agent. The content of DEHA in freeze-dried Antarctic krill was found to be ca. 0.63 +/- 0.05 mg/g. The structure of DEHA in the Antarctic krill was subsequently determined by gas chromatography-mass spectrometry (GC-MS) and infrared chromatography, which verified the presence of this compound in the krill. The HPTLC method exhibited excellent accuracy, with a recovery of 97.1-101.6% and good precision with a relative standard deviation of 2.47-4.90%. The DEHA in Antarctic krill oil was extracted by n-hexane and detected using the same method described above, which verified that DEHA was also present in krill oil at a concentration of ca. 2.16 +/- 0.08 mg/g. The presence of DEHA in kill oil is very concerning because of its demonstrated harmful ecotoxicity, and since Antarctic krill is the key link in the food chain in the Antarctic coastal marine ecosystem. The adverse effects of DEHA on Antarctic krill and the source of DEHA will be explored in future research.</t>
  </si>
  <si>
    <t>[Han, Xiangning; Liu, Daicheng] Shandong Normal Univ, Coll Life Sci, Key Lab Anim Resistance, 88 East Wenhua Rd, Jinan 250014, Shandong, Peoples R China</t>
  </si>
  <si>
    <t>Shandong Normal University</t>
  </si>
  <si>
    <t>Liu, DC (corresponding author), Shandong Normal Univ, Coll Life Sci, Key Lab Anim Resistance, 88 East Wenhua Rd, Jinan 250014, Shandong, Peoples R China.</t>
  </si>
  <si>
    <t>liudch@sdnu.edu.cn</t>
  </si>
  <si>
    <t>Shandong Key R &amp; D Plan (key scientific and technological project) [gg10002088]</t>
  </si>
  <si>
    <t>Shandong Key R &amp; D Plan (key scientific and technological project)</t>
  </si>
  <si>
    <t>This study was funded by the Shandong Key R &amp; D Plan (key scientific and technological project; grant no. gg10002088).</t>
  </si>
  <si>
    <t>MAY 9</t>
  </si>
  <si>
    <t>10.1080/17518369.2018.1457395</t>
  </si>
  <si>
    <t>GF2VP</t>
  </si>
  <si>
    <t>WOS:000431798400001</t>
  </si>
  <si>
    <t>Auvinet, J; Graça, P; Belkadi, L; Petit, L; Bonnivard, E; Dettaï, A; Detrich, WH; Ozouf-Costaz, C; Higuet, D</t>
  </si>
  <si>
    <t>Auvinet, J.; Graca, P.; Belkadi, L.; Petit, L.; Bonnivard, E.; Dettai, A.; Detrich, W. H., III; Ozouf-Costaz, C.; Higuet, D.</t>
  </si>
  <si>
    <t>Mobilization of retrotransposons as a cause of chromosomal diversification and rapid speciation: the case for the Antarctic teleost genus Trematomus</t>
  </si>
  <si>
    <t>BMC GENOMICS</t>
  </si>
  <si>
    <t>Trematomus; Chomosomal rearrangements; Speciation; Nototheniidae; Retrotransposons; FISH; DIRS1 insertion hot spots</t>
  </si>
  <si>
    <t>TRANSPOSABLE ELEMENTS; GENOME-SIZE; NOTOTHENIOID FISHES; CICHLID FISH; DNA; EVOLUTION; DIVERSITY; SEQUENCE; REARRANGEMENTS; DYNAMICS</t>
  </si>
  <si>
    <t>Background: The importance of transposable elements (TEs) in the genomic remodeling and chromosomal rearrangements that accompany lineage diversification in vertebrates remains the subject of debate. The major impediment to understanding the roles of TEs in genome evolution is the lack of comparative and integrative analyses on complete taxonomic groups. To help overcome this problem, we have focused on the Antarctic teleost genus Trematomus (Notothenioidei: Nototheniidae), as they experienced rapid speciation accompanied by dramatic chromosomal diversity. Here we apply a multi-strategy approach to determine the role of large-scale TE mobilization in chromosomal diversification within Trematomus species. Results: Despite the extensive chromosomal rearrangements observed in Trematomus species, our measurements revealed strong interspecific genome size conservation. After identifying the DIRS1, Gypsy and Copia retrotransposon superfamilies in genomes of 13 nototheniid species, we evaluated their diversity, abundance (copy numbers) and chromosomal distribution. Four families of DIRS1, nine of Gypsy, and two of Copia were highly conserved in these genomes; DIRS1 being the most represented within Trematomus genomes. Fluorescence in situ hybridization mapping showed preferential accumulation of DIRS1 in centromeric and pericentromeric regions, both in Trematomus and other nototheniid species, but not in outgroups: species of the Sub-Antarctic notothenioid families Bovichtidae and Eleginopsidae, and the non-notothenioid family Percidae. Conclusions: In contrast to the outgroups, High-Antarctic notothenioid species, including the genus Trematomus, were subjected to strong environmental stresses involving repeated bouts of warming above the freezing point of seawater and cooling to sub-zero temperatures on the Antarctic continental shelf during the past 40 millions of years (My). As a consequence of these repetitive environmental changes, including thermal shocks; a breakdown of epigenetic regulation that normally represses TE activity may have led to sequential waves of TE activation within their genomes. The predominance of DIRS1 in Trematomus species, their transposition mechanism, and their strategic location in hot spots of insertion on chromosomes are likely to have facilitated nonhomologous recombination, thereby increasing genomic rearrangements. The resulting centric and tandem fusions and fissions would favor the rapid lineage diversification, characteristic of the nototheniid adaptive radiation.</t>
  </si>
  <si>
    <t>[Auvinet, J.; Graca, P.; Bonnivard, E.; Ozouf-Costaz, C.; Higuet, D.] Univ Antilles, Sorbonne Univ, CNRS, IBPS,Lab Evolut Paris Seine, F-75005 Paris, France; [Petit, L.] Sorbonne Univ, Inst Biol Paris Seine BDPS IBPS, CNRS, Plateforme Imagerie &amp; Cytometrie Flux, F-75005 Paris, France; [Auvinet, J.; Dettai, A.] Sorbonne Univ, CNRS, Museum Natl Hist Nat, Inst Systemat Evolut Biodiversite ISYEB,EPHE, 57 Rue Cuvier, F-75005 Paris, France; [Belkadi, L.] Inst Pasteur, UMR CNRS 3691, Lab Signalisat &amp; Pathogenese, Batiment DARRE,25-28 Rue Dr Roux, F-75015 Paris, France; [Detrich, W. H., III] Northeastern Univ, Ctr Marine Sci, Dept Marine &amp; Environm Sci, Nahant, MA 01908 USA</t>
  </si>
  <si>
    <t>Centre National de la Recherche Scientifique (CNRS); Sorbonne Universite; Sorbonne Universite; Centre National de la Recherche Scientifique (CNRS); Centre National de la Recherche Scientifique (CNRS); Sorbonne Universite; Universite PSL; Ecole Pratique des Hautes Etudes (EPHE); Museum National d'Histoire Naturelle (MNHN); Pasteur Network; Universite Paris Cite; Institut Pasteur Paris; Northeastern University</t>
  </si>
  <si>
    <t>Auvinet, J (corresponding author), Univ Antilles, Sorbonne Univ, CNRS, IBPS,Lab Evolut Paris Seine, F-75005 Paris, France.;Auvinet, J (corresponding author), Sorbonne Univ, CNRS, Museum Natl Hist Nat, Inst Systemat Evolut Biodiversite ISYEB,EPHE, 57 Rue Cuvier, F-75005 Paris, France.</t>
  </si>
  <si>
    <t>juliette.auvinet@etu.sorbonne-universite.fr</t>
  </si>
  <si>
    <t>Dettai, Agnes/Q-6743-2019; Auvinet, Juliette/AAC-9974-2019</t>
  </si>
  <si>
    <t>PETIT, Laurence/0000-0002-2475-9367</t>
  </si>
  <si>
    <t>Institut Polaire francais Paul-Emile Victor (IPEV); U.S. National Science Foundation (NSF) (program Icthyologie cotiere en Terre Adelie (ICOTA)); U.S. National Science Foundation (NSF) (program Ressources Ecologiques et Valorisation par un Observatoire a Long terme en Terre Adelie (REVOLTA)); Collaborative East Antarctic Marine Census for the Census of Antarctic Marine Life (CAML-CEAMARC, IPY project) [53]; National Science Foundation [OPP 01-32032]; French National Research Agency ANR; Ministry of Agriculture and Fisheries; Universite Pierre et Marie Curie (UPMC); Centre National de la Recherche Scientifique (CNRS); Museum National d'Histoire Naturelle (MNHN); Australian Antarctic Division (AAD); U.S. National Science Foundation (NSF) [PLR-1444167]</t>
  </si>
  <si>
    <t>Institut Polaire francais Paul-Emile Victor (IPEV); U.S. National Science Foundation (NSF) (program Icthyologie cotiere en Terre Adelie (ICOTA))(National Science Foundation (NSF)); U.S. National Science Foundation (NSF) (program Ressources Ecologiques et Valorisation par un Observatoire a Long terme en Terre Adelie (REVOLTA))(National Science Foundation (NSF)); Collaborative East Antarctic Marine Census for the Census of Antarctic Marine Life (CAML-CEAMARC, IPY project); National Science Foundation(National Science Foundation (NSF)); French National Research Agency ANR(Agence Nationale de la Recherche (ANR)Norwegian Agency for Development Cooperation - NORAD); Ministry of Agriculture and Fisheries; Universite Pierre et Marie Curie (UPMC); Centre National de la Recherche Scientifique (CNRS)(Centre National de la Recherche Scientifique (CNRS)); Museum National d'Histoire Naturelle (MNHN); Australian Antarctic Division (AAD); U.S. National Science Foundation (NSF)(National Science Foundation (NSF))</t>
  </si>
  <si>
    <t>This work, chromosome collection and preparation received financial support from the Institut Polaire francais Paul-Emile Victor (IPEV) and the U.S. National Science Foundation (NSF) (programs Icthyologie cotiere en Terre Adelie (ICOTA 1996-2008) and Ressources Ecologiques et Valorisation par un Observatoire a Long terme en Terre Adelie (REVOLTA 2010-2014)); of Collaborative East Antarctic Marine Census for the Census of Antarctic Marine Life (CAML-CEAMARC 2007-2008, IPY project no. 53) cruise on board the RV Aurora Australis; of International Collaborative Expedition to collect and study Fish Indigenous to Sub-antarctic Habitats, Atlantic sector of the Southern Ocean (ICEFISH 2004), on board the R.V. Nathaniel Palmer (granted by National Science Foundation grant OPP 01-32032), of POissons de KERguelen, shelf of Kerguelen-Heard islands (POKER 2006, 2010, 2013) on board the Austral trawler (supported by the French National Research Agency ANR, and Ministry of Agriculture and Fisheries). The Universite Pierre et Marie Curie (UPMC), the Centre National de la Recherche Scientifique (CNRS), the Museum National d'Histoire Naturelle (MNHN) and the Australian Antarctic Division (AAD) provided financial supports. HWD was also supported by the U.S. National Science Foundation (NSF) grant PLR-1444167. This is contribution 365 from the Marine Science Center at Northeastern University.</t>
  </si>
  <si>
    <t>BMC</t>
  </si>
  <si>
    <t>CAMPUS, 4 CRINAN ST, LONDON N1 9XW, ENGLAND</t>
  </si>
  <si>
    <t>1471-2164</t>
  </si>
  <si>
    <t>BMC Genomics</t>
  </si>
  <si>
    <t>10.1186/s12864-018-4714-x</t>
  </si>
  <si>
    <t>Biotechnology &amp; Applied Microbiology; Genetics &amp; Heredity</t>
  </si>
  <si>
    <t>GF3EZ</t>
  </si>
  <si>
    <t>WOS:000431829700001</t>
  </si>
  <si>
    <t>Weidemann, SS; Sauter, T; Kilian, R; Steger, D; Butorovic, N; Schneider, C</t>
  </si>
  <si>
    <t>Weidemann, Stephanie S.; Sauter, Tobias; Kilian, Rolf; Steger, David; Butorovic, Nicolas; Schneider, Christoph</t>
  </si>
  <si>
    <t>A 17-year Record of Meteorological Observations Across the Gran Campo Nevado Ice Cap in Southern Patagonia, Chile, Related to Synoptic Weather Types and Climate Modes</t>
  </si>
  <si>
    <t>FRONTIERS IN EARTH SCIENCE</t>
  </si>
  <si>
    <t>Southern Patagonia; Chile; meteorological observations; Gran Campo Nevado Ice Cap; weather type classification; ENSO; Mann-Kendall trend test</t>
  </si>
  <si>
    <t>MANN-KENDALL; ANDES; PRECIPITATION; TEMPERATURE; OSCILLATION; PATTERNS; TESTS</t>
  </si>
  <si>
    <t>The network of long-term meteorological observations in Southernmost Patagonia is still sparse but crucial to improve our understanding of climatic variability, in particular in the more elevated and partially glaciated Southernmost Andes. Here we present a unique 17-year meteorological record (2000-2016) of four automatic weather stations (AWS) across the Gran Campo Nevado Ice Cap (53 degrees S) in the Southernmost Andes (Chile) and the conventional weather station Jorge Schythe of the Instituto de la Patagonia in Punta Arenas for comparison. We revisit the relationship between in situ observations and large-scale climate models as well as mesoscale weather patterns. For this purpose, a 37-year record of ERA Interim Reanalysis data has been used to compute a weather type classification based on a hierarchical correlation-based leader algorithm. The orographic perturbation on the predominantly westerly airflow determines the hydroclimatic response across the mountain range, leading to significant west-east gradients of precipitation, air temperature and humidity. Annual precipitation sums heavily drop within only tens of kilometers from similar to 7,500 mma(-1) to less than 800 mma(-1). The occurrence of high precipitation events of up to 620 mm in 5 days and wet spells of up to 61 consecutive days underscore the year-around wet conditions in the Southernmost Andes. Given the strong link between large-scale circulation and orographically controlled precipitation, the synoptic-scale weather conditions largely determine the precipitation and temperature variability on all time scales. Major synoptic weather types with distinct low-pressure cells in the Weddell Sea or Bellingshausen Sea, causing a prevailing southwesterly, northwesterly or westerly airflow, determine the weather conditions in Southernmost Patagonia during 68% of the year. At Gran Campo Nevado, more than 80% of extreme precipitation events occur during the persistence of these weather types. The evolution of the El Nino Southern Oscillation and Antarctic Oscillation impose intra-and inter-annual precipitation and temperature variations. Positive Antarctic Oscillation phases on average are linked to an intensified westerly airflow and warmer conditions in Southernmost Patagonia. Circulation patterns with high-pressure influence leading to colder and dryer conditions in Southernmost Patagonia are more frequent during negative Antarctic Oscillation phases.</t>
  </si>
  <si>
    <t>[Weidemann, Stephanie S.; Steger, David; Schneider, Christoph] Humboldt Univ, Geog Dept, Berlin, Germany; [Weidemann, Stephanie S.] Rhein Westfal TH Aachen, Dept Geog, Aachen, Germany; [Sauter, Tobias] Friedrich Alexander Univ, Dept Geog, Erlangen, Germany; [Kilian, Rolf] Univ Trier, Dept Geol, Trier, Germany; [Kilian, Rolf] Univ Magallanes, Dept Biol Marina, Punta Arenas, Chile; [Butorovic, Nicolas] Univ Magallanes, Inst Patagonia, Lab Climatol, Punta Arenas, Chile</t>
  </si>
  <si>
    <t>Humboldt University of Berlin; RWTH Aachen University; University of Erlangen Nuremberg; Universitat Trier; Universidad de Magallanes; Universidad de Magallanes</t>
  </si>
  <si>
    <t>Weidemann, SS (corresponding author), Humboldt Univ, Geog Dept, Berlin, Germany.;Weidemann, SS (corresponding author), Rhein Westfal TH Aachen, Dept Geog, Aachen, Germany.</t>
  </si>
  <si>
    <t>s.weidemann@geo.rwth-aachen.de</t>
  </si>
  <si>
    <t>sauter, tobias/HSD-8208-2023; sauter, tobias/AAI-7313-2020; Schneider, Christoph/V-2150-2017</t>
  </si>
  <si>
    <t>sauter, tobias/0000-0002-2232-8096; sauter, tobias/0000-0002-2232-8096; Schneider, Christoph/0000-0002-9914-3217</t>
  </si>
  <si>
    <t>CONYCET-BMBF project GABY-VASA [01DN15007]; German Research Foundation project Gran Campo Nevado [SCHN 680/1-1]; German Research Foundation project MANAU [SA 2339/3-1]</t>
  </si>
  <si>
    <t>CONYCET-BMBF project GABY-VASA; German Research Foundation project Gran Campo Nevado; German Research Foundation project MANAU</t>
  </si>
  <si>
    <t>This study was funded by the CONYCET-BMBF project GABY-VASA, grant No. 01DN15007, by the German Research Foundation project Gran Campo Nevado, grant No. SCHN 680/1-1 and by the German Research Foundation project MANAU, grant No. SA 2339/3-1.</t>
  </si>
  <si>
    <t>2296-6463</t>
  </si>
  <si>
    <t>FRONT EARTH SC-SWITZ</t>
  </si>
  <si>
    <t>Front. Earth Sci.</t>
  </si>
  <si>
    <t>MAY 8</t>
  </si>
  <si>
    <t>10.3389/feart.2018.00053</t>
  </si>
  <si>
    <t>GQ4UE</t>
  </si>
  <si>
    <t>gold, Green Published</t>
  </si>
  <si>
    <t>WOS:000441669000002</t>
  </si>
  <si>
    <t>Zerefos, C; Kapsomenakis, J; Eleftheratos, K; Tourpali, K; Petropavlovskikh, I; Hubert, D; Godin-Beekmann, S; Steinbrecht, W; Frith, S; Sofieva, V; Hassler, B</t>
  </si>
  <si>
    <t>Zerefos, Christos; Kapsomenakis, John; Eleftheratos, Kostas; Tourpali, Kleareti; Petropavlovskikh, Irina; Hubert, Daan; Godin-Beekmann, Sophie; Steinbrecht, Wolfgang; Frith, Stacey; Sofieva, Viktoria; Hassler, Birgit</t>
  </si>
  <si>
    <t>Representativeness of single lidar stations for zonally averaged ozone profiles, their trends and attribution to proxies</t>
  </si>
  <si>
    <t>Quadrennial Ozone Symposium</t>
  </si>
  <si>
    <t>SEP 04-09, 2016</t>
  </si>
  <si>
    <t>Edinburgh, SCOTLAND</t>
  </si>
  <si>
    <t>QUASI-BIENNIAL OSCILLATION; TOTAL COLUMN; DATA SET; RECOVERY; EMERGENCE; LAYER; EESC</t>
  </si>
  <si>
    <t>This paper is focusing on the representativeness of single lidar stations for zonally averaged ozone profile variations over the middle and upper stratosphere. From the lower to the upper stratosphere, ozone profiles from single or grouped lidar stations correlate well with zonal means calculated from the Solar Backscatter Ultraviolet Radiometer (SBUV) satellite overpasses. The best representativeness with significant correlation coefficients is found within +/- 15 degrees of latitude circles north or south of any lidar station. This paper also includes a multivariate linear regression (MLR) analysis on the relative importance of proxy time series for explaining variations in the vertical ozone profiles. Studied proxies represent variability due to influences outside of the earth system (solar cycle) and within the earth system, i.e. dynamic processes (the Quasi Biennial Oscillation, QBO; the Arctic Oscillation, AO; the Antarctic Oscillation, AAO; the El Nino Southern Oscillation, ENSO), those due to volcanic aerosol (aerosol optical depth, AOD), tropopause height changes (including global warming) and those influences due to anthropogenic contributions to atmospheric chemistry (equivalent effective stratospheric chlorine, EESC). Ozone trends are estimated, with and without removal of proxies, from the total available 1980 to 2015 SBUV record. Except for the chemistry related proxy (EESC) and its orthogonal function, the removal of the other proxies does not alter the significance of the estimated long-term trends. At heights above 15 hPa an inflection point between 1997 and 1999 marks the end of significant negative ozone trends, followed by a recent period between 1998 and 2015 with positive ozone trends. At heights between 15 and 40 hPa the pre-1998 negative ozone trends tend to become less significant as we move towards 2015, below which the lower stratosphere ozone decline continues in agreement with findings of recent literature.</t>
  </si>
  <si>
    <t>[Zerefos, Christos; Kapsomenakis, John] Acad Athens, Res Ctr Atmospher Phys &amp; Climatol, Athens, Greece; [Zerefos, Christos] NEO, Messinia, Greece; [Eleftheratos, Kostas] Univ Athens, Dept Geol &amp; Geoenvironm, Athens, Greece; [Tourpali, Kleareti] Aristotle Univ Thessaloniki, Dept Phys, Thessaloniki, Greece; [Petropavlovskikh, Irina] Univ Colorado, Cooperat Inst Res Environm Sci, Boulder, CO 80309 USA; [Hubert, Daan] IASB, BIRA, Royal Belgian Inst Space Aeron, Brussels, Belgium; [Godin-Beekmann, Sophie] Univ Paris 06, Univ Versailles St Quentin En Yvelines, Ctr Natl Rech Sci, Lab Atmosphere Milieux Observat Spati, Guyancourt, France; [Steinbrecht, Wolfgang] Deutscher Wetterdienst, Hohenpeissenberg, Germany; [Frith, Stacey] NASA, Goddard Space Flight Ctr, Silver Spring, MD USA; [Sofieva, Viktoria] Finnish Meteorol Inst, Helsinki, Finland; [Hassler, Birgit] Inst Phys Atmosphare, Deutsch Zentrum Luft &amp; Raumfahrt, Oberpfaffenhofen, Germany</t>
  </si>
  <si>
    <t>Academy of Athens; National &amp; Kapodistrian University of Athens; Aristotle University of Thessaloniki; University of Colorado System; University of Colorado Boulder; Universite Paris Saclay; Centre National de la Recherche Scientifique (CNRS); Sorbonne Universite; Deutscher Wetterdienst; National Aeronautics &amp; Space Administration (NASA); NASA Goddard Space Flight Center; Finnish Meteorological Institute; Helmholtz Association; German Aerospace Centre (DLR)</t>
  </si>
  <si>
    <t>Zerefos, C (corresponding author), Acad Athens, Res Ctr Atmospher Phys &amp; Climatol, Athens, Greece.;Zerefos, C (corresponding author), NEO, Messinia, Greece.</t>
  </si>
  <si>
    <t>zerefos@geol.uoa.gr</t>
  </si>
  <si>
    <t>Hubert, Daan/I-1096-2019; Hassler, Birgit/E-8987-2010; Steinbrecht, Wolfgang/G-6113-2010; Frith, Stacey/HMD-9437-2023; Eleftheratos, Kostas/AAD-7149-2019; Sofieva, Viktoria/E-1958-2014</t>
  </si>
  <si>
    <t>Hubert, Daan/0000-0002-4365-865X; Frith, Stacey/0000-0001-6894-0574; Steinbrecht, Wolfgang/0000-0003-0680-6729; PETROPAVLOVSKIKH, IRINA/0000-0001-5352-1369; Sofieva, Viktoria/0000-0002-9192-2208; Tourpali, Kleareti/0000-0003-4111-6176</t>
  </si>
  <si>
    <t>Mariolopoulos-Kanaginis Foundation for the Environmental Sciences; Copernicus Atmosphere Monitoring Service [CAMS-84]; DLR-IPA in Oberpfaffenhofen, Germany</t>
  </si>
  <si>
    <t>Mariolopoulos-Kanaginis Foundation for the Environmental Sciences; Copernicus Atmosphere Monitoring Service; DLR-IPA in Oberpfaffenhofen, Germany</t>
  </si>
  <si>
    <t>The authors acknowledge the Mariolopoulos-Kanaginis Foundation for the Environmental Sciences for funding this research, the Copernicus Atmosphere Monitoring Service (CAMS-84) and the project of EUMETSAT AC SAF. We acknowledge the NDACC network and the individual agencies and scientists responsible for the ground-based lidar ozone measurements, particularly Thierry Leblanc for the Mauna Loa and Table Mountain lidars, and Daan Swart and Ann van Gijsel for the Lauder lidar, as well as the SBUV science team for providing the satellite ozone profiles. Birgit Hassler would like to thank DLR-IPA in Oberpfaffenhofen, Germany for funding a three-month stay as visiting scientist that allowed her to work on this study. The authors would like to thank the two anonymous reviewers for their constructive comments and suggestions.</t>
  </si>
  <si>
    <t>MAY 7</t>
  </si>
  <si>
    <t>10.5194/acp-18-6427-2018</t>
  </si>
  <si>
    <t>GE9ZA</t>
  </si>
  <si>
    <t>gold, Green Submitted, Green Accepted</t>
  </si>
  <si>
    <t>WOS:000431588500003</t>
  </si>
  <si>
    <t>Bendia, AG; Signori, CN; Franco, DC; Duarte, RTD; Bohannan, BJM; Pellizari, VH</t>
  </si>
  <si>
    <t>Bendia, Amanda G.; Signori, Camila N.; Franco, Diego C.; Duarte, Rubens T. D.; Bohannan, Brendan J. M.; Pellizari, Vivian H.</t>
  </si>
  <si>
    <t>A Mosaic of Geothermal and Marine Features Shapes Microbial Community Structure on Deception Island Volcano, Antarctica</t>
  </si>
  <si>
    <t>FRONTIERS IN MICROBIOLOGY</t>
  </si>
  <si>
    <t>polar marine volcano; Antarctica; environmental gradients; extremophiles; diversity; community structure</t>
  </si>
  <si>
    <t>ARCHAEAL DIVERSITY; HYDROTHERMAL VENTS; BRANSFIELD STRAIT; SOUTH SHETLAND; BACTERIA; ENVIRONMENTS; LIFE; TEMPERATURE; OXIDATION; EVOLUTION</t>
  </si>
  <si>
    <t>Active volcanoes in Antarctica contrast with their predominantly cold surroundings, resulting in environmental conditions capable of selecting for versatile and extremely diverse microbial communities. This is especially true on Deception Island, where geothermal, marine, and polar environments combine to create an extraordinary range of environmental conditions. Our main goal in this study was to understand how microbial community structure is shaped by gradients of temperature, salinity, and geochemistry in polar marine volcanoes. Thereby, we collected surface sediment samples associated with fumaroles and glaciers at two sites on Deception, with temperatures ranging from 0 to 98 degrees C. Sequencing of the 16S rRNA gene was performed to assess the composition and diversity of Bacteria and Archaea. Our results revealed that Deception harbors a combination of taxonomic groups commonly found both in cold and geothermal environments of continental Antarctica, and also groups normally identified at deep and shallow-sea hydrothermal vents, such as hyperthermophilic archaea. We observed a clear separation in microbial community structure across environmental gradients, suggesting that microbial community structure is strongly niche driven on Deception. Bacterial community structure was significantly associated with temperature, pH, salinity, and chemical composition; in contrast, archaeal community structure was strongly associated only with temperature. Our work suggests that Deception represents a peculiar open-air laboratory to elucidate central questions regarding molecular adaptability, microbial evolution, and biogeography of extremophiles in polar regions.</t>
  </si>
  <si>
    <t>[Bendia, Amanda G.; Signori, Camila N.; Franco, Diego C.; Duarte, Rubens T. D.; Pellizari, Vivian H.] Univ Sao Paulo, Inst Oceanog, Dept Oceanog Biol, Sao Paulo, Brazil; [Bohannan, Brendan J. M.] Univ Oregon, Dept Biol, Inst Ecol &amp; Evolut, Eugene, OR 97403 USA</t>
  </si>
  <si>
    <t>Universidade de Sao Paulo; University of Oregon</t>
  </si>
  <si>
    <t>Pellizari, VH (corresponding author), Univ Sao Paulo, Inst Oceanog, Dept Oceanog Biol, Sao Paulo, Brazil.</t>
  </si>
  <si>
    <t>vivianp@usp.br</t>
  </si>
  <si>
    <t>Bendia, Amanda/AAD-2360-2021; Signori, Camila Negrão/AAQ-4156-2020; Duarte, Rubens/AAH-1692-2019; Franco, Diego Castillo/J-6987-2015; Pellizari, Vivian/J-9153-2012</t>
  </si>
  <si>
    <t>Bendia, Amanda/0000-0003-0042-8990; Signori, Camila Negrão/0000-0001-5259-9332; Franco, Diego Castillo/0000-0002-0731-9511; Duarte, Rubens/0000-0002-9939-3400; Pellizari, Vivian/0000-0003-2757-6352</t>
  </si>
  <si>
    <t>project Microsfera [CNPq 407816/2013-5]; project INCT-Criosfera [CNPq 028306/2009]; Brazilian National Counsel of Technological and Scientific Development (CNPq); Brazilian Antarctic Program (ProAntar); Sao Paulo Research Foundation - FAPESP [2012/23241-0, 2012/11037-0, 2016/16183-5]</t>
  </si>
  <si>
    <t>project Microsfera; project INCT-Criosfera; Brazilian National Counsel of Technological and Scientific Development (CNPq)(Conselho Nacional de Desenvolvimento Cientifico e Tecnologico (CNPQ)); Brazilian Antarctic Program (ProAntar); Sao Paulo Research Foundation - FAPESP(Fundacao de Amparo a Pesquisa do Estado de Sao Paulo (FAPESP))</t>
  </si>
  <si>
    <t>This study was part of the projects Microsfera (CNPq 407816/2013-5) and INCT-Criosfera (CNPq 028306/2009) and supported by the Brazilian National Counsel of Technological and Scientific Development (CNPq) and the Brazilian Antarctic Program (ProAntar). The Sao Paulo Research Foundation - FAPESP supported the following fellowships: AB Doctorate's fellowship (2012/23241-0), RD Post Doc fellowship (2012/11037-0), and CS Post Doc fellowship (2016/16183-5).</t>
  </si>
  <si>
    <t>1664-302X</t>
  </si>
  <si>
    <t>FRONT MICROBIOL</t>
  </si>
  <si>
    <t>Front. Microbiol.</t>
  </si>
  <si>
    <t>10.3389/fmicb.2018.00899</t>
  </si>
  <si>
    <t>GE8KU</t>
  </si>
  <si>
    <t>WOS:000431481400002</t>
  </si>
  <si>
    <t>Fowler, RA; Saros, JE; Osburn, CL</t>
  </si>
  <si>
    <t>Fowler, Rachel A.; Saros, Jasmine E.; Osburn, Christopher L.</t>
  </si>
  <si>
    <t>Shifting DOC concentration and quality in the freshwater lakes of the Kangerlussuaq region: An experimental assessment of possible mechanisms</t>
  </si>
  <si>
    <t>Dissolved organic carbon; dust; bacterial processing; photoreactivity; lake C cycling</t>
  </si>
  <si>
    <t>DISSOLVED ORGANIC-CARBON; LONG-TERM TRENDS; HUMIC SUBSTANCES; WEST GREENLAND; MATTER; IRON; DEGRADATION; PHOSPHORUS; RIVER; DUST</t>
  </si>
  <si>
    <t>Since 2003, concentrations of dissolved organic carbon (DOC) in lakes in the Kangerlussuaq region declined by 14-55 percent, with these decreasing DOC concentrations potentially altering lake ecology and reflecting changes in regional carbon (C) cycling. To evaluate possible mechanisms responsible for this shift, we performed experiments to test the effects of dust addition, bacterial activity, or photodegradation on DOC concentration and two DOC quality metrics: the specific ultraviolet absorbance (SUVA(254)) and the chromophoric DOC spectral slope coefficient (S275-295). Lake-water DOC concentrations did not decline in any treatments, but there were changes in DOC quality. Dust addition increased SUVA(254) and decreased the magnitude of S275-295 in one lake, the impacts of bacterial activity were variable, and sunlight exposure elicited a decline in SUVA(254) and an increase in the magnitude of S275-295 in all lakes. These results suggest that DOC pools in the study lakes are photoreactive, even though the lakes are characterized by long residence times, but that declining DOC concentration did not result from this mechanism. While the tested mechanisms did not explain the decline in DOC concentration observed in recent years, they did yield new information about how dust, bacterial activity, or light can influence DOC quality in the lakes of the Kangerlussuaq region.</t>
  </si>
  <si>
    <t>[Fowler, Rachel A.; Saros, Jasmine E.] Univ Maine, Climate Change Inst, Orono, ME 04469 USA; [Fowler, Rachel A.; Saros, Jasmine E.] Univ Maine, Sch Biol &amp; Ecol, Orono, ME 04469 USA; [Osburn, Christopher L.] North Carolina State Univ, Dept Marine Earth &amp; Atmospher Sci, Raleigh, NC USA</t>
  </si>
  <si>
    <t>University of Maine System; University of Maine Orono; University of Maine System; University of Maine Orono; North Carolina State University</t>
  </si>
  <si>
    <t>Fowler, RA (corresponding author), Univ Maine, Climate Change Inst, Orono, ME 04469 USA.;Fowler, RA (corresponding author), Univ Maine, Sch Biol &amp; Ecol, Orono, ME 04469 USA.</t>
  </si>
  <si>
    <t>fowlerrachelanne@gmail.com</t>
  </si>
  <si>
    <t>Fowler, Rachel/JFA-1083-2023; Osburn, Chris/A-9339-2010</t>
  </si>
  <si>
    <t>Osburn, Christopher/0000-0002-9334-4202; Fowler, Rachel/0000-0002-4906-6372</t>
  </si>
  <si>
    <t>U.S. National Science Foundation [1144423, 1203434]; Division Of Graduate Education; Direct For Education and Human Resources [1144423] Funding Source: National Science Foundation</t>
  </si>
  <si>
    <t>U.S. National Science Foundation(National Science Foundation (NSF)); Division Of Graduate Education; Direct For Education and Human Resources(National Science Foundation (NSF)NSF - Directorate for STEM Education (EDU))</t>
  </si>
  <si>
    <t>This research was funded by the U.S. National Science Foundation Grants #1144423 and #1203434.</t>
  </si>
  <si>
    <t>MAY 4</t>
  </si>
  <si>
    <t>e1436815</t>
  </si>
  <si>
    <t>10.1080/15230430.2018.1436815</t>
  </si>
  <si>
    <t>GN1JI</t>
  </si>
  <si>
    <t>WOS:000438745400001</t>
  </si>
  <si>
    <t>Radville, L; Post, E; Eissenstat, DM</t>
  </si>
  <si>
    <t>Radville, Laura; Post, Eric; Eissenstat, David M.</t>
  </si>
  <si>
    <t>On the sensitivity of root and leaf phenology to warming in the Arctic</t>
  </si>
  <si>
    <t>Phenology; climate change; warming; arctic; root phenology</t>
  </si>
  <si>
    <t>CLIMATE-CHANGE; PLANT PHENOLOGY; GROWING-SEASON; TUNDRA PLANTS; RESPONSES; SNOWMELT; GROWTH; CO2; TEMPERATURE; TURNOVER</t>
  </si>
  <si>
    <t>Temperature is commonly assumed to act as the primary constraint on the timing of plant growth, and strong advances in plant phenology have been seen with recent atmospheric warming. The influence of temperature on the timing of root growth, however, is less clear, and controls on root phenology are not well understood. The influence of temperature on above- and belowground phenology is particularly important in the Arctic, where most plant biomass is belowground and warming is occurring at a higher rate than in other ecosystems. We examined the influence of experimental warming on graminoid and shrub communities in the Arctic in southern west Greenland. We found that warming since 2012 did not advance the timing of aboveground seasonal dynamics during two years or belowground seasonal dynamics during three years. We suggest that growing-season temperature may no longer be the primary constraint on plant phenology at this site, and plant phenological responses to future warming at the site may consequently be weaker.</t>
  </si>
  <si>
    <t>[Radville, Laura; Eissenstat, David M.] Penn State Univ, Dept Ecosyst Sci &amp; Management, University Pk, PA 16802 USA; [Radville, Laura; Eissenstat, David M.] Penn State Univ, Ecol Grad Program, University Pk, PA 16802 USA; [Post, Eric] Univ Calif Davis, Dept Wildlife Fish &amp; Conservat Biol, Davis, CA 95616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</si>
  <si>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 University of California System; University of California Davis</t>
  </si>
  <si>
    <t>Radville, L (corresponding author), George Washington Univ, 2300 1 St,Ross Hall, Washington, DC 20037 USA.</t>
  </si>
  <si>
    <t>laura.radville@gmail.com</t>
  </si>
  <si>
    <t>Eissenstat, David/AAE-2793-2020</t>
  </si>
  <si>
    <t>Post, Eric/0000-0002-9471-5351</t>
  </si>
  <si>
    <t>NSF Arctic Natural Sciences Program [ARC-110738]</t>
  </si>
  <si>
    <t>NSF Arctic Natural Sciences Program(National Science Foundation (NSF)NSF - Directorate for Geosciences (GEO))</t>
  </si>
  <si>
    <t>Funding was provided through NSF Arctic Natural Sciences Program (ARC-110738) to EP and DME.</t>
  </si>
  <si>
    <t>e1414457</t>
  </si>
  <si>
    <t>10.1080/15230430.2017.1414457</t>
  </si>
  <si>
    <t>GN1KJ</t>
  </si>
  <si>
    <t>WOS:000438748600001</t>
  </si>
  <si>
    <t>Nguyen, NH; Fitzgibbon, QP; Quinn, J; Smith, G; Battaglene, S; Knibb, W</t>
  </si>
  <si>
    <t>Nguyen, Nguyen H.; Fitzgibbon, Quinn P.; Quinn, Jane; Smith, Greg; Battaglene, Stephen; Knibb, Wayne</t>
  </si>
  <si>
    <t>Can metamorphosis survival during larval development in spiny lobster Sagmariasus verreauxi be improved through quantitative genetic inheritance?</t>
  </si>
  <si>
    <t>BMC GENETICS</t>
  </si>
  <si>
    <t>Genetic variation; Genetic correlations; Selective breeding and lobsters</t>
  </si>
  <si>
    <t>PRAWN MACROBRACHIUM-ROSENBERGII; TILAPIA OREOCHROMIS-NILOTICUS; KINGFISH SERIOLA-LALANDI; RAINBOW-TROUT SURVIVAL; NUTRITIONAL CONDITION; PHYLLOSOMA LARVAE; STAGE PHYLLOSOMA; GROWTH; METABOLISM; SELECTION</t>
  </si>
  <si>
    <t>Background: One of the major impediments to spiny lobster aquaculture is the high cost of hatchery production due to the long and complex larval cycle and poor survival during the many moult stages, especially at metamorphosis. We examined if the key trait of larval survival can be improved through selection by determining if genetic variance exists for this trait. Specifically, we report, for the first time, genetic parameters (heritability and correlations) for early survival rates recorded at five larval phases; early-phyllosoma stages (instars 1-6; S1), mid-phyllosoma stages (instars; 7-12; S2), late-phyllosoma stages (instars 13-17; S3), metamorphosis (S4) and puerulus stage (S5) in hatchery-reared spiny lobster Sagmariasus verreauxi. Results: The data were collected from a total of 235,060 larvae produced from 18 sires and 30 dams over nine years (2006 to 2014). Parentage of the offspring and full-sib families was verified using ten microsatellite markers. Analysis of variance components showed that the estimates of heritability for all the five phases of larval survival obtained from linear mixed model were generally similar to those obtained from threshold logistic generalised models (0.03-0.47 vs. 0.01-0.50). The heritability estimates for survival traits recorded in the early larval phases (S1 and S2) were higher than those estimated in later phases (S3, S4 and S5). The existence of the additive genetic component in larval survival traits indicate that they could be improved through selection. Both phenotypic and genetic correlations among the five survival measures studied were moderate to high and positive. The genetic associations between successive rearing periods were stronger than those that are further apart. Conclusions: Our estimates of heritability and genetic correlations reported here in a spiny lobster species indicate that improvement in the early survival especially during metamorphosis can be achieved through genetic selection in this highly economic value species.</t>
  </si>
  <si>
    <t>[Nguyen, Nguyen H.; Quinn, Jane; Knibb, Wayne] Univ Sunshine Coast, GeneCol Res Ctr, Maroochydore, Qld 4558, Australia; [Fitzgibbon, Quinn P.; Smith, Greg; Battaglene, Stephen] Univ Tasmania, Inst Marine &amp; Antarctic Studies, Fisheries &amp; Aquaculture, Private Bag 49, Hobart, Tas 7001, Australia</t>
  </si>
  <si>
    <t>University of the Sunshine Coast; University of Tasmania</t>
  </si>
  <si>
    <t>Nguyen, NH (corresponding author), Univ Sunshine Coast, GeneCol Res Ctr, Maroochydore, Qld 4558, Australia.</t>
  </si>
  <si>
    <t>NNguyen@usc.edu.au</t>
  </si>
  <si>
    <t>Nguyen, Nguyen/GVT-4511-2022; Battaglene, Stephen C/H-9683-2014; Nguyen, Ngoc/HHZ-0886-2022; Smith, Gregory/C-9263-2013</t>
  </si>
  <si>
    <t>Smith, Gregory/0000-0002-8677-1230; Nguyen, Nguyen Hong/0000-0002-4143-955X; Fitzgibbon, Quinn/0000-0002-1104-3052</t>
  </si>
  <si>
    <t>Australian Research Council Industrial Transformation Research HUB [IH120100032]; Collaborative Research Network [USC/CRN/2012/06]; University of the Sunshine Coast; Fisheries Research and Development Corporation (FRDC); Australian Research Council</t>
  </si>
  <si>
    <t>Australian Research Council Industrial Transformation Research HUB(Australian Research Council); Collaborative Research Network; University of the Sunshine Coast; Fisheries Research and Development Corporation (FRDC)(Fisheries R&amp;D Corp); Australian Research Council(Australian Research Council)</t>
  </si>
  <si>
    <t>This research was supported by the Australian Research Council Industrial Transformation Research HUB (project number IH120100032). The development of new DNA markers was supported by the Collaborative Research Network (USC/CRN/2012/06) and University of the Sunshine Coast. Prior to 2010 Lobster aquaculture research at IMAS was supported by the Fisheries Research and Development Corporation (FRDC) and Australian Research Council through the Linkage Programme. The funding body/bodies had no role in the design of the study and collection, analysis, and interpretation of data and in writing the manuscript.</t>
  </si>
  <si>
    <t>1471-2156</t>
  </si>
  <si>
    <t>BMC GENET</t>
  </si>
  <si>
    <t>BMC Genet.</t>
  </si>
  <si>
    <t>10.1186/s12863-018-0621-z</t>
  </si>
  <si>
    <t>Genetics &amp; Heredity</t>
  </si>
  <si>
    <t>GF3VP</t>
  </si>
  <si>
    <t>Green Published, gold, Green Accepted</t>
  </si>
  <si>
    <t>WOS:000431885200001</t>
  </si>
  <si>
    <t>Davies, D; Bingham, RG; King, EC; Smith, AM; Brisbourne, AM; Spagnolo, M; Graham, AGC; Hogg, AE; Vaughan, DG</t>
  </si>
  <si>
    <t>Davies, Damon; Bingham, Robert G.; King, Edward C.; Smith, Andrew M.; Brisbourne, Alex M.; Spagnolo, Matteo; Graham, Alastair G. C.; Hogg, Anna E.; Vaughan, David G.</t>
  </si>
  <si>
    <t>How dynamic are ice-stream beds?</t>
  </si>
  <si>
    <t>PINE ISLAND GLACIER; AMUNDSEN SEA EMBAYMENT; BENEATH THWAITES GLACIER; SUBGLACIAL WATER-SYSTEM; WEST ANTARCTICA; BASAL CONDITIONS; GROUNDING-LINE; SEDIMENT DEFORMATION; RAPID EROSION; FIELD DATA</t>
  </si>
  <si>
    <t>Projections of sea-level rise contributions from West Antarctica's dynamically thinning ice streams contain high uncertainty because some of the key processes involved are extremely challenging to observe. An especially poorly observed parameter is sub-decadal stability of ice-stream beds, which may be important for subglacial traction, till continuity and landform development. Only two previous studies have made repeated geophysical measurements of ice-stream beds at the same locations in different years, but both studies were limited in spatial extent. Here, we present the results from repeat radar measurements of the bed of Pine Island Glacier, West Antarctica, conducted 3-6 years apart, along a cumulative similar to 60 km of profiles. Analysis of the correlation of bed picks between repeat surveys shows that 90% of the bed displays no significant change despite the glacier increasing in speed by up to 40% over the last decade. We attribute the negligible detection of morphological change at the bed of Pine Island Glacier to the ubiquitous presence of a deforming till layer, wherein sediment transport is in steady state, such that sediment is transported along the basal interface without inducing morphological change to the radar-sounded basal interface. Given the precision of our measurements, the upper limit of subglacial erosion observed here is 500 mma(-1), far exceeding erosion rates reported for glacial settings from proglacial sediment yields, but substantially below subglacial erosion rates of 1.0 ma(-1) previously reported from repeat geophysical surveys in West Antarctica.</t>
  </si>
  <si>
    <t>[Davies, Damon; Bingham, Robert G.] Univ Edinburgh, Sch GeoSci, Edinburgh EH8 9XP, Midlothian, Scotland; [King, Edward C.; Smith, Andrew M.; Brisbourne, Alex M.; Vaughan, David G.] NERC British Antarctic Survey, Cambridge CB3 0ET, England; [Spagnolo, Matteo] Univ Aberdeen, Sch Geosci, Aberdeen AB24 3UF, Scotland; [Graham, Alastair G. C.] Univ Exeter, Coll Life &amp; Environm Sci, Exeter EX4 4RJ, Devon, England; [Hogg, Anna E.] Univ Leeds, Sch Earth &amp; Environm, Ctr Polar Observat &amp; Modelling, Leeds LS2 9JT, W Yorkshire, England</t>
  </si>
  <si>
    <t>University of Edinburgh; University of Aberdeen; University of Exeter; University of Leeds</t>
  </si>
  <si>
    <t>Bingham, RG (corresponding author), Univ Edinburgh, Sch GeoSci, Edinburgh EH8 9XP, Midlothian, Scotland.</t>
  </si>
  <si>
    <t>r.bingham@ed.ac.uk</t>
  </si>
  <si>
    <t>Bingham, Robert G/G-3576-2017; Spagnolo, Matteo/G-2415-2011; Vaughan, David/C-8348-2011; Brisbourne, Alex/E-6198-2013</t>
  </si>
  <si>
    <t>Spagnolo, Matteo/0000-0002-2753-338X; Davies, Damon/0000-0002-6793-9480; Brisbourne, Alex/0000-0002-9887-7120; SMITH, ANDREW/0000-0001-8577-482X; Vaughan, David/0000-0002-9065-0570</t>
  </si>
  <si>
    <t>NERC [NE/K011189/1, NE/B502287, NE/J004766]; UK Natural Environment Research Council (NERC) iSTAR Programme [NE/J005665, NE/J005681]; British Antarctic Survey (BAS) Polar Science for Planet Earth Programme; European Space Agency [4000112797/15/I-SBo]; University of Leeds [4000112797/15/I-SBo]; British Antarctic Survey [4000112797/15/I-SBo]; Natural Environment Research Council [NE/J005754/1] Funding Source: researchfish; NERC [NE/R012407/1, NE/J005665/2, cpom30001, bas0100034, NE/J005754/1] Funding Source: UKRI</t>
  </si>
  <si>
    <t>NERC(UK Research &amp; Innovation (UKRI)Natural Environment Research Council (NERC)); UK Natural Environment Research Council (NERC) iSTAR Programme(UK Research &amp; Innovation (UKRI)Natural Environment Research Council (NERC)); British Antarctic Survey (BAS) Polar Science for Planet Earth Programme; European Space Agency(European Space Agency); University of Leeds; British Antarctic Survey; Natural Environment Research Council(UK Research &amp; Innovation (UKRI)Natural Environment Research Council (NERC)); NERC(UK Research &amp; Innovation (UKRI)Natural Environment Research Council (NERC))</t>
  </si>
  <si>
    <t>Damon Davies was supported by the NERC Training Grant NE/K011189/1 awarded to Robert Bingham. All fieldwork was supported by funding from the UK Natural Environment Research Council (NERC) iSTAR Programme Grants NE/J005665 (RGB/ECK/AMS/AMB/DGV) and NE/J005681 (AEH), NERC grants NE/B502287 (ECK/AMS) and NE/J004766 (MS), and the British Antarctic Survey (BAS) Polar Science for Planet Earth Programme. Anna E. Hogg was supported by an independent research fellowship (no. 4000112797/15/I-SBo) jointly funded by the European Space Agency, the University of Leeds and the British Antarctic Survey. We would like to thank all members of the iSTAR traverses of Pine Island Glacier for assistance with field data acquisition in 2013/2014 and 2014/2015; Mark Baird, Tim Gee, James Wake and Jonny Yates for field operational support during iSTAR; Feargal Buckley, Chris Griffiths and Julian Scott for field assistance in 2007/2008 and David Routledge for field assistance in 2010/2011. We are especially grateful for the dedicated and professional support of BAS Operations and Logistics without whom this study would not have been possible. Finally we are grateful to Anders Damsgaard and Huw Horgan for their insightful comments in reviewing this work which has led to a much improved manuscript.</t>
  </si>
  <si>
    <t>10.5194/tc-12-1615-2018</t>
  </si>
  <si>
    <t>GE7LH</t>
  </si>
  <si>
    <t>Green Accepted, Green Submitted, gold</t>
  </si>
  <si>
    <t>WOS:000431414100001</t>
  </si>
  <si>
    <t>Gong, YM; Zwinger, T; Åström, J; Altena, B; Schellenberger, T; Gladstone, R; Moore, JC</t>
  </si>
  <si>
    <t>Gong, Yongmei; Zwinger, Thomas; Astrom, Jan; Altena, Bas; Schellenberger, Thomas; Gladstone, Rupert; Moore, John C.</t>
  </si>
  <si>
    <t>Simulating the roles of crevasse routing of surface water and basal friction on the surge evolution of Basin 3, Austfonna ice cap</t>
  </si>
  <si>
    <t>SEA-LEVEL RISE; OUTLET GLACIERS; FRACTURE-MECHANICS; FAST-FLOW; MODEL; SVALBARD; LINKS</t>
  </si>
  <si>
    <t>The marine-terminating outlet in Basin 3, Austfonna ice cap, has been accelerating since the mid-1990s. Stepwise multi-annual acceleration associated with seasonal summer speed-up events was observed before the outlet entered the basin-wide surge in autumn 2012. We used multiple numerical models to explore hydrologic activation mechanisms for the surge behaviour. A continuum ice dynamic model was used to invert basal friction coefficient distributions using the control method and observed surface velocity data between April 2012 and July 2014. This has provided input to a discrete element model capable of simulating individual crevasses, with the aim of finding locations where meltwater entered the glacier during the summer and reached the bed. The possible flow paths of surface meltwater reaching the glacier bed as well as those of meltwater produced at the bed were calculated according to the gradient of the hydraulic potential. The inverted friction coefficients show the unplugging of the stagnant ice front and expansion of low-friction regions before the surge reached its peak velocity in January 2013. Crevasse distribution reflects the basal friction pattern to a high degree. The meltwater reaches the bed through the crevasses located above the margins of the subglacial valley and the basal melt that is generated mainly by frictional heating flows either to the fast-flowing units or potentially accumulates in an overdeepened region. Based on these results, the mechanisms facilitated by basal meltwater production, crevasse opening and the routing of meltwater to the bed are discussed for the surge in Basin 3.</t>
  </si>
  <si>
    <t>[Gong, Yongmei] Univ Helsinki, Inst Atmospher &amp; Earth Syst Res, FIN-00014 Helsinki, Finland; [Zwinger, Thomas; Astrom, Jan] CSC IT Ctr Sci Ltd, Espoo 02101, Finland; [Altena, Bas; Schellenberger, Thomas] Univ Oslo, Dept Geosci, N-0371 Oslo, Norway; [Gladstone, Rupert] Univ Lapland, Arctic Ctr, Rovaniemi 96100, Finland; [Moore, John C.] Beijing Normal Univ, Coll Global Change &amp; Earth Syst Sci, Beijing 100875, Peoples R China</t>
  </si>
  <si>
    <t>University of Helsinki; Finnish IT center for science; University of Oslo; University of Lapland; Beijing Normal University</t>
  </si>
  <si>
    <t>Gong, YM (corresponding author), Univ Helsinki, Inst Atmospher &amp; Earth Syst Res, FIN-00014 Helsinki, Finland.</t>
  </si>
  <si>
    <t>yongmei.gong@helsinki.fi</t>
  </si>
  <si>
    <t>Moore, John C/B-2868-2013; Gong, Yongmei/AAP-3472-2021; Altena, Bas/I-2849-2019; Gladstone, Rupert/C-1086-2013; Zwinger, Thomas/H-5163-2018</t>
  </si>
  <si>
    <t>Moore, John C/0000-0001-8271-5787; Altena, Bas/0000-0001-9025-0326; Gladstone, Rupert/0000-0002-1582-3857; Zwinger, Thomas/0000-0003-3360-4401; Gong, Yongmei/0000-0002-3839-5824</t>
  </si>
  <si>
    <t>German Aerospace Center DLR [LAN_0211]; Finnish Academy project: Simulating Antarctic marine ice sheet stability and multi-century contributions to sea level rise [286587]; Nordic Center of Excellence eSTICC (eScience Tools for Investigating Climate Change in Northern High Latitudes) - Nordforsk [57001]; European Research Council under the European Union's Seventh Framework Programme [320816]; Research Council of Norway (RASTAR) [208013]; Norwegian Space Centre as part of European Space Agency's PRODEX programme [C4000106033]; European Union FP7 ERC project ICEMASS [320816]; European Research Council (ERC) [320816] Funding Source: European Research Council (ERC)</t>
  </si>
  <si>
    <t>German Aerospace Center DLR(Helmholtz AssociationGerman Aerospace Centre (DLR)); Finnish Academy project: Simulating Antarctic marine ice sheet stability and multi-century contributions to sea level rise; Nordic Center of Excellence eSTICC (eScience Tools for Investigating Climate Change in Northern High Latitudes) - Nordforsk; European Research Council under the European Union's Seventh Framework Programme(European Research Council (ERC)); Research Council of Norway (RASTAR)(Research Council of Norway); Norwegian Space Centre as part of European Space Agency's PRODEX programme; European Union FP7 ERC project ICEMASS(European Research Council (ERC)); European Research Council (ERC)(European Research Council (ERC)Spanish Government)</t>
  </si>
  <si>
    <t>We wish to thank all partners for providing data and constructive discussion during the study, especially Ruth Mottram from the Danish Meteorological Institute for the HIRHAM5 surface mass balance; Tazio Strozzi from GAMMA Remote Sensing and Consulting AG for the ERS-2 SAR surface velocity observation acquired in March to April 2011; Malcolm McMillan from the University of Leeds for the surface elevation derived from Cryosat altimetry data acquired during July 2010-December 2012; Thorben Dunse from the University of Oslo for the bedrock and ice thickness data and Andreas Kaab from the University of Oslo for TSX data funded by the German Aerospace Center DLR (LAN_0211). We wish to thank Fabien Gillet-Chaulet from the Insitut de Geosciences de l'Environnement for making his code available for the inverse modelling. We also acknowledge CSC - IT Center for Science Ltd., Espoo, Finland, for the allocation of computational resources. The work was supported by the Finnish Academy project 286587: Simulating Antarctic marine ice sheet stability and multi-century contributions to sea level rise. Thomas Zwinger was supported by the Nordic Center of Excellence eSTICC (eScience Tools for Investigating Climate Change in Northern High Latitudes) funded by Nordforsk (grant 57001). Bas Altena was funded by the European Research Council under the European Union's Seventh Framework Programme grant agreement no. 320816. Thomas Schellenberger was funded by the Research Council of Norway (RASTAR, 208013), the Norwegian Space Centre as part of European Space Agency's PRODEX programme (C4000106033), and the European Union FP7 ERC project ICEMASS (320816).</t>
  </si>
  <si>
    <t>MAY 3</t>
  </si>
  <si>
    <t>10.5194/tc-12-1563-2018</t>
  </si>
  <si>
    <t>GE6VJ</t>
  </si>
  <si>
    <t>WOS:000431368300001</t>
  </si>
  <si>
    <t>Carrivick, JL; Yde, JC; Knudsen, NT; Kronborg, C</t>
  </si>
  <si>
    <t>Carrivick, Jonathan L.; Yde, Jacob C.; Knudsen, Niels Tvis; Kronborg, Christian</t>
  </si>
  <si>
    <t>Ice-dammed lake and ice-margin evolution during the Holocene in the Kangerlussuaq area of west Greenland</t>
  </si>
  <si>
    <t>Arctic; glacier; proglacial; ice sheet; meltwater</t>
  </si>
  <si>
    <t>RELATIVE SEA-LEVEL; SONDRE STROMFJORD; RUSSELL GLACIER; WATSON RIVER; SHEET; JOKULHLAUPS; SEDIMENT; CHRONOLOGY; AGE; DEGLACIATION</t>
  </si>
  <si>
    <t>There is a lack of detailed information on the Holocene evolution of the west Greenland ice margin, not least because it was farther inland than at present and thus at present is covered by ice. Suggestions have been put forward, both of relatively quick ice-margin retreat and of relatively stable ice-margin positions. This study presents the first exploitation of sediments from an ice-dammed basin. Sediment that is rich in organic material records a period of time sufficient for vegetation to thrive; thus, without a lake and with a distal and diminished ice mass relative to the present. In contrast, sediment composed of suspension-settling deposits and with drop stones records an ice-dammed lake and a proximal calving ice-margin. Overall, we evidence relatively coarse-grained glacifluvial sedimentation predominantly from an ice-marginal delta and/or a proglacial, braided river soon after the early Holocene deglaciation of this area. Subsequent mid-Holocene aeolian activity deposited leaves, some vegetation (roots) developed in the basin, and ponding of water formed organic-rich gyttja sediments and thin layers of peat. The lake then became ice marginal, and ice advances are interpreted to have occurred at approximately 4000 cal. yr BP, and between 2776 +/- 26 cal. yr BP and 2440 +/- 45 cal. yr BP. The Little Ice Age ice-margin advance at Russell Glacier apparently reached its maximum extent after 147 +/- 39 cal. yr BP, whereas at lsunnguata Sermia the maximum could have been as early as 245 +/- 26 cal. yr BP. Given that ice-marginal lakes are becoming globally ubiquitous, improved resolution and new geological data on lake and ice-margin dynamics and interactions, such as ice-dammed lake-basin sediments, will be important for numerical models for assessing past and future ice-mass evolution.</t>
  </si>
  <si>
    <t>[Carrivick, Jonathan L.] Univ Leeds, Sch Geog, Leeds, W Yorkshire, England; [Yde, Jacob C.] Western Norway Univ Appl Sci, Fac Engn &amp; Sci, Sogndal, Norway; [Knudsen, Niels Tvis; Kronborg, Christian] Aarhus Univ, Dept Geosci, Aarhus C, Denmark</t>
  </si>
  <si>
    <t>University of Leeds; Western Norway University of Applied Sciences; Aarhus University</t>
  </si>
  <si>
    <t>Carrivick, JL (corresponding author), Univ Leeds, Sch Geog, Leeds, W Yorkshire, England.</t>
  </si>
  <si>
    <t>j.l.carrivick@leeds.ac.uk</t>
  </si>
  <si>
    <t>Knudsen, Niels Tvis/A-2461-2014</t>
  </si>
  <si>
    <t>Carrivick, Jonathan/0000-0002-9286-5348; Yde, Jacob Clement/0000-0002-6211-2601</t>
  </si>
  <si>
    <t>e1420854</t>
  </si>
  <si>
    <t>10.1080/15230430.2017.1420854</t>
  </si>
  <si>
    <t>GN1IS</t>
  </si>
  <si>
    <t>WOS:000438743400001</t>
  </si>
  <si>
    <t>Heather, FJ; Childs, DZ; Darnaude, AM; Blanchard, JL</t>
  </si>
  <si>
    <t>Heather, F. J.; Childs, D. Z.; Darnaude, A. M.; Blanchard, J. L.</t>
  </si>
  <si>
    <t>Using an integral projection model to assess the effect of temperature on the growth of gilthead seabream Sparus aurata</t>
  </si>
  <si>
    <t>MASS MORTALITY; CLIMATE-CHANGE; THAU LAGOON; BODY-SIZE; AGE; EVOLUTION; SHRINKING; OTOLITH</t>
  </si>
  <si>
    <t>Accurate information on the growth rates of fish is crucial for fisheries stock assessment and management. Empirical life history parameters (von Bertalanffy growth) are widely fitted to cross-sectional size-at-age data sampled from fish populations. This method often assumes that environmental factors affecting growth remain constant over time. The current study utilized longitudinal life history information contained in otoliths from 412 juveniles and adults of gilthead seabream, Sparus aurata, a commercially important species fished and farmed throughout the Mediterranean. Historical annual growth rates over 11 consecutive years (2002-2012) in the Gulf of Lions (NW Mediterranean) were reconstructed to investigate the effect of temperature variations on the annual growth of this fish. S. aurata growth was modelled linearly as the relationship between otolith size at year t against otolith size at the previous year t-1. The effect of temperature on growth was modelled with linear mixed effects models and a simplified linear model to be implemented in a cohort Integral Projection Model (cIPM). The cIPM was used to project S. aurata growth, year to year, under different temperature scenarios. Our results determined current increasing summer temperatures to have a negative effect on S. aurata annual growth in the Gulf of Lions. They suggest that global warming already has and will further have a significant impact on S. aurata size-at-age, with important implications for age-structured stock assessments and reference points used in fisheries.</t>
  </si>
  <si>
    <t>[Heather, F. J.; Childs, D. Z.] Univ Sheffield, Dept Anim &amp; Plant Sci, Western Bank, Sheffield, S Yorkshire, England; [Darnaude, A. M.] Univ Montpellier, IFREMER, CNRS, MARBEC,IRD Montpellier, Pl Eugene Bataillon, Montpellier, France; [Blanchard, J. L.] Univ Tasmania, Inst Marine &amp; Antarctic Studies, Hobart, Tas, Australia</t>
  </si>
  <si>
    <t>University of Sheffield; Centre National de la Recherche Scientifique (CNRS); Ifremer; Institut de Recherche pour le Developpement (IRD); Universite de Montpellier; University of Tasmania</t>
  </si>
  <si>
    <t>Heather, FJ (corresponding author), Univ Sheffield, Dept Anim &amp; Plant Sci, Western Bank, Sheffield, S Yorkshire, England.</t>
  </si>
  <si>
    <t>freddieheather@gmail.com</t>
  </si>
  <si>
    <t>Blanchard, Julia L/E-4919-2010; Heather, Freddie J./ABG-8120-2020; Childs, Dylan/P-7388-2018; Darnaude, Audrey M/D-1745-2014; Heather, Freddie/KBA-4476-2024; Darnaude, Audrey M/AAH-9026-2020</t>
  </si>
  <si>
    <t>Heather, Freddie J./0000-0002-1650-2617; Childs, Dylan/0000-0002-0675-4933; Darnaude, Audrey M/0000-0001-7129-3902; Blanchard, Julia/0000-0003-0532-4824</t>
  </si>
  <si>
    <t>French Government; TOTAL Foundation [ANR 07-JCJC-0135]; French National Research Agency; European Research Fund; French Languedoc-Roussillon Region [FEDER_C_137776 / REGION_CT_126549]; Australian Research Council [DP170104240]; Agence Nationale de la Recherche (ANR) [ANR-07-JCJC-0135] Funding Source: Agence Nationale de la Recherche (ANR)</t>
  </si>
  <si>
    <t>French Government; TOTAL Foundation(Total SA); French National Research Agency(Agence Nationale de la Recherche (ANR)); European Research Fund; French Languedoc-Roussillon Region(Region Occitanie); Australian Research Council(Australian Research Council); Agence Nationale de la Recherche (ANR)(Agence Nationale de la Recherche (ANR))</t>
  </si>
  <si>
    <t>For fish collection, the funding bodies were the French Government and the TOTAL Foundation through the research project LAGUNEX: Export de carbone par les poissons lagunaires a l'interface mer-continent: caracterisation et quantification (ANR 07-JCJC-0135, PI = Audrey Darnaude). For otolith preparations, the funding bodies were the French National Research Agency and the TOTAL Foundation through the research project LAGUNEX: Export de carbone par les poissons lagunaires a ('interface mer-continent: caracterisation et quantification (ANR 07-JCJC-0135, PI = Audrey Darnaude) and the European Research Fund and the French Languedoc-Roussillon Region through the research project BOUCLEDOR: Boucler le cycle de vie de la dorade royale dans le Golfe du Lion (FEDER_C_137776 / REGION_CT_126549, PI = Audrey Darnaude). URL: http://www.agence.nationale-recherche.fr; http://fondation.total/; http://en.europe-en-france.gouv.fr/; http://www.laregion.fr/. For otolith imaging, the funding body was the Australian Research Council Discovery Grant (DP170104240, PI=Julia Blanchard). The funders had no role in study design, data collection and analysis, decision to publish, or preparation of the manuscript.</t>
  </si>
  <si>
    <t>e0196092</t>
  </si>
  <si>
    <t>10.1371/journal.pone.0196092</t>
  </si>
  <si>
    <t>GE6AF</t>
  </si>
  <si>
    <t>Green Published, Green Submitted, Green Accepted, gold</t>
  </si>
  <si>
    <t>WOS:000431305100012</t>
  </si>
  <si>
    <t>Byun, MY; Cui, LH; Lee, J; Park, H; Lee, A; Kim, WT; Lee, H</t>
  </si>
  <si>
    <t>Byun, Mi Young; Cui, Li Hua; Lee, Jungeun; Park, Hyun; Lee, Andosung; Kim, Woo Taek; Lee, Hyoungseok</t>
  </si>
  <si>
    <t>Identification of Rice Genes Associated With Enhanced Cold Tolerance by Comparative Transcriptome Analysis With Two Transgenic Rice Plants Overexpressing DaCBF4 or DaCBF7, Isolated From Antarctic Flowering Plant Deschampsia antarctica</t>
  </si>
  <si>
    <t>FRONTIERS IN PLANT SCIENCE</t>
  </si>
  <si>
    <t>C-repeat/DRE binding factor; cold tolerance; Deschampsia antarctica; RNA-seq; transgenic plant; rice</t>
  </si>
  <si>
    <t>THAUMATIN-LIKE PROTEIN; ABIOTIC STRESS; ORYZA-SATIVA; CONSTITUTIVE EXPRESSION; FREEZING TOLERANCE; IMPROVES DROUGHT; OVER-EXPRESSION; HIGH-SALT; CBF; BARLEY</t>
  </si>
  <si>
    <t>Few plant species can survive in Antarctica, the harshest environment for living organisms. Deschampsia antarctica is the only natural grass species to have adapted to and colonized the maritime Antarctic. To investigate the molecular mechanism of the Antarctic adaptation of this plant, we identified and characterized D. antarctica C-repeat binding factor 4 (DaCBF4), which belongs to monocot CBF group IV. The transcript level of DaCBF4 in D. antarctica was markedly increased by cold and dehydration stress. To assess the roles of DaCBF4 in plants, we generated a DaCBF4-overexpressing transgenic rice plant (Ubi:DaCBF4) and analyzed its abiotic stress response phenotype. Ubi: DaCBF4 displayed enhanced tolerance to cold stress without growth retardation under any condition compared to wild-type plants. Because the cold-specific phenotype of Ubi:DaCBF4 was similar to that of Ubi:DaCBF7 (Byun et al., 2015), we screened for the genes responsible for the improved cold tolerance in rice by selecting differentially regulated genes in both transgenic rice lines. By comparative transcriptome analysis using RNA-seq, we identified 9 and 15 genes under normal and cold-stress conditions, respectively, as putative downstream targets of the two D. antarctica CBFs. Overall, our results suggest that Antarctic hairgrass DaCBF4 mediates the cold-stress response of transgenic rice plants by adjusting the expression levels of a set of stress-responsive genes in transgenic rice plants. Moreover, selected downstream target genes will be useful for genetic engineering to enhance the cold tolerance of cereal plants, including rice.</t>
  </si>
  <si>
    <t>[Byun, Mi Young; Lee, Jungeun; Park, Hyun; Lee, Hyoungseok] Korea Polar Res Inst, Unit Polar Genom, Incheon, South Korea; [Cui, Li Hua; Lee, Andosung; Kim, Woo Taek] Yonsei Univ, Dept Syst Biol, Seoul, South Korea; [Lee, Jungeun; Park, Hyun; Lee, Hyoungseok] Univ Sci &amp; Technol, Polar Sci, Daejeon, South Korea</t>
  </si>
  <si>
    <t>Korea Polar Research Institute (KOPRI); Yonsei University; University of Science &amp; Technology (UST)</t>
  </si>
  <si>
    <t>Lee, H (corresponding author), Korea Polar Res Inst, Unit Polar Genom, Incheon, South Korea.;Kim, WT (corresponding author), Yonsei Univ, Dept Syst Biol, Seoul, South Korea.;Lee, H (corresponding author), Univ Sci &amp; Technol, Polar Sci, Daejeon, South Korea.</t>
  </si>
  <si>
    <t>wtkim@yonsei.ac.kr; soulaid@kopri.re.kr</t>
  </si>
  <si>
    <t>Lee, Hyoungseok/0000-0002-5831-6345; Park, Hyun/0000-0002-8055-2010</t>
  </si>
  <si>
    <t>Polar Genomics 101 Project: Genome analysis of polar organisms and establishment of application platform - Korea Polar Research Institute [PE18080]; Next-Generation BioGreen 21 Program for Agriculture and Technology Development - Rural Development Administration, Republic of Korea [PJ01113801, PJ01334901]</t>
  </si>
  <si>
    <t>Polar Genomics 101 Project: Genome analysis of polar organisms and establishment of application platform - Korea Polar Research Institute(Korea Polar Research Institute of Marine Research Placement (KOPRI)); Next-Generation BioGreen 21 Program for Agriculture and Technology Development - Rural Development Administration, Republic of Korea</t>
  </si>
  <si>
    <t>This work was supported by The Polar Genomics 101 Project: Genome analysis of polar organisms and establishment of application platform (PE18080) to HP, funded by the Korea Polar Research Institute; and a grant from the Next-Generation BioGreen 21 Program for Agriculture and Technology Development (Project Numbers PJ01113801 [NCGC] and PJ01334901 [SSAC]) funded by the Rural Development Administration, Republic of Korea, to WTK.</t>
  </si>
  <si>
    <t>1664-462X</t>
  </si>
  <si>
    <t>FRONT PLANT SCI</t>
  </si>
  <si>
    <t>Front. Plant Sci.</t>
  </si>
  <si>
    <t>10.3389/fpls.2018.00601</t>
  </si>
  <si>
    <t>GE6EQ</t>
  </si>
  <si>
    <t>WOS:000431317700002</t>
  </si>
  <si>
    <t>Pellichero, V; Sallée, JB; Chapman, CC; Downes, SM</t>
  </si>
  <si>
    <t>Pellichero, Violaine; Sallee, Jean-Baptiste; Chapman, Christopher C.; Downes, Stephanie M.</t>
  </si>
  <si>
    <t>The southern ocean meridional overturning in the sea-ice sector is driven by freshwater fluxes</t>
  </si>
  <si>
    <t>MASS TRANSFORMATION; ANTARCTIC MODE; BOTTOM WATER; MIXED-LAYER; CIRCULATION; SALINITY; CLOSURE; TRENDS</t>
  </si>
  <si>
    <t>The oceans are traversed by a large-scale overturning circulation, essential for the climate system as it sets the rate at which the deep ocean interacts with the atmosphere. The main region where deep waters reach the surface is in the Southern Ocean, where they are transformed by interactions with the atmosphere and sea-ice. Here, we present an observation-based estimate of the rate of overturning sustained by surface buoyancy fluxes in the Southern Ocean sea-ice sector. In this region, the seasonal growth and melt of sea-ice dominate water-mass transformations. Both sea-ice freezing and melting act as a pump, removing freshwater from high latitudes and transporting it to lower latitudes, driving a large-scale circulation that upwells 27 +/- 7 Sv of deep water to the surface. The upwelled water is then transformed into 22 +/- 4 Sv of lighter water and 5 +/- 5 Sv into denser layers that feed an upper and lower overturning cell, respectively.</t>
  </si>
  <si>
    <t>[Pellichero, Violaine; Sallee, Jean-Baptiste; Chapman, Christopher C.] UPMC Univ Paris 06, Sorbonne Univ, UMR 7159, LOCEAN IPSL, F-75005 Paris, France; [Downes, Stephanie M.] Univ Tasmania, Antarctic Climate &amp; Ecosyst Cooperat Res Ctr, Hobart, Tas 7001, Australia</t>
  </si>
  <si>
    <t>Centre National de la Recherche Scientifique (CNRS); CNRS - National Institute for Earth Sciences &amp; Astronomy (INSU); Museum National d'Histoire Naturelle (MNHN); Sorbonne Universite; University of Tasmania; Antarctic Climate &amp; Ecosystems Cooperative Research Centre (ACE CRC)</t>
  </si>
  <si>
    <t>Pellichero, V (corresponding author), UPMC Univ Paris 06, Sorbonne Univ, UMR 7159, LOCEAN IPSL, F-75005 Paris, France.</t>
  </si>
  <si>
    <t>violaine.pellichero@locean.upmc.fr</t>
  </si>
  <si>
    <t>Chapman, Christopher/AAV-2844-2021; Downes, Stephanie/A-1424-2012; SALLEE, Jean baptiste/HDO-5355-2022; SALLEE, Jean baptiste/A-5837-2010</t>
  </si>
  <si>
    <t>Chapman, Christopher/0000-0002-0877-4778; SALLEE, Jean baptiste/0000-0002-6109-5176</t>
  </si>
  <si>
    <t>European Research Council (ERC) under the European Union's Horizon research and innovation program [637770]; National Science Foundation Division of Ocean Sciences [1521508]; Australian Governments Business Cooperative Research Centres Programme through the Antarctic Climate and Ecosystems Cooperative Research Centre (ACE CRC); Directorate For Geosciences; Division Of Ocean Sciences [1521508] Funding Source: National Science Foundation; European Research Council (ERC) [637770] Funding Source: European Research Council (ERC)</t>
  </si>
  <si>
    <t>European Research Council (ERC) under the European Union's Horizon research and innovation program(European Research Council (ERC)); National Science Foundation Division of Ocean Sciences(National Science Foundation (NSF)); Australian Governments Business Cooperative Research Centres Programme through the Antarctic Climate and Ecosystems Cooperative Research Centre (ACE CRC)(Australian GovernmentDepartment of Industry, Innovation and ScienceCooperative Research Centres (CRC) Programme); Directorate For Geosciences; Division Of Ocean Sciences(National Science Foundation (NSF)NSF - Directorate for Geosciences (GEO)); European Research Council (ERC)(European Research Council (ERC)Spanish Government)</t>
  </si>
  <si>
    <t>This project has received funding from the European Research Council (ERC) under the European Union's Horizon2020 research and innovation program (grant agreement 637770). C.C.C. was funded by a National Science Foundation Division of Ocean Sciences Postdoctoral Fellowship number 1521508. S.M.D was supported by the Australian Governments Business Cooperative Research Centres Programme through the Antarctic Climate and Ecosystems Cooperative Research Centre (ACE CRC). The authors thank A. Petty, A. Barthelemy, T. Tamura, and A. Haumann for providing the air-ice-sea data set. The authors also thank R. Abernathey for providing his water-mass transformation data set. Argo data were collected and made freely available by the International Argo Program and the national programs that contribute to it (http://www.argo.ucsd.edu, http://argo.jcommops.org). The Argo Program is part of the Global Ocean Observing System. The marine mammal data were collected and made freely available by the International MEOP Consortium and the national programs that contribute to it (http://www.meop.net).</t>
  </si>
  <si>
    <t>10.1038/s41467-018-04101-2</t>
  </si>
  <si>
    <t>GE5XU</t>
  </si>
  <si>
    <t>WOS:000431298400014</t>
  </si>
  <si>
    <t>Zhang, DS; Hu, P; Liu, TG; Wang, J; Jiang, SW; Xu, QH; Chen, LB</t>
  </si>
  <si>
    <t>Zhang, Dongsheng; Hu, Peng; Liu, Taigang; Wang, Jian; Jiang, Shouwen; Xu, Qianghua; Chen, Liangbiao</t>
  </si>
  <si>
    <t>GC bias lead to increased small amino acids and random coils of proteins in cold-water fishes</t>
  </si>
  <si>
    <t>Cold adaptation; Substitution bias; Cold-water; Antarctic; Genome; Fish</t>
  </si>
  <si>
    <t>ANTARCTIC NOTOTHENIOID FISHES; OPTIMAL-GROWTH TEMPERATURE; THERMAL-ACCLIMATION; SECONDARY STRUCTURE; ADAPTATION; EVOLUTION; GENOMES; PROKARYOTES; SEQUENCE; DEHYDROGENASE</t>
  </si>
  <si>
    <t>Background: Temperature adaptation of biological molecules is fundamental in evolutionary studies but remains unsolved. Fishes living in cold water are adapted to low temperatures through adaptive modification of their biological molecules, which enables their functioning in extreme cold. To study nucleotide and amino acid preference in cold-water fishes, we investigated the substitution asymmetry of codons and amino acids in protein-coding DNA sequences between cold-water fishes and tropical fishes., The former includes two Antarctic fishes, Dissostichus mawsoni (Antarctic toothfish), Gymnodraco acuticeps (Antarctic dragonfish), and two temperate fishes, Gadus morhua (Atlantic cod) and Gasterosteus aculeatus (stickleback), and the latter includes three tropical fishes, including Danio rerio (zebrafish), Oreochromis niloticus (Nile tilapia) and Xiphophorus maculatus (Platyfish). Results: Cold-water fishes showed preference for Guanines and cytosines (GCs) in both synonymous and nonsynonymous codon substitution when compared with tropical fishes. Amino acids coded by GC-rich codons are favored in the temperate fishes, while those coded by AT-rich codons are disfavored. Similar trends were discovered in Antarctic fishes but were statistically weaker. The preference of GC rich codons in nonsynonymous substitution tends to increase ratio of small amino acid in proteins, which was demonstrated by biased small amino acid substitutions in the cold-water species when compared with the tropical species, especially in the temperate species. Prediction and comparison of secondary structure of the proteomes showed that frequency of random coils are significantly larger in the cold-water fish proteomes than those of the tropical fishes. Conclusions: Our results suggested that natural selection in cold temperature might favor biased GC content in the coding DNA sequences, which lead to increased frequency of small amino acids and consequently increased random coils in the proteomes of cold-water fishes.</t>
  </si>
  <si>
    <t>[Zhang, Dongsheng; Wang, Jian; Jiang, Shouwen; Chen, Liangbiao] Shanghai Ocean Univ, Natl Demonstrat Ctr Expt Fisheries Sci Educ, Key Lab Explorat &amp; Utilizat Aquat Genet Resources, Minist Educ, Shanghai, Peoples R China; [Hu, Peng] Univ Penn, Dept Genet, Philadelphia, PA 19104 USA; [Liu, Taigang] Shanghai Ocean Univ, Coll Informat, Shanghai, Peoples R China; [Xu, Qianghua] Shanghai Ocean Univ, Coll Marine Sci, Shanghai, Peoples R China</t>
  </si>
  <si>
    <t>Shanghai Ocean University; University of Pennsylvania; Shanghai Ocean University; Shanghai Ocean University</t>
  </si>
  <si>
    <t>Chen, LB (corresponding author), Shanghai Ocean Univ, Natl Demonstrat Ctr Expt Fisheries Sci Educ, Key Lab Explorat &amp; Utilizat Aquat Genet Resources, Minist Educ, Shanghai, Peoples R China.</t>
  </si>
  <si>
    <t>lbchen@shou.edu.cn</t>
  </si>
  <si>
    <t>Hu, Peng/X-1546-2019; Liu, Taigang/HGF-0312-2022</t>
  </si>
  <si>
    <t>Hu, Peng/0000-0002-0017-1948; , liangbiao/0000-0002-0717-8536</t>
  </si>
  <si>
    <t>Major International Colloboration Program of Natural Science Foundation of China [30910103906]; NSFC [31130049]; MOST 973 program [2010CB126304]; International Collaboration grant from the Polar Exploration Administration Office of China [IC201304]; National Key Basic Research Program in China [2012CB316501]</t>
  </si>
  <si>
    <t>Major International Colloboration Program of Natural Science Foundation of China; NSFC(National Natural Science Foundation of China (NSFC)); MOST 973 program(National Basic Research Program of China); International Collaboration grant from the Polar Exploration Administration Office of China; National Key Basic Research Program in China(National Basic Research Program of China)</t>
  </si>
  <si>
    <t>The work is supported by grants: The Major International Colloboration Program of Natural Science Foundation of China No. 30910103906 for designing the study and collecting the samples, NSFC 31130049 and MOST 973 program (2010CB126304) for sequencing the samples and analyzing the data, the International Collaboration grant from the Polar Exploration Administration Office of China (IC201304) and the First Class Discipline Program for Fishery from the Shanghai municipal government and the National Key Basic Research Program in China (2012CB316501) for interpretation of the data and writing the manuscript.</t>
  </si>
  <si>
    <t>BIOMED CENTRAL LTD</t>
  </si>
  <si>
    <t>236 GRAYS INN RD, FLOOR 6, LONDON WC1X 8HL, ENGLAND</t>
  </si>
  <si>
    <t>MAY 2</t>
  </si>
  <si>
    <t>10.1186/s12864-018-4684-z</t>
  </si>
  <si>
    <t>GE5LX</t>
  </si>
  <si>
    <t>WOS:000431264800007</t>
  </si>
  <si>
    <t>Calizza, E; Careddu, G; Sporta, CS; Rossi, L; Costantini, ML</t>
  </si>
  <si>
    <t>Calizza, E.; Careddu, G.; Sporta, Caputi S.; Rossi, L.; Costantini, M. L.</t>
  </si>
  <si>
    <t>Time- and depth-wise trophic niche shifts in Antarctic benthos (vol 13, e0194796, 2018)</t>
  </si>
  <si>
    <t>e0197009</t>
  </si>
  <si>
    <t>10.1371/journal.pone.0197009</t>
  </si>
  <si>
    <t>GE5SH</t>
  </si>
  <si>
    <t>WOS:000431281900092</t>
  </si>
  <si>
    <t>Park, J; Kim, HC; Jo, YH; Kidwell, A; Hwang, J</t>
  </si>
  <si>
    <t>Park, Jinku; Kim, Hyun-Cheol; Jo, Young-Heon; Kidwell, Autumn; Hwang, Jihyun</t>
  </si>
  <si>
    <t>Multi-temporal variation of the Ross Sea Polynya in response to climate forcings</t>
  </si>
  <si>
    <t>Ensemble Empirical Mode Decomposition (EEMD); nonlinear trend; Southern Ocean; sea ice; Antarctica</t>
  </si>
  <si>
    <t>EMPIRICAL MODE DECOMPOSITION; NOVA BAY POLYNYA; PHYTOPLANKTON DYNAMICS; SOUTHERN-OSCILLATION; SURFACE-TEMPERATURE; CONTINENTAL-SHELF; ICE; VARIABILITY; ICEBERG; TRENDS</t>
  </si>
  <si>
    <t>The multi-temporal scales of two physical characteristics (areas and occurrence time) of the Ross Sea Polynya (RSP) in Antarctica were analysed using a sea-ice concentration data set (1979-2014) derived from the Scanning Multichannel Microwave Radiometer, the Special Sensor Microwave Imager and Sensor Microwave Imager Sounder. Then, the Ensemble Empirical Mode Decomposition (EEMD) was applied to the data sets to decompose signals into finite numbers of intrinsic mode functions and a residual mode: long time trend. This approach allowed us to understand the long-term variability of the RSP area and occurrence in response to atmospheric forcing through teleconnections between low and high latitudes by comparing the Nino3.4 and Southern Annular Mode (SAM) indices. The nonlinear trend of the RSP areas derived from the EEMD residual had an upward trending shift in the early 1990s and was fairly consistent with the nonlinear trend of Nino3.4. However, the trend of RSP occurrence time progressively increased and had a significant effect on the long time scale. The trend of the RSP area is significantly correlated (+0.98) with the ratio of the trend of the meridional to zonal wind components related with the nonlinearity of Nino3.4, suggesting that meridional wind stress dominated the changes of the polynya area in the Ross Sea. In addition, the nonlinear trends between the SAM and RSP occurrence time show a strong positive correlation, contributing to the earlier onset of polynya expansion and delayed connection with the open ocean owing to enhanced southerly winds.</t>
  </si>
  <si>
    <t>[Park, Jinku; Jo, Young-Heon; Hwang, Jihyun] Pusan Natl Univ, Dept Oceanog, Busan 46241, South Korea; [Kim, Hyun-Cheol] Korea Polar Res Inst, Incheon, South Korea; [Kidwell, Autumn] Univ Texas Austin, Appl Res Labs, Austin, TX 78712 USA</t>
  </si>
  <si>
    <t>Pusan National University; Korea Polar Research Institute (KOPRI); University of Texas System; University of Texas Austin</t>
  </si>
  <si>
    <t>Jo, YH (corresponding author), Pusan Natl Univ, Dept Oceanog, Busan 46241, South Korea.</t>
  </si>
  <si>
    <t>joyoung@pusan.ac.kr</t>
  </si>
  <si>
    <t>Kim, Hyun-Cheol/0000-0002-6831-9291</t>
  </si>
  <si>
    <t>Satellite Remote Sensing on West Antarctic Ocean Research (STAR) project [PE14040]; Ministry of Oceans and Fisheries, Korea [PM17060]</t>
  </si>
  <si>
    <t>Satellite Remote Sensing on West Antarctic Ocean Research (STAR) project; Ministry of Oceans and Fisheries, Korea</t>
  </si>
  <si>
    <t>This study was carried out with the support of the Satellite Remote Sensing on West Antarctic Ocean Research (STAR) project (no. PE14040) and was a part of the project entitled Ecosystem Structure and Function of Marine Protected Area (MPA) in Antarctica (PM17060) funded by the Ministry of Oceans and Fisheries, Korea.</t>
  </si>
  <si>
    <t>10.1080/17518369.2018.1444891</t>
  </si>
  <si>
    <t>GF0CZ</t>
  </si>
  <si>
    <t>WOS:000431598800001</t>
  </si>
  <si>
    <t>Slater, T; Shepherd, A; McMillan, M; Muir, A; Gilbert, L; Hogg, AE; Konrad, H; Parrinello, T</t>
  </si>
  <si>
    <t>Slater, Thomas; Shepherd, Andrew; McMillan, Malcolm; Muir, Alan; Gilbert, Lin; Hogg, Anna E.; Konrad, Hannes; Parrinello, Tommaso</t>
  </si>
  <si>
    <t>A new digital elevation model of Antarctica derived from CryoSat-2 altimetry</t>
  </si>
  <si>
    <t>ICE-SHEET; SATELLITE RADAR; LASER DATA; SURFACE; GREENLAND</t>
  </si>
  <si>
    <t>We present a new digital elevation model (DEM) of the Antarctic ice sheet and ice shelves based on 2.5 x 10(8) observations recorded by the CryoSat-2 satellite radar altimeter between July 2010 and July 2016. The DEM is formed from spatio-temporal fits to elevation measurements accumulated within 1, 2, and 5 km grid cells, and is posted at the modal resolution of 1 km. Altogether, 94% of the grounded ice sheet and 98% of the floating ice shelves are observed, and the remaining grid cells north of 88 degrees S are interpolated using ordinary kriging. The median and root mean square difference between the DEM and 2.3 x 10(7) airborne laser altimeter measurements acquired during NASA Operation IceBridge campaigns are -0.30 and 13.50 m, respectively. The DEM uncertainty rises in regions of high slope, especially where elevation measurements were acquired in low-resolution mode; taking this into account, we estimate the average accuracy to be 9.5 m - a value that is comparable to or better than that of other models derived from satellite radar and laser altimetry.</t>
  </si>
  <si>
    <t>[Slater, Thomas; Shepherd, Andrew; McMillan, Malcolm; Hogg, Anna E.; Konrad, Hannes] Univ Leeds, Sch Earth &amp; Environm, Ctr Polar Observat &amp; Modelling, Leeds LS2 9JT, W Yorkshire, England; [Muir, Alan; Gilbert, Lin] UCL, Ctr Polar Observat &amp; Modelling, London WC1E 6BT, England; [Parrinello, Tommaso] ESA ESRIN, Via Galileo Galilei, I-00044 Frascati Rm, Italy</t>
  </si>
  <si>
    <t>University of Leeds; University of London; University College London; European Space Agency</t>
  </si>
  <si>
    <t>Slater, T (corresponding author), Univ Leeds, Sch Earth &amp; Environm, Ctr Polar Observat &amp; Modelling, Leeds LS2 9JT, W Yorkshire, England.</t>
  </si>
  <si>
    <t>py10ts@leeds.ac.uk</t>
  </si>
  <si>
    <t>Konrad, Hannes/H-7647-2013; McMillan, Malcolm/HLQ-1163-2023; Konrad, Hannes/A-1813-2016</t>
  </si>
  <si>
    <t>Slater, Thomas/0000-0003-2541-7788; McMillan, Malcolm/0000-0002-5113-0177; Konrad, Hannes/0000-0002-5058-8637; Shepherd, Andrew/0000-0002-4914-1299; Muir, Alan/0000-0001-7754-088X</t>
  </si>
  <si>
    <t>Natural Environment Research Council (NERC) [cpom300001, 4000107503/13/I-BG]; NERC Ice Sheet Stability (iSTAR) Programme; NERC [NE/J005681/1]; European Space Agency; European Space Agency [4000112797/15/I-SBo]; NERC [cpom30001, NE/J005681/1, NE/R012407/1] Funding Source: UKRI</t>
  </si>
  <si>
    <t>Natural Environment Research Council (NERC)(UK Research &amp; Innovation (UKRI)Natural Environment Research Council (NERC)); NERC Ice Sheet Stability (iSTAR) Programme; NERC(UK Research &amp; Innovation (UKRI)Natural Environment Research Council (NERC)); European Space Agency(European Space Agency); European Space Agency(European Space Agency); NERC(UK Research &amp; Innovation (UKRI)Natural Environment Research Council (NERC))</t>
  </si>
  <si>
    <t>This work was led by the NERC Centre for Polar Observation and Modelling, supported by the Natural Environment Research Council (NERC) (cpom300001), with the support of grant 4000107503/13/I-BG. We acknowledge the European Space Agency (ESA) for the provision of CryoSat-2 data, ESA's Antarcic_Ice Sheet_cci, and the National Snow and Ice Data Center (NSIDC) for the provision of IceBridge airborne altimetry data. We also acknowledge the authors of the three digital elevation models used in this study, all of which are freely available online. Thomas Slater is funded through the NERC Ice Sheet Stability (iSTAR) Programme and NERC grant number NE/J005681/1. Anna E. Hogg is funded from the European Space Agency's support to Science Element programme and an independent research fellowship (4000112797/15/I-SBo). We thank the editor and three anonymous reviewers for their comments, which helped improve the manuscript.</t>
  </si>
  <si>
    <t>10.5194/tc-12-1551-2018</t>
  </si>
  <si>
    <t>GE6VE</t>
  </si>
  <si>
    <t>Green Submitted, gold, Green Published</t>
  </si>
  <si>
    <t>WOS:000431367800001</t>
  </si>
  <si>
    <t>Wiesenekker, JM; Munneke, PK; van den Broeke, MR; Smeets, CJPP</t>
  </si>
  <si>
    <t>Wiesenekker, Jasper M.; Munneke, Peter Kuipers; van den Broeke, Michiel R.; Smeets, C. J. P. Paul</t>
  </si>
  <si>
    <t>A Multidecadal Analysis of Fohn Winds over Larsen C Ice Shelf from a Combination of Observations and Modeling</t>
  </si>
  <si>
    <t>ATMOSPHERE</t>
  </si>
  <si>
    <t>Fohn; Antarctic Peninsula; Larsen ice shelf; multidecadal analysis; automatic weather station; regional climate model</t>
  </si>
  <si>
    <t>HEMISPHERE ANNULAR MODE; DIGITAL ELEVATION MODEL; ANTARCTIC PENINSULA; CLIMATE MODEL; TEMPERATURE; VARIABILITY; COLLAPSE; FLOW</t>
  </si>
  <si>
    <t>The southward progression of ice shelf collapse in the Antarctic Peninsula is partially attributed to a strengthening of the circumpolar westerlies and the associated increase in fohn conditions over its eastern ice shelves. We used observations from an automatic weather station at Cabinet Inlet on the northern Larsen C ice shelf between 25 November 2014 and 31 December 2016 to describe fohn dynamics. Observed fohn frequency was compared to the latest version of the regional climate model RACMO2.3p2, run over the Antarctic Peninsula at 5.5-km horizontal resolution. A fohn identification scheme based on observed wind conditions was employed to check for model biases in fohn representation. Seasonal variation in total fohn event duration was resolved with sufficient skill. The analysis was extended to the model period (1979-2016) to obtain a multidecadal perspective of fohn occurrence over Larsen C ice shelf. Fohn occurrence at Cabinet Inlet strongly correlates with near-surface air temperature, and both are found to relate strongly to the location and strength of the Amundsen Sea Low. Furthermore, we demonstrated that fohn occurrence over Larsen C ice shelf shows high variability in space and time.</t>
  </si>
  <si>
    <t>[Wiesenekker, Jasper M.; Munneke, Peter Kuipers; van den Broeke, Michiel R.; Smeets, C. J. P. Paul] Univ Utrecht, Inst Marine &amp; Atmospher Res, NL-3508 TA Utrecht, Netherlands</t>
  </si>
  <si>
    <t>Utrecht University</t>
  </si>
  <si>
    <t>Wiesenekker, JM (corresponding author), Univ Utrecht, Inst Marine &amp; Atmospher Res, NL-3508 TA Utrecht, Netherlands.</t>
  </si>
  <si>
    <t>jmwiesenekker@gmail.com; p.kuipersmunneke@uu.nl; m.r.vandenbroeke@uu.nl; c.j.p.p.smeets@uu.nl</t>
  </si>
  <si>
    <t>Van den Broeke, Michiel R./F-7867-2011</t>
  </si>
  <si>
    <t>Van den Broeke, Michiel R./0000-0003-4662-7565</t>
  </si>
  <si>
    <t>Netherlands Earth System Science Centre (NESSC); MIDAS (Impact of Melt on Ice Shelf Dynamics and Stability), a NERC award [NE/L006707]</t>
  </si>
  <si>
    <t>Netherlands Earth System Science Centre (NESSC); MIDAS (Impact of Melt on Ice Shelf Dynamics and Stability), a NERC award</t>
  </si>
  <si>
    <t>This research was funded by a Netherlands Earth System Science Centre (NESSC) grant to M.R.v.d.B. The automatic weather station is partly funded by MIDAS (Impact of Melt on Ice Shelf Dynamics and Stability), a NERC award granted to Swansea and Aberystwyth Universities under number NE/L006707.</t>
  </si>
  <si>
    <t>2073-4433</t>
  </si>
  <si>
    <t>ATMOSPHERE-BASEL</t>
  </si>
  <si>
    <t>Atmosphere</t>
  </si>
  <si>
    <t>MAY</t>
  </si>
  <si>
    <t>10.3390/atmos9050172</t>
  </si>
  <si>
    <t>GJ3JP</t>
  </si>
  <si>
    <t>WOS:000435190300015</t>
  </si>
  <si>
    <t>Ramm, TD; Watson, CS; White, CJ</t>
  </si>
  <si>
    <t>Ramm, Timothy David; Watson, Christopher Stephen; White, Christopher John</t>
  </si>
  <si>
    <t>Describing adaptation tipping points in coastal flood risk management</t>
  </si>
  <si>
    <t>COMPUTERS ENVIRONMENT AND URBAN SYSTEMS</t>
  </si>
  <si>
    <t>Adaptation; Climate change; Inundation; Tipping point; Uncertainty; Vulnerability</t>
  </si>
  <si>
    <t>CLIMATE-CHANGE ADAPTATION; SEA-LEVEL RISE; ADAPTIVE POLICY PATHWAYS; SCENARIO DISCOVERY; DECISION-MAKING; UNCERTAINTY; IMPACT</t>
  </si>
  <si>
    <t>Assessing changing coastal flood risk becomes increasingly uncertain across multi-decadal timeframes. This uncertainty is a fundamental complexity faced in vulnerability assessments and adaptation planning. Robust decision making (RDM) and dynamic adaptive policy pathways (DAPP) are two state-of-the-art decision support methods that are useful in such situations. In this study we use RDM to identify a small set of conditions that cause unacceptable impacts from coastal flooding, signifying that an adaptation tipping point is reached. Flexible adaptation pathways can then be designed using the DAPP framework. The methodology is illustrated using a case study in Australia and underpinned by a geographic information system model. The results suggest that conditions identified in scenario discovery direct the attention of decision-makers towards a small number of uncertainties most influential on the vulnerability of a community to changing flood patterns. This can facilitate targeted data collection and coastal monitoring activities when resources are scarce. Importantly, it can also be employed to illustrate more broadly how uncontrolled societal development, land use and historic building regulations might exacerbate flood impacts in low-lying urban areas. Notwithstanding the challenges that remain around simulation modelling and detection of environmental change, the results from our study suggest that RDM can be embedded within a DAPP framework to better plan for changing coastal flood risks.</t>
  </si>
  <si>
    <t>[Ramm, Timothy David; White, Christopher John] Univ Tasmania, Sch Engn &amp; ICT, Private Bag 65, Hobart, Tas 7001, Australia; [Ramm, Timothy David] Bushfire &amp; Nat Hazards Cooperat Res Ctr, Melbourne, Vic, Australia; [Watson, Christopher Stephen] Univ Tasmania, Sch Land &amp; Food, Hobart, Tas, Australia; [White, Christopher John] Antarctic Climate &amp; Ecosyst Cooperat Res Ctr, Hobart, Tas, Australia; [White, Christopher John] Univ Strathclyde, Dept Civil &amp; Environm Engn, Glasgow, Lanark, Scotland</t>
  </si>
  <si>
    <t>University of Tasmania; Bushfire &amp; Natural Hazards CRC; Melbourne Genomics Health Alliance; University of Tasmania; Antarctic Climate &amp; Ecosystems Cooperative Research Centre (ACE CRC); University of Strathclyde</t>
  </si>
  <si>
    <t>Ramm, TD (corresponding author), Univ Tasmania, Sch Engn &amp; ICT, Private Bag 65, Hobart, Tas 7001, Australia.</t>
  </si>
  <si>
    <t>timothy.ramm@utas.edu.au</t>
  </si>
  <si>
    <t>Watson, Christopher S/D-4707-2013</t>
  </si>
  <si>
    <t>Ramm, Timothy/0000-0003-2496-7075; Watson, Christopher/0000-0002-7464-4592</t>
  </si>
  <si>
    <t>Bushfire and Natural Hazards Cooperative Research Centre program [W0024280]; Australian Government Research Training Program scholarship</t>
  </si>
  <si>
    <t>Bushfire and Natural Hazards Cooperative Research Centre program(Australian GovernmentDepartment of Industry, Innovation and ScienceCooperative Research Centres (CRC) Programme); Australian Government Research Training Program scholarship(Australian GovernmentDepartment of Industry, Innovation and Science)</t>
  </si>
  <si>
    <t>The authors are grateful for the financial support from the Bushfire and Natural Hazards Cooperative Research Centre program (W0024280) and the Australian Government Research Training Program scholarship. The authors also thank Audrey Lau for providing the baseline flood hazard mapping, Geosciences Australia for providing vulnerability curve data and Ben Bryant for helpful discussions about the 'sdtoolkit' package.</t>
  </si>
  <si>
    <t>0198-9715</t>
  </si>
  <si>
    <t>1873-7587</t>
  </si>
  <si>
    <t>COMPUT ENVIRON URBAN</t>
  </si>
  <si>
    <t>Comput. Environ. Urban Syst.</t>
  </si>
  <si>
    <t>10.1016/j.compenvurbsys.2018.01.002</t>
  </si>
  <si>
    <t>Computer Science, Interdisciplinary Applications; Engineering, Environmental; Environmental Studies; Geography; Operations Research &amp; Management Science; Regional &amp; Urban Planning</t>
  </si>
  <si>
    <t>Computer Science; Engineering; Environmental Sciences &amp; Ecology; Geography; Operations Research &amp; Management Science; Public Administration</t>
  </si>
  <si>
    <t>GB9KR</t>
  </si>
  <si>
    <t>WOS:000429393200007</t>
  </si>
  <si>
    <t>Son, SW; Han, BR; Garfinkel, CI; Kim, SY; Park, R; Abraham, NL; Akiyoshi, H; Archibald, AT; Butchart, N; Chipperfield, MP; Dameris, M; Deushi, M; Dhomse, SS; Hardiman, SC; Jöckel, P; Kinnison, D; Michou, M; Morgenstern, O; MO'Connor, F; Oman, LD; Plummer, DA; Pozzer, A; Revell, LE; Rozanov, E; Stenke, A; Stone, K; Tilmes, S; Yamashita, Y; Zeng, G</t>
  </si>
  <si>
    <t>Son, Seok-Woo; Han, Bo-Reum; Garfinkel, Chaim I.; Kim, Seo-Yeon; Park, Rokjin; Abraham, N. Luke; Akiyoshi, Hideharu; Archibald, Alexander T.; Butchart, N.; Chipperfield, Martyn P.; Dameris, Martin; Deushi, Makoto; Dhomse, Sandip S.; Hardiman, Steven C.; Joeckel, Patrick; Kinnison, Douglas; Michou, Martine; Morgenstern, Olaf; MO'Connor, Fiona; Oman, Luke D.; Plummer, David A.; Pozzer, Andrea; Revell, Laura E.; Rozanov, Eugene; Stenke, Andrea; Stone, Kane; Tilmes, Simone; Yamashita, Yousuke; Zeng, Guang</t>
  </si>
  <si>
    <t>Tropospheric jet response to Antarctic ozone depletion: An update with Chemistry-Climate Model Initiative (CCMI) models</t>
  </si>
  <si>
    <t>ENVIRONMENTAL RESEARCH LETTERS</t>
  </si>
  <si>
    <t>ozone depletion; Southern Hemisphere jet trends; chemistry-climate model initiative (CCMI)</t>
  </si>
  <si>
    <t>STRATOSPHERIC OZONE; SOUTHERN-OCEAN; ANNULAR MODE; HADLEY-CELL; TRENDS; VARIABILITY; CIRCULATION; REANALYSIS; EXPANSION; SYSTEM</t>
  </si>
  <si>
    <t>The Southern Hemisphere (SH) zonal-mean circulation change in response to Antarctic ozone depletion is re-visited by examining a set of the latest model simulations archived for the Chemistry-Climate Model Initiative (CCMI) project. All models reasonably well reproduce Antarctic ozone depletion in the late 20th century. The related SH-summer circulation changes, such as a poleward intensification of westerly jet and a poleward expansion of the Hadley cell, are also well captured. All experiments exhibit quantitatively the same multi-model mean trend, irrespective of whether the ocean is coupled or prescribed. Results are also quantitatively similar to those derived from the Coupled Model Intercomparison Project phase 5 (CMIP5) high-top model simulations in which the stratospheric ozone is mostly prescribed with monthly- and zonally-averaged values. These results suggest that the ozone-hole-induced SH-summer circulation changes are robust across the models irrespective of the specific chemistry-atmosphere-ocean coupling.</t>
  </si>
  <si>
    <t>[Son, Seok-Woo; Han, Bo-Reum; Kim, Seo-Yeon; Park, Rokjin] Seoul Natl Univ, Sch Earth &amp; Environm Sci, Seoul, South Korea; [Garfinkel, Chaim I.] Hebrew Univ Jerusalem, Fredy &amp; Nadine Herrmann Inst Earth Sci, Jerusalem, Israel; [Abraham, N. Luke; Archibald, Alexander T.] Univ Cambridge, Dept Chem, Cambridge, England; [Abraham, N. Luke; Archibald, Alexander T.] Natl Ctr Atmospher Sci, Leeds, W Yorkshire, England; [Akiyoshi, Hideharu; Yamashita, Yousuke] Natl Inst Environm Studies, Tsukuba, Ibaraki, Japan; [Butchart, N.; Hardiman, Steven C.; MO'Connor, Fiona] Met Off Hadley Ctr, Exeter, Devon, England; [Chipperfield, Martyn P.; Dhomse, Sandip S.] Univ Leeds, Sch Earth &amp; Environm, Leeds, W Yorkshire, England; [Dameris, Martin; Joeckel, Patrick] Zentrum Luft &amp; Raumfahrt DLR, Inst Phys Atmosphere, Oberpfaffenhofen, Germany; [Deushi, Makoto] Meteorol Res Inst, Tsukuba, Ibaraki, Japan; [Kinnison, Douglas; Tilmes, Simone] Natl Ctr Atmospher Res, POB 3000, Boulder, CO 80307 USA; [Michou, Martine] CNRS, UMR 3589, CNRM, Meteo France, Toulouse, France; [Morgenstern, Olaf; Zeng, Guang] Natl Inst Water &amp; Atmospher Res, Wellington, New Zealand; [Oman, Luke D.] NASA, Goddard Space Flight Ctr, Greenbelt, MD USA; [Plummer, David A.] Environm &amp; Climate Change Canada, Montreal, PQ, Canada; [Pozzer, Andrea] Max Planck Inst Chem, Mainz, Germany; [Revell, Laura E.; Rozanov, Eugene; Stenke, Andrea] Swiss Fed Inst Technol, Inst Atmospher &amp; Climate Sci, Zurich, Switzerland; [Revell, Laura E.] Bodeker Sci, Christchurch, New Zealand; [Rozanov, Eugene] Davos World Radiat Ctr, Phys Meteorol Observ, Davos, Switzerland; [Stone, Kane] Univ Melbourne, Sch Earth Sci, Melbourne, Vic, Australia; [Yamashita, Yousuke] Japan Agcy Marine Earth Sci &amp; Technol, Yokohama, Kanagawa, Japan; [Stone, Kane] MIT, Boston, MA USA</t>
  </si>
  <si>
    <t>Seoul National University (SNU); Hebrew University of Jerusalem; University of Cambridge; University of Leeds; UK Research &amp; Innovation (UKRI); Natural Environment Research Council (NERC); NERC National Centre for Atmospheric Science; National Institute for Environmental Studies - Japan; Met Office - UK; Hadley Centre; University of Leeds; Meteorological Research Institute - Japan; National Center Atmospheric Research (NCAR) - USA; Centre National de la Recherche Scientifique (CNRS); National Institute of Water &amp; Atmospheric Research (NIWA) - New Zealand; National Aeronautics &amp; Space Administration (NASA); NASA Goddard Space Flight Center; Environment &amp; Climate Change Canada; Max Planck Society; Swiss Federal Institutes of Technology Domain; ETH Zurich; University of Melbourne; Melbourne Bioinformatics; Japan Agency for Marine-Earth Science &amp; Technology (JAMSTEC); Massachusetts Institute of Technology (MIT)</t>
  </si>
  <si>
    <t>Son, SW (corresponding author), Seoul Natl Univ, Sch Earth &amp; Environm Sci, Seoul, South Korea.</t>
  </si>
  <si>
    <t>seokwooson@snu.ac.kr</t>
  </si>
  <si>
    <t>Dhomse, Sandip/C-8198-2011; Yamashita, Yousuke/AAB-4754-2019; Revell, Laura/ABG-7040-2020; Jöckel, Patrick/C-3687-2009; Rozanov, Eugene/V-1881-2018; Archibald, Alexander/GRR-5452-2022; Park, Rokjin J./I-5055-2012; Tilmes, Simone/JUV-6618-2023; Chipperfield, Martyn/H-6359-2013; Pozzer, Andrea/L-4872-2013; Oman, Luke D/C-2778-2009; Son, Seok-Woo/A-8797-2013; Hardiman, Steven/HDO-0165-2022; Stenke, Andrea/GYJ-6299-2022; Akiyoshi, Hideharu/H-8170-2018; garfinkel, chaim I/AAA-1134-2020</t>
  </si>
  <si>
    <t>Dhomse, Sandip/0000-0003-3854-5383; Yamashita, Yousuke/0000-0002-6813-4668; Revell, Laura/0000-0002-8974-7703; Jöckel, Patrick/0000-0002-8964-1394; Rozanov, Eugene/0000-0003-0479-4488; Tilmes, Simone/0000-0002-6557-3569; Chipperfield, Martyn/0000-0002-6803-4149; Pozzer, Andrea/0000-0003-2440-6104; garfinkel, chaim I/0000-0001-7258-666X; Stenke, Andrea/0000-0002-5916-4013; Deushi, Makoto/0000-0002-0373-3918; Abraham, Nathan Luke/0000-0003-3750-3544; Zeng, Guang/0000-0002-9356-5021; Archibald, Alexander/0000-0001-9302-4180; O'Connor, Fiona/0000-0003-2893-4828; Dameris, Martin/0000-0001-6700-0628</t>
  </si>
  <si>
    <t>Korea Ministry of Environment as 'Climate Change Correspondence Program'; Israel Science Foundation [1558/14]; Joint UK BEIS/Defra Met Office Hadley Centre Climate Programme [GA01101]; European Commission's 7th Framework Programme [603557]; Horizon European Union's Framework Programme for Research and Innovation Coordinated Research in Earth Systems and Climate: Experiments, kNowledge, Dissemination and Outreach (CRESCENDO) project [641816]; Bundesministerium fur Bildung und Forschung (BMBF); New Zealand Royal Society Marsden Fund [12-NIW-006]; Deep South National Science Challenge; NZ Government's Strategic Science Investment Fund (SSIF) through the NIWA programme CACV; NeSI's collaborator institutions; Ministry of Business, Innovation and Employment'sResearch Infrastructure programme; Environment Research and Technology Development Fund of the Environmental Restoration and Conservation Agency [2-1709]; National Science Foundation; Office of Science (BER) of the US Department of Energy; Swiss National Science Foundation [CRSII2_147659, 200021_169241, 200020_163206]; Grants-in-Aid for Scientific Research [16K16186] Funding Source: KAKEN; Swiss National Science Foundation (SNF) [200021_169241, CRSII2_147659, 200020_163206] Funding Source: Swiss National Science Foundation (SNF); NERC [ncas10003] Funding Source: UKRI</t>
  </si>
  <si>
    <t>Korea Ministry of Environment as 'Climate Change Correspondence Program'(Ministry of Environment (ME), Republic of Korea); Israel Science Foundation(Israel Science Foundation); Joint UK BEIS/Defra Met Office Hadley Centre Climate Programme; European Commission's 7th Framework Programme(European Union (EU)); Horizon European Union's Framework Programme for Research and Innovation Coordinated Research in Earth Systems and Climate: Experiments, kNowledge, Dissemination and Outreach (CRESCENDO) project(European Union (EU)); Bundesministerium fur Bildung und Forschung (BMBF)(Federal Ministry of Education &amp; Research (BMBF)); New Zealand Royal Society Marsden Fund(Royal Society of New ZealandMarsden Fund (NZ)); Deep South National Science Challenge; NZ Government's Strategic Science Investment Fund (SSIF) through the NIWA programme CACV; NeSI's collaborator institutions; Ministry of Business, Innovation and Employment'sResearch Infrastructure programme(New Zealand Ministry of Business, Innovation and Employment (MBIE)); Environment Research and Technology Development Fund of the Environmental Restoration and Conservation Agency; National Science Foundation(National Science Foundation (NSF)); Office of Science (BER) of the US Department of Energy(United States Department of Energy (DOE)); Swiss National Science Foundation(Swiss National Science Foundation (SNSF)); Grants-in-Aid for Scientific Research(Ministry of Education, Culture, Sports, Science and Technology, Japan (MEXT)Japan Society for the Promotion of ScienceGrants-in-Aid for Scientific Research (KAKENHI)); Swiss National Science Foundation (SNF)(Swiss National Science Foundation (SNSF)); NERC(UK Research &amp; Innovation (UKRI)Natural Environment Research Council (NERC))</t>
  </si>
  <si>
    <t>We thank I Cionni for helpful discussion and sharing CMIP5 ozone dataset, the international modelling groups for making their simulations available for this analysis, the joint WCRP SPARC/IGAC CCMI for organizing and coordinating the model data analysis activity, and the British Atmospheric Data Centre (BADC) for collecting and archiving the CCMI model output. All datasets used in this study are availableonline: http://blogs.reading.ac.uk/ccmi/badc-data-access. The work by S-W Son and R Park was supported by Korea Ministry of Environment as 'Climate Change Correspondence Program'. C I Garfinkel was supported by the Israel Science Foundation (grant 1558/14). The work of N Butchart, S C Hardiman, and F M O'Connor was supported by the Joint UK BEIS/Defra Met Office Hadley Centre Climate Programme (GA01101) N Butchart and S C Hardiman were also supported by the European Commission's 7th Framework Programme, under grant agreement no. 603557, StratoClim project. F M O'Connor also acknowledges support from the Horizon 2020 European Union's Framework Programme for Research and Innovation Coordinated Research in Earth Systems and Climate: Experiments, kNowledge, Dissemination and Outreach (CRESCENDO) project under grant agreement no. 641816. The EMAC simulations were performed at the German Climate Computing Centre (DKRZ) through support from the Bundesministerium fur Bildung und Forschung (BMBF). DKRZ and its scientific steering committee are gratefully acknowledged for providing the HPC and data archiving resources for the consortial project ESCiMo (Earth System Chemistry integrated Modelling). UMUKCA-UCAM model integrations were performed using the ARCHER UK National Supercomputing Service and the MONSooN system, a collaborative facility supplied under the Joint Weather and Climate Research Programme, which is a strategic partnership between the UK Met Office and the National Environment Research Council. O Morgenstern acknowledges funding by the New Zealand Royal Society Marsden Fund (grant 12-NIW-006) and by the Deep South National Science Challenge. The support by the NZ Government's Strategic Science Investment Fund (SSIF) through the NIWA programme CACV and the contribution of NeSI high-performance computing facilities are also acknowledged. New Zealand's national facilities are provided by the New Zealand eScience Infrastructure (NeSI) and funded jointly by NeSI's collaborator institutions and through the Ministry of Business, Innovation and Employment'sResearch Infrastructure programme. CCSRNIES-MIROC3.2 computations were performed on NIES computers (NEC-SX9/A(ECO), and supported by the Environment Research and Technology Development Fund (2-1709) of the Environmental Restoration and Conservation Agency. The CESM project was supported by the National Science Foundation and the Office of Science (BER) of the US Department of Energy. The National Center for Atmospheric Research is funded by the National Science Foundation. The CCM SOCOL model development and maintaining were supported by the Swiss National Science Foundation under grant agreement CRSII2_147659 (FUPSOL II). E Rozanov work was partially supported by the Swiss National Science Foundation under grants 200021_169241 (VEC) and 200020_163206 (SIMA).</t>
  </si>
  <si>
    <t>1748-9326</t>
  </si>
  <si>
    <t>ENVIRON RES LETT</t>
  </si>
  <si>
    <t>Environ. Res. Lett.</t>
  </si>
  <si>
    <t>10.1088/1748-9326/aabf21</t>
  </si>
  <si>
    <t>GF2WB</t>
  </si>
  <si>
    <t>WOS:000431799700001</t>
  </si>
  <si>
    <t>Hughes, KA; Constable, A; Frenot, Y; López-Martínez, J; McIvor, E; Njastad, B; Terauds, A; Liggett, D; Roldan, G; Wilmotte, A; Xavier, JC</t>
  </si>
  <si>
    <t>Hughes, Kevin A.; Constable, Andrew; Frenot, Yves; Lopez-Martinez, Jeronimo; McIvor, Ewan; Njastad, Birgit; Terauds, Aleks; Liggett, Daniela; Roldan, Gabriela; Wilmotte, Annick; Xavier, Jose C.</t>
  </si>
  <si>
    <t>Antarctic environmental protection: Strengthening the links between science and governance</t>
  </si>
  <si>
    <t>ENVIRONMENTAL SCIENCE &amp; POLICY</t>
  </si>
  <si>
    <t>Policy; Science; Environment; Communication; Conservation; Human impact; Legislation; Antarctic Treaty area</t>
  </si>
  <si>
    <t>BIOLOGICAL INVASIONS; BIODIVERSITY; KNOWLEDGE; IMPACTS; CLIMATE; CONSERVATION; ECOSYSTEMS</t>
  </si>
  <si>
    <t>The Antarctic has significant environmental, scientific, historic, and intrinsic values, all of which are worth protecting into the future. Nevertheless, the area is subject to an increasing level and diversity of human activities that may inpact these values within marine, terrestrial and cryosphere environments. Threats to the Antarctic environment, and to the aforementioned values, include climate change, pollution, habitat destructiOn, wildlife disturbance and non-native species introductions. Over time, a suite of legally binding international agreements, which form part of the Antarctic Treaty System (ATS), has been established to help safeguard the Antarclic envirmment and provide a framework for addressing the challenges arising from these threats: FOremost among these agreements are the Protocol on Environmental Protection to the Antarctic Treaty arid the Conyention on the  Conservation of Antarctic Marine Living Resources. Many scientists working in Antarctica undertake research that is relevant to Antarctic environmental policy developMent. More effective two-way interaction between scientists and those responsible for policy development would further strengthen the governance framework, including by (a) better communication of policy makers' priorities and identification of related science requirements and (b) better proviSion by scientists of 'policy-ready' information on existing priorities, emerging issues and scientific/. technological advances relevant to environmental protection. The Scientific Committee on. Antarclie Research (SCAR) has a long and successful record of summarizing policy-relevant scientific knowledge to policy makers, such as through its Group of Specialists on Environmental Affairs and Conservation (GOSEAC) up to 2002, currently the SCAR Standing Committee on the Antarctic Treaty System (SCATS) and recently through its involvement in the Antarctic Environments Portal. Improvements to science-policy communication mechanisms, combined with purposeful consideration of funding opportunities for policy-televant science, would greatly enhance international policy development and protection of the Antarctic environment.</t>
  </si>
  <si>
    <t>[Hughes, Kevin A.; Xavier, Jose C.] British Antarctic Survey, Nat Environm Res Council, Madingley Rd, Cambridge CB3 0ET, England; [Constable, Andrew; McIvor, Ewan; Terauds, Aleks] Australian Antarctic Div, 203 Channel Highway, Kingston, Tas 7050, Australia; [Frenot, Yves] Inst Polaire Francais Paul Emile Victor IPEV, CS 60075, F-29280 Plouzane, France; [Lopez-Martinez, Jeronimo] Univ Autonoma Madrid, Fac Ciencias, Dept Geol &amp; Geoquim, E-28049 Madrid, Spain; [Njastad, Birgit] Norwegian Polar Res Inst, Fram Ctr, Postbox 6606 Langnes, N-9296 Tromso, Norway; [Liggett, Daniela; Roldan, Gabriela] Univ Canterbury, Gateway Antarctica, Private Bag 4800, Christchurch 8140, New Zealand; [Wilmotte, Annick] Univ Liege, InBios Ctr Prot Engn, Dept Life Sci, Liege, Belgium; [Xavier, Jose C.] Univ Coimbra, Marine &amp; Environm Sci Ctr MARE UC, Dept Life Sci, Coimbra, Portugal</t>
  </si>
  <si>
    <t>UK Research &amp; Innovation (UKRI); Natural Environment Research Council (NERC); NERC British Antarctic Survey; Australian Antarctic Division; Autonomous University of Madrid; Norwegian Polar Institute; University of Canterbury; University of Liege; Universidade de Coimbra</t>
  </si>
  <si>
    <t>Hughes, KA (corresponding author), British Antarctic Survey, Nat Environm Res Council, Madingley Rd, Cambridge CB3 0ET, England.</t>
  </si>
  <si>
    <t>kehu@bas.ac.uk</t>
  </si>
  <si>
    <t>Terauds, Aleks/A-4991-2010; Xavier, José/KFB-6739-2024; Lopez-Martinez, Jeronimo/C-5744-2011; Wilmotte, Annick/H-1686-2011; Hughes, Kevin/JVZ-0793-2024</t>
  </si>
  <si>
    <t>Lopez-Martinez, Jeronimo/0000-0002-1750-8287; Terauds, Aleks/0000-0001-7804-6648; /0000-0002-9621-6660; McIvor, Ewan/0000-0003-4364-2516; Wilmotte, Annick/0000-0003-3546-3489; Liggett, Daniela/0000-0003-4184-5205</t>
  </si>
  <si>
    <t>UK Natural Environment Research Council (NERC); Investigator FCT program [IF/00616/2013]; 'Fundacao para a Ciencia e Tecnologia' (FCT) [UID/MAR/04292/2013]; Belgian Science Policy Office; NERC [bas010011] Funding Source: UKRI</t>
  </si>
  <si>
    <t>UK Natural Environment Research Council (NERC)(UK Research &amp; Innovation (UKRI)Natural Environment Research Council (NERC)); Investigator FCT program(Fundacao para a Ciencia e a Tecnologia (FCT)); 'Fundacao para a Ciencia e Tecnologia' (FCT)(Fundacao para a Ciencia e a Tecnologia (FCT)); Belgian Science Policy Office(Belgian Federal Science Policy Office); NERC(UK Research &amp; Innovation (UKRI)Natural Environment Research Council (NERC))</t>
  </si>
  <si>
    <t>This work originated out of presentations and discussion that occurred during a mini-symposium held on 23 August 2016 at the SCAR Open Science Conference, Kuala Lumpur, Malaysia entitled 'Linking Antarctic Science with Environmental Protection: celebrating the 25th Anniversary of the Madrid Protocol' and we thank the organisers of this meeting. Steven Chown is acknowledged for his substantial contribution to this project. Laura Gerrish is thanked for map preparation and Malgorzata Smieszek is thanked for providing comments on a late draft of the manuscript. We are particularly indebted to two anonymous reviewers for their insightful comments. KH is supported by UK Natural Environment Research Council (NERC) core-funding to the British Antarctic Survey (BAS). JCX is supported by the Investigator FCT program (IF/00616/2013) and had the support of 'Fundacao para a Ciencia e Tecnologia' (FCT), through the strategic project UID/MAR/04292/2013 granted to MARE. AW is a Research Associate of the Belgian Funds for Scientific Research - FNRS and acknowledges the support of the Belgian Science Policy Office for the CCAMBIO and MICROBIAN projects and her participation to the Belgian delegation in CEP.</t>
  </si>
  <si>
    <t>1462-9011</t>
  </si>
  <si>
    <t>1873-6416</t>
  </si>
  <si>
    <t>ENVIRON SCI POLICY</t>
  </si>
  <si>
    <t>Environ. Sci. Policy</t>
  </si>
  <si>
    <t>10.1016/j.envsci.2018.02.006</t>
  </si>
  <si>
    <t>GC1BH</t>
  </si>
  <si>
    <t>hybrid, Green Published, Green Accepted</t>
  </si>
  <si>
    <t>WOS:000429511100010</t>
  </si>
  <si>
    <t>Guo, SQ; Langelaan, DN; Phippen, SW; Smith, SP; Voets, IK; Davies, PL</t>
  </si>
  <si>
    <t>Guo, Shuaiqi; Langelaan, David N.; Phippen, Sean W.; Smith, Steven P.; Voets, Ilja K.; Davies, Peter L.</t>
  </si>
  <si>
    <t>Conserved structural features anchor biofilm-associated RTX-adhesins to the outer membrane of bacteria</t>
  </si>
  <si>
    <t>FEBS JOURNAL</t>
  </si>
  <si>
    <t>bacterial adhesins; biofilms; structural biology; surface-retention domains</t>
  </si>
  <si>
    <t>I SECRETION; ANTIFREEZE PROTEIN; TOLC; SEQUENCE; CHANNEL; SYSTEMS; EXPORT; SIIE</t>
  </si>
  <si>
    <t>Repeats-in-toxin (RTX) adhesins are present in many Gram-negative bacteria to facilitate biofilm formation. Previously, we reported that the 1.5-MDa RTX adhesin (MpIBP) from the Antarctic bacterium, Marinomonas primoryensis, is tethered to the bacterial cell surface via its N-terminal Region I (RI). Here, we show the detailed structural features of RI. It has an N-terminal periplasmic retention domain (RIN), a central domain (RIM) that can insert into the -barrel of an outer-membrane pore protein during MpIBP secretion, and three extracellular domains at its C terminus (RIC) that transition the protein into the extender region (RII). RIN has a novel -sandwich fold with a similar shape to -crystallins and tryptophan RNA attenuation proteins. Because RIM undergoes fast and extensive degradation in vitro, its narrow cylindrical shape was rapidly measured by small-angle X-ray scattering before proteolysis could occur. The crystal structure of RIC comprises three tandem -sandwich domains similar to those in RII, but increasing in their hydrophobicity with proximity to the outer membrane. In addition, the key Ca2+ ion that rigidifies the linkers between RII domains is not present between the first two of these RIC domains. This more flexible RI linker near the cell surface can act as a pivot' to help the 0.6-m-long MpIBP sweep over larger volumes to find its binding partners. Since the physical features of RI are well conserved in the RTX adhesins of many Gram-negative bacteria, our detailed structural and bioinformatic analyses serve as a model for investigating the surface retention of biofilm-forming bacteria, including human pathogens.</t>
  </si>
  <si>
    <t>[Guo, Shuaiqi; Langelaan, David N.; Phippen, Sean W.; Smith, Steven P.; Davies, Peter L.] Queens Univ, Dept Biomed &amp; Mol Sci, Prot Funct Discovery Grp, Kingston, ON, Canada; [Guo, Shuaiqi; Voets, Ilja K.] Eindhoven Univ Technol, Inst Complex Mol Syst, Dept Chem Engn &amp; Chem, Lab Macromol &amp; Organ Chem, Eindhoven, Netherlands; [Guo, Shuaiqi; Voets, Ilja K.] Eindhoven Univ Technol, Dept Chem Engn &amp; Chem, Phys Chem Lab, Eindhoven, Netherlands; [Langelaan, David N.] Dalhousie Univ, Dept Biochem &amp; Mol Biol, Halifax, NS B3H 4R2, Canada</t>
  </si>
  <si>
    <t>Queens University - Canada; Eindhoven University of Technology; Eindhoven University of Technology; Dalhousie University</t>
  </si>
  <si>
    <t>Davies, PL (corresponding author), Queens Univ, Dept Biomed &amp; Mol Sci, Kingston, ON K7L 3N6, Canada.</t>
  </si>
  <si>
    <t>peter.davies@queensu.ca</t>
  </si>
  <si>
    <t>Langelaan, David/AET-9707-2022; Voets, Ilja/AAG-7502-2021</t>
  </si>
  <si>
    <t>Langelaan, David/0000-0001-9592-3075; Voets, Ilja/0000-0003-3543-4821</t>
  </si>
  <si>
    <t>Natural Sciences and Engineering Research Council of Canada [RGPIN 2015-06667, RGPIN 2016-04810]; European Union through an ERC grant (ERC-2014-StG) [635928]; Canadian Institutes of Health Research [106612]; European Research Council (ERC) [635928] Funding Source: European Research Council (ERC)</t>
  </si>
  <si>
    <t>Natural Sciences and Engineering Research Council of Canada(Natural Sciences and Engineering Research Council of Canada (NSERC)CGIAR); European Union through an ERC grant (ERC-2014-StG); Canadian Institutes of Health Research(Canadian Institutes of Health Research (CIHR)); European Research Council (ERC)(European Research Council (ERC)Spanish Government)</t>
  </si>
  <si>
    <t>We thank Mrs Sherry Gauthier and Dr Qilu Ye for their assistance with cloning and crystallization trials. We are grateful to staff at the 08ID-1 beamline of Canadian Light Source (Saskatoon, Canada), the X6A beamline at the National Synchrotron Light Source (Brookhaven National Laboratory, NY, USA), and the BM29 beamline at the European Synchrotron Radiation Facilities (Grenoble, France) for access to the synchrotron facilities, and for their help with acquiring X-ray crystallographic and SAXS data. This work was funded by Natural Sciences and Engineering Research Council of Canada discovery grants to SPS (RGPIN 2015-06667) and PLD (RGPIN 2016-04810), by the European Union through an ERC grant (ERC-2014-StG Contract No. 635928) to IKV, and by a Canadian Institutes of Health Research operating grant to PLD (106612). PLD holds the Canada Research Chair in Protein Engineering.</t>
  </si>
  <si>
    <t>1742-464X</t>
  </si>
  <si>
    <t>1742-4658</t>
  </si>
  <si>
    <t>FEBS J</t>
  </si>
  <si>
    <t>FEBS J.</t>
  </si>
  <si>
    <t>10.1111/febs.14441</t>
  </si>
  <si>
    <t>Biochemistry &amp; Molecular Biology</t>
  </si>
  <si>
    <t>GI2CQ</t>
  </si>
  <si>
    <t>WOS:000434177700006</t>
  </si>
  <si>
    <t>Alcamán-Arias, ME; Farías, L; Verdugo, J; Alarcón-Schumacher, T; Díez, B</t>
  </si>
  <si>
    <t>Alcaman-Arias, Maria E.; Farias, Laura; Verdugo, Josefa; Alarcon-Schumacher, Tomas; Diez, Beatriz</t>
  </si>
  <si>
    <t>Microbial activity during a coastal phytoplankton bloom on the Western Antarctic Peninsula in late summer</t>
  </si>
  <si>
    <t>FEMS MICROBIOLOGY LETTERS</t>
  </si>
  <si>
    <t>Antarctic microbial communities; phytoplankton bloom; bacterioplankton; C and N assimilation pathways; metatranscriptomics</t>
  </si>
  <si>
    <t>SOUTHERN-OCEAN PHYTOPLANKTON; NORTHERN MARGUERITE BAY; KING-GEORGE-ISLAND; ICE-ZONE WEST; SEA-ICE; COMMUNITY STRUCTURE; INTERANNUAL VARIABILITY; NITROGEN UPTAKE; REGENERATED PRODUCTION; CARBON DYNAMICS</t>
  </si>
  <si>
    <t>Phytoplankton biomass during the austral summer is influenced by freezing and melting cycles as well as oceanographic processes that enable nutrient redistribution in the West Antarctic Peninsula (WAP). Microbial functional capabilities, metagenomic and metatranscriptomic activities as well as inorganic C-13-and N-15-assimilation rates were studied in the surface waters of Chile Bay during two contrasting summer periods in 2014. Concentrations of Chlorophyll a (Chla) varied from 0.3 mg m(-3) in February to a maximum of 2.5 mg m(-3) in March, together with a decrease in nutrients; however, nutrients were never depleted. The microbial community composition remained similar throughout both sampling periods; however, microbial abundance and activity changed with Chla levels. An increased biomass of Bacillariophyta, Haptophyceae and Cryptophyceae was observed along with night-grazing activity of Dinophyceae and ciliates (Alveolates). During high Chla conditions, HCO3- uptake rates during daytime incubations increased 5-fold (&gt;2516 nmol C L-1 d(-1)), and increased photosynthetic transcript numbers that were mainly associated with cryptophytes; meanwhile night time NO3- (&gt;706 nmol N L-1 d(-1)) and NH4+ (41.7 nmol N L-1 d(-1)) uptake rates were 2- and 3-fold higher, respectively, due to activity from Alpha-/Gammaproteobacteria and Bacteroidetes (Flavobacteriia). Due to a projected acceleration in climate change in the WAP, this information is valuable for predicting the composition and functional changes in Antarctic microbial communities.</t>
  </si>
  <si>
    <t>[Alcaman-Arias, Maria E.; Farias, Laura] Univ Concepcion, Dept Oceanog, Concepcion 4070386, Chile; [Alcaman-Arias, Maria E.; Alarcon-Schumacher, Tomas; Diez, Beatriz] Pontificia Univ Catolica Chile, Dept Mol Genet &amp; Microbiol, Santiago 6513677, Chile; [Alcaman-Arias, Maria E.; Farias, Laura; Diez, Beatriz] Univ Chile, Ctr Climate &amp; Resilience Res, Santiago 8370448, Chile; [Verdugo, Josefa] Helmholtz Ctr Polar &amp; Marine Res, Alfred Wegener Inst, D-27570 Bremerhaven, Germany</t>
  </si>
  <si>
    <t>Universidad de Concepcion; Pontificia Universidad Catolica de Chile; Universidad de Chile; Helmholtz Association; Alfred Wegener Institute, Helmholtz Centre for Polar &amp; Marine Research</t>
  </si>
  <si>
    <t>Díez, B (corresponding author), Pontificia Univ Catolica Chile, Fac Biol Sci, Dept Mol Genet &amp; Microbiol, Libertador Bernardo OHiggins 340,Casilla 144-D, Santiago 6513677, Chile.</t>
  </si>
  <si>
    <t>bdiez@bio.puc.cl</t>
  </si>
  <si>
    <t>Verdugo, Josefa/HKE-6338-2023; Díez, Beatriz/AAG-2244-2021</t>
  </si>
  <si>
    <t>Díez, Beatriz/0000-0002-9371-8083; Alcaman-Arias, Maria Estrella/0000-0003-2464-9480; Verdugo, Josefa/0000-0003-0121-1582; Alarcon-Schumacher, Tomas/0000-0001-9159-7188</t>
  </si>
  <si>
    <t>Chilean Antarctic Institute [INACH T_15-10]; Programa de Cooperacion Internacional (PCI)-Comision Nacional de Investigacion y Tecnologia (CONICYT) [DPI20140044]; Fondo de Financiamiento de Centros de Investigacion en Areas Prioritarias (FONDAP)-CONICYT [15110009]; Fondo Nacional de Desarrollo Cientifico y Tecnologico (FONDECYT postdoctoral) -CONICYT [3170807]</t>
  </si>
  <si>
    <t>Chilean Antarctic Institute; Programa de Cooperacion Internacional (PCI)-Comision Nacional de Investigacion y Tecnologia (CONICYT); Fondo de Financiamiento de Centros de Investigacion en Areas Prioritarias (FONDAP)-CONICYT; Fondo Nacional de Desarrollo Cientifico y Tecnologico (FONDECYT postdoctoral) -CONICYT</t>
  </si>
  <si>
    <t>This work was supported by The Chilean Antarctic Institute [grant number INACH T_15-10], Programa de Cooperacion Internacional (PCI)-Comision Nacional de Investigacion y Tecnologia (CONICYT) [grant number DPI20140044], Fondo de Financiamiento de Centros de Investigacion en Areas Prioritarias (FONDAP)-CONICYT [grant number FONDAP No15110009], and Fondo Nacional de Desarrollo Cientifico y Tecnologico (FONDECYT postdoctoral) -CONICYT [grant number No3170807].</t>
  </si>
  <si>
    <t>OXFORD UNIV PRESS</t>
  </si>
  <si>
    <t>GREAT CLARENDON ST, OXFORD OX2 6DP, ENGLAND</t>
  </si>
  <si>
    <t>0378-1097</t>
  </si>
  <si>
    <t>1574-6968</t>
  </si>
  <si>
    <t>FEMS MICROBIOL LETT</t>
  </si>
  <si>
    <t>FEMS Microbiol. Lett.</t>
  </si>
  <si>
    <t>fny090</t>
  </si>
  <si>
    <t>10.1093/femsle/fny090</t>
  </si>
  <si>
    <t>GP7TK</t>
  </si>
  <si>
    <t>WOS:000441112200007</t>
  </si>
  <si>
    <t>Brooks, CM; Caccavo, JA; Ashford, J; Dunbar, R; Goetz, K; La Mesa, M; Zane, L</t>
  </si>
  <si>
    <t>Brooks, Cassandra M.; Caccavo, Jilda Alicia; Ashford, Julian; Dunbar, Robert; Goetz, Kimberly; La Mesa, Mario; Zane, Lorenzo</t>
  </si>
  <si>
    <t>Early life history connectivity of Antarctic silverfish (Pleuragramma antarctica) in the Ross Sea</t>
  </si>
  <si>
    <t>FISHERIES OCEANOGRAPHY</t>
  </si>
  <si>
    <t>Ross Sea; Antarctic silverfish; physical-biological interactions; large-scale circulation; glacial trough systems; Circumpolar Deep Water; life history connectivity; population structure</t>
  </si>
  <si>
    <t>TERRA-NOVA BAY; SPATIAL-DISTRIBUTION; NOTOTHENIOID FISH; WEDDELL SEA; ABUNDANCE; PENINSULA; SHELF; ICE; PISCES; VARIABILITY</t>
  </si>
  <si>
    <t>A recent population hypothesis for Antarctic silverfish (Pleuragramma antarctica), a critical forage species, argued that interactions between life history and circulation associated with glacial trough systems drive circumpolar distributions over the continental shelf. In the Ross Sea, aggregations of eggs and larvae occur under fast ice in Terra Nova Bay, and the hypothesis predicted that dispersing larvae encounter outflow along the western side of Drygalski Trough. The outflow advects larvae towards the shelf-break, and mixing with trough inflow facilitates return toward the inner shelf. To examine the hypothesis, we compared samples of P.antarctica collected near Coulman Island in the outflow, along Crary Bank in the inflow, and a third set taken over the rest of the Ross Sea. We ruled out misidentification using an innovative genetic validation. Silverfish larvae comprised 99.5% of the catch, and the highest population densities were found in Drygalski Trough. The results provided no evidence to reject the population hypothesis. Abundance indices, back-calculated hatching dates, length distributions and growth were congruent with a unified early life history in the western Ross Sea, constrained by cryopelagic early stages in Terra Nova Bay. By contrast, a sample in the Bay of Whales revealed much smaller larvae, suggesting either a geographically separate population in the eastern Ross Sea, or westward connectivity with larvae spawned nearby by fish sourced from troughs upstream in the Amundsen Sea. These results illustrate how hypotheses that integrate population structure with life history can provide precise spatial predictions for subsequent testing.</t>
  </si>
  <si>
    <t>[Brooks, Cassandra M.; Dunbar, Robert] Stanford Univ, Sch Earth Energy &amp; Environm Sci, Stanford, CA 94305 USA; [Brooks, Cassandra M.] Univ Colorado Boulder, Environm Studies Sustainability Energy &amp; Environm, Boulder, CO 80309 USA; [Caccavo, Jilda Alicia; Zane, Lorenzo] Univ Padua, Dipartimento Biol, Padua, Italy; [Ashford, Julian] Old Dominion Univ, Dept Ocean Earth &amp; Atmospher Sci, Ctr Quantitat Fisheries Ecol, Norfolk, VA USA; [Goetz, Kimberly] Natl Inst Water &amp; Atmospher Res, Wellington, New Zealand; [La Mesa, Mario] UOS Ancona, Ist Sci Marine, Ancona, Italy</t>
  </si>
  <si>
    <t>Stanford University; University of Colorado System; University of Colorado Boulder; University of Padua; Old Dominion University; National Institute of Water &amp; Atmospheric Research (NIWA) - New Zealand; Consiglio Nazionale delle Ricerche (CNR); Istituto di Scienze Marine (ISMAR-CNR)</t>
  </si>
  <si>
    <t>Brooks, CM (corresponding author), Stanford Univ, Sch Earth Energy &amp; Environm Sci, Stanford, CA 94305 USA.;Brooks, CM (corresponding author), Univ Colorado Boulder, Environm Studies Sustainability Energy &amp; Environm, Boulder, CO 80309 USA.</t>
  </si>
  <si>
    <t>cassandra.brooks@colorado.edu</t>
  </si>
  <si>
    <t>Caccavo, Jilda Alicia/GWN-1019-2022; Caccavo, Jilda Alicia/D-3236-2018; Goetz, Kimberly/AID-8232-2022; Zane, Lorenzo/G-6249-2010</t>
  </si>
  <si>
    <t>Caccavo, Jilda Alicia/0000-0002-8172-7855; Caccavo, Jilda Alicia/0000-0002-8172-7855; Zane, Lorenzo/0000-0002-6963-2132; Brooks, Cassandra/0000-0002-1397-0394; Dunbar, Robert/0000-0002-9728-5609</t>
  </si>
  <si>
    <t>National Science Foundation [1043454, 0741348]; Emmett Interdisciplinary Program in Environment and Resources at Stanford University; Switzer Foundation; Biosciences Program in Evolution, Ecology and Conservation at the Universita di Padova</t>
  </si>
  <si>
    <t>National Science Foundation(National Science Foundation (NSF)); Emmett Interdisciplinary Program in Environment and Resources at Stanford University; Switzer Foundation; Biosciences Program in Evolution, Ecology and Conservation at the Universita di Padova</t>
  </si>
  <si>
    <t>National Science Foundation, Grant/Award Number: 1043454, 0741348; Emmett Interdisciplinary Program in Environment and Resources at Stanford University; Switzer Foundation; Biosciences Program in Evolution, Ecology and Conservation at the Universita di Padova</t>
  </si>
  <si>
    <t>1054-6006</t>
  </si>
  <si>
    <t>1365-2419</t>
  </si>
  <si>
    <t>FISH OCEANOGR</t>
  </si>
  <si>
    <t>Fish Oceanogr.</t>
  </si>
  <si>
    <t>10.1111/fog.12251</t>
  </si>
  <si>
    <t>Fisheries; Oceanography</t>
  </si>
  <si>
    <t>GA5UX</t>
  </si>
  <si>
    <t>WOS:000428400500008</t>
  </si>
  <si>
    <t>Noisette, F; Hurd, C</t>
  </si>
  <si>
    <t>Noisette, Fanny; Hurd, Catriona</t>
  </si>
  <si>
    <t>Abiotic and biotic interactions in the diffusive boundary layer of kelp blades create a potential refuge from ocean acidification</t>
  </si>
  <si>
    <t>FUNCTIONAL ECOLOGY</t>
  </si>
  <si>
    <t>bryozoan; ecomechanics; epiphytism; hydrodynamic; microhabitat; pH; seaweed</t>
  </si>
  <si>
    <t>MORPHOLOGICALLY DISTINCT FORMS; CO2 CONCENTRATING MECHANISMS; MACROCYSTIS-PYRIFERA; PH FLUCTUATIONS; COASTAL CALCIFIERS; SESSILE EPIFAUNA; CARBONIC-ACID; PHOTOSYNTHESIS; OXYGEN; MACROALGAE</t>
  </si>
  <si>
    <t>1. Seaweeds are able to modify the chemical environment at their surface, in a micro-zone called the diffusive boundary layer (DBL), via their metabolic processes controlled by light intensity. Depending on the thickness of the DBL, sessile invertebrates such as calcifying bryozoans or tube-forming polychaetes living on the surface of the blades can be affected by the chemical variations occurring in this microlayer. Especially in the context of ocean acidification (OA), these microhabitats might be considered as a refuge from lower pH, because during the day photosynthesis temporarily raises the pH to values higher than in the mainstream seawater. 2. We assessed the thickness and the characteristics of the DBL at two pH levels (today's average surface ocean pH 8.1 and a reduced pH predicted for the end of the century, pH 7.7) and seawater flows (slow, 0.5 and fast, &gt; 8 cm/s) on Ecklonia radiata (kelp) blades. Oxygen and pH profiles from the blade surface to the mainstream seawater were measured with O-2 and pH microsensors for both bare blades and blades colonized by the bryozoan Membranipora membranacea. 3. The DBL was thicker in slow flow compared with fast flow and the presence of bryozoans increased the DBL thickness and shaped the DBL gradient in dark conditions. Net production was increased in the low pH condition, increasing the amount of oxygen in the DBL in both bare and epiphytized blades. This increase drove the daily pH fluctuations at the blade surface, shifting them towards higher values compared with today's pH. The presence of bryozoans led to lower oxygen concentrations in the DBL and more complex pH fluctuations at the blade surface, particularly at pH 7.7. 4. Overall, this study, based on microprofiles, shows that, in slow flow, DBL micro-environments at the surface of the kelps may constitute a refuge from OA with pH values higher than those of the mainstream seawater. For calcifying organisms, it could also represent training ground for harsh conditions, with broad daily pH and oxygen fluctuations. These chemical microenvironments, biologically shaped by the macrophytes, are of great interest for the resilience of coastal ecosystems in the context of global change.</t>
  </si>
  <si>
    <t>[Noisette, Fanny; Hurd, Catriona] Univ Tasmania, Inst Marine &amp; Antarctic Studies, Hobart, Tas, Australia</t>
  </si>
  <si>
    <t>University of Tasmania</t>
  </si>
  <si>
    <t>Noisette, F (corresponding author), Univ Tasmania, Inst Marine &amp; Antarctic Studies, Hobart, Tas, Australia.</t>
  </si>
  <si>
    <t>fanny.noisette@live.fr</t>
  </si>
  <si>
    <t>; Hurd, Catriona/J-2411-2013</t>
  </si>
  <si>
    <t>NOISETTE, Fanny/0000-0002-9672-2870; Hurd, Catriona/0000-0001-9965-4917</t>
  </si>
  <si>
    <t>Australian Government</t>
  </si>
  <si>
    <t>Australian Government(Australian Government)</t>
  </si>
  <si>
    <t>0269-8463</t>
  </si>
  <si>
    <t>1365-2435</t>
  </si>
  <si>
    <t>FUNCT ECOL</t>
  </si>
  <si>
    <t>Funct. Ecol.</t>
  </si>
  <si>
    <t>10.1111/1365-2435.13067</t>
  </si>
  <si>
    <t>GF5FK</t>
  </si>
  <si>
    <t>WOS:000431991700018</t>
  </si>
  <si>
    <t>Granger, R; Meadows, ME; Hahn, A; Zabel, M; Stuut, JBW; Herrmann, N; Schefuss, E</t>
  </si>
  <si>
    <t>Granger, Robyn; Meadows, Michael E.; Hahn, Annette; Zabel, Matthias; Stuut, Jan-Berend W.; Herrmann, Nicole; Schefuss, Enno</t>
  </si>
  <si>
    <t>Late-Holocene dynamics of sea-surface temperature and terrestrial hydrology in southwestern Africa</t>
  </si>
  <si>
    <t>HOLOCENE</t>
  </si>
  <si>
    <t>late Holocene; river runoff; sea-surface temperature; South Africa; winter rainfall zone</t>
  </si>
  <si>
    <t>WINTER-RAINFALL ZONE; SOUTHERN-HEMISPHERE WESTERLIES; LATE QUATERNARY; AGULHAS LEAKAGE; CLIMATE-CHANGE; MARINE RECORD; VARIABILITY; OCEAN; BENGUELA; ICE</t>
  </si>
  <si>
    <t>Southwest Africa is an important region for paleo-climatic studies, being influenced by both tropical and temperate climate systems and thus reflecting the interplay of variable controls. The aim of this study was to unravel the interaction of sea-surface temperature (SST) changes in the southernmost Benguela upwelling system with precipitation changes in South Africa's winter rainfall zone (WRZ) during the late Holocene. Therefore, a marine sediment core from the southernmost Benguela upwelling system was investigated to reconstruct climate changes in this region for the past similar to 2000 years. Grain size and geochemical analyses were conducted to reconstruct changes in fluvial sediment discharge and weathering intensity, while SST changes were estimated using alkenone paleo-thermometry. Results show that the southernmost Benguela behaves distinctly in comparison with the rest of the Benguela system reflecting amplified SST changes. Decreasing SSTs accompanied increasing river discharge during times of increased precipitation in the WRZ, reflecting northerly shifted westerly winds during austral winter. We infer a control of past SST changes by processes not analogous to modern processes driving seasonal SST changes by changes through upwelling intensity. The findings suggest that late-Holocene SST changes in the southernmost Benguela upwelling system and the precipitation in the WRZ were both driven by latitudinal shifts of the austral westerly wind belt and associated changes in advection of cold sub-Antarctic waters and/or changes in Agulhas leakage of warm Indian Ocean waters.</t>
  </si>
  <si>
    <t>[Granger, Robyn; Meadows, Michael E.] Univ Cape Town, Dept Oceanog, Univ Ave, ZA-7701 Cape Town, South Africa; [Meadows, Michael E.] East China Normal Univ, Sch Geog Sci, Shanghai, Peoples R China; [Hahn, Annette; Zabel, Matthias; Stuut, Jan-Berend W.; Herrmann, Nicole; Schefuss, Enno] Univ Bremen, MARUM Ctr Marine Environm Sci, Bremen, Germany; [Stuut, Jan-Berend W.] Royal Netherlands Inst Sea Res NIOZ, Texel, Netherlands; [Stuut, Jan-Berend W.] Univ Utrecht, Texel, Netherlands; [Herrmann, Nicole] Univ Hamburg, Inst Geol, Hamburg, Germany</t>
  </si>
  <si>
    <t>University of Cape Town; East China Normal University; University of Bremen; Utrecht University; Royal Netherlands Institute for Sea Research (NIOZ); Utrecht University; University of Hamburg</t>
  </si>
  <si>
    <t>Granger, R (corresponding author), Univ Cape Town, Dept Oceanog, Univ Ave, ZA-7701 Cape Town, South Africa.</t>
  </si>
  <si>
    <t>grnrob016@myuct.ac.za</t>
  </si>
  <si>
    <t>Schefuß, Enno/A-7101-2015; Meadows, Michael E/AAH-2461-2020; Stuut, Jan-Berend/K-2073-2013; Zabel, Matthias/E-5044-2011</t>
  </si>
  <si>
    <t>Schefuß, Enno/0000-0002-5960-930X; Meadows, Michael E/0000-0001-8322-3055; Stuut, Jan-Berend/0000-0002-5348-2512; Burdanowitz, Nicole/0000-0001-9922-1863; Zabel, Matthias/0000-0003-4681-1821</t>
  </si>
  <si>
    <t>National Research Foundation (NRF); Deutsche Akademischer Austauschdienst (DAAD); DFG Research Center/Cluster of Excellence 'The Ocean in the Earth System' at MARUM-Center for Marine Environmental Sciences; National Science Foundation of China [4171101205]</t>
  </si>
  <si>
    <t>National Research Foundation (NRF); Deutsche Akademischer Austauschdienst (DAAD)(Deutscher Akademischer Austausch Dienst (DAAD)); DFG Research Center/Cluster of Excellence 'The Ocean in the Earth System' at MARUM-Center for Marine Environmental Sciences(German Research Foundation (DFG)); National Science Foundation of China(National Natural Science Foundation of China (NSFC))</t>
  </si>
  <si>
    <t>This research was made possible through funds obtained from the National Research Foundation (NRF) and the Deutsche Akademischer Austauschdienst (DAAD) and supported by the DFG Research Center/Cluster of Excellence 'The Ocean in the Earth System' at MARUM-Center for Marine Environmental Sciences. MEM acknowledges the assistance from the National Science Foundation of China (fund no. 4171101205).</t>
  </si>
  <si>
    <t>SAGE PUBLICATIONS LTD</t>
  </si>
  <si>
    <t>1 OLIVERS YARD, 55 CITY ROAD, LONDON EC1Y 1SP, ENGLAND</t>
  </si>
  <si>
    <t>0959-6836</t>
  </si>
  <si>
    <t>1477-0911</t>
  </si>
  <si>
    <t>Holocene</t>
  </si>
  <si>
    <t>10.1177/0959683617744259</t>
  </si>
  <si>
    <t>GF8RQ</t>
  </si>
  <si>
    <t>WOS:000432240500002</t>
  </si>
  <si>
    <t>Park, M; Song, J; Nam, GG; Kim, S; Joung, Y; Cho, JC</t>
  </si>
  <si>
    <t>Park, Miri; Song, Jaeho; Nam, Gi Gyun; Kim, Suhyun; Joung, Yochan; Cho, Jang-Cheon</t>
  </si>
  <si>
    <t>Flavobacterium lacicola sp nov., isolated from a freshwater lake</t>
  </si>
  <si>
    <t>INTERNATIONAL JOURNAL OF SYSTEMATIC AND EVOLUTIONARY MICROBIOLOGY</t>
  </si>
  <si>
    <t>Flavobacterium; Flavobacterium lacicola; freshwater; bacterial taxonomy</t>
  </si>
  <si>
    <t>GENUS FLAVOBACTERIUM; EMENDED DESCRIPTION; PSYCHROTOLERANT BACTERIUM; ANTARCTIC LAKES; MICROBIAL MATS; PSEUDOMONAS; SEQUENCES; PROPOSAL; AQUATILE; SOYANG</t>
  </si>
  <si>
    <t>A bacterial strain, designated IMCC25901(T), was isolated from a freshwater lake, Soyang, in the Republic of Korea. The strain was Gram-stain-negative, aerobic, non-motile, orange-coloured and short rod-shaped. The 16S rRNA gene sequence analysis showed that strain IMCC25901(T) was most closely related to Flavobacterium yonginense HMD1001 T (97.0 %) and formed a robust phylogenetic clade with other species of the genus Flavobacterium. Growth of strain IMCC25901 T was observed at 10-30 degrees C (optimum, 20 degrees C), pH 6-8 (optimum, pH 7) and 0-1.0% NaCl (optimum, 0 %). The DNA G+C content of strain IMCC25901 T was 34.2 mol%. The major fatty acid constituents of the strain were anteiso-C-15 : 0, summed feature 3 (C-16 : 1 omega 6c and/or C-16 : 1 omega 7c) and iso-C-15 : 0. Cells of strain IMCC25901(T) contained phosphatidylethanolamine, an unidentified phospholipid, two unidentified aminolipids and two unidentified lipids. The isoprenoid quinone detected in the strain was MK-6. On the basis of the taxonomic data obtained in this study, it was concluded that strain IMCC25901 T represented a novel species in the genus Flavobacterium, for which the name Flavobacterium lacicola sp. nov. is proposed. The type strain of Flavobacterium lacicola is IMCC25901(T) (=KCTC 52571(T) =NBRC 112883(T)).</t>
  </si>
  <si>
    <t>[Park, Miri; Song, Jaeho; Nam, Gi Gyun; Kim, Suhyun; Joung, Yochan; Cho, Jang-Cheon] Inha Univ, Dept Biol Sci, Incheon 22212, South Korea</t>
  </si>
  <si>
    <t>Inha University</t>
  </si>
  <si>
    <t>Cho, JC (corresponding author), Inha Univ, Dept Biol Sci, Incheon 22212, South Korea.</t>
  </si>
  <si>
    <t>chojc@inha.ac.kr</t>
  </si>
  <si>
    <t>Kim, Suhyun/JCE-3646-2023; Cho, Jang-Cheon/B-4676-2013</t>
  </si>
  <si>
    <t>Kim, Suhyun/0000-0003-2164-676X; Park, Miri/0000-0002-4204-0938; Park, Miri/0000-0001-5775-0249; Cho, Jang-Cheon/0000-0002-0666-3791</t>
  </si>
  <si>
    <t>Inha University Research Grant</t>
  </si>
  <si>
    <t>This research was supported by an Inha University Research Grant (2017).</t>
  </si>
  <si>
    <t>MICROBIOLOGY SOC</t>
  </si>
  <si>
    <t>CHARLES DARWIN HOUSE, 12 ROGER ST, LONDON WC1N 2JU, ERKS, ENGLAND</t>
  </si>
  <si>
    <t>1466-5026</t>
  </si>
  <si>
    <t>1466-5034</t>
  </si>
  <si>
    <t>INT J SYST EVOL MICR</t>
  </si>
  <si>
    <t>Int. J. Syst. Evol. Microbiol.</t>
  </si>
  <si>
    <t>10.1099/ijsem.0.002712</t>
  </si>
  <si>
    <t>GH1OA</t>
  </si>
  <si>
    <t>WOS:000433171000025</t>
  </si>
  <si>
    <t>Aslam, SN; Strauss, J; Thomas, DN; Mock, T; Underwood, GJC</t>
  </si>
  <si>
    <t>Aslam, Shazia N.; Strauss, Jan; Thomas, David N.; Mock, Thomas; Underwood, Graham J. C.</t>
  </si>
  <si>
    <t>Identifying metabolic pathways for production of extracellular polymeric substances by the diatom Fragilariopsis cylindrus inhabiting sea ice</t>
  </si>
  <si>
    <t>ISME JOURNAL</t>
  </si>
  <si>
    <t>DIFFERENTIAL EXPRESSION ANALYSIS; ENVIRONMENTAL CONSTRAINTS; EXOPOLYMERIC SUBSTANCES; GENE-EXPRESSION; SALT-STRESS; BACILLARIOPHYCEAE; PROTEINS; EPS; EXOPOLYSACCHARIDES; POLYSACCHARIDES</t>
  </si>
  <si>
    <t>Diatoms are significant primary producers in sea ice, an ephemeral habitat with steep vertical gradients of temperature and salinity characterizing the ice matrix environment. To cope with the variable and challenging conditions, sea ice diatoms produce polysaccharide-rich extracellular polymeric substances (EPS) that play important roles in adhesion, cell protection, ligand binding and as organic carbon sources. Significant differences in EPS concentrations and chemical composition corresponding to temperature and salinity gradients were present in sea ice from the Weddell Sea and Eastern Antarctic regions of the Southern Ocean. To reconstruct the first metabolic pathway for EPS production in diatoms, we exposed Fragilariopsis cylindrus, a key bi-polar diatom species, to simulated sea ice formation. Transcriptome profiling under varying conditions of EPS production identified a significant number of genes and divergent alleles. Their complex differential expression patterns under simulated sea ice formation was aligned with physiological and biochemical properties of the cells, and with field measurements of sea ice EPS characteristics. Thus, the molecular complexity of the EPS pathway suggests metabolic plasticity in F. cylindrus is required to cope with the challenging conditions of the highly variable and extreme sea ice habitat.</t>
  </si>
  <si>
    <t>[Aslam, Shazia N.; Underwood, Graham J. C.] Univ Essex, Sch Biol Sci, Wivenhoe Pk, Colchester CO4 3SQ, Essex, England; [Strauss, Jan; Mock, Thomas] Univ East Anglia, Sch Environm Sci, Norwich Pk, Norwich NR4 7TJ, Norfolk, England; [Strauss, Jan] German Elect Synchrotron DESY, EMBL, Notkestr 85, D-22607 Hamburg, Germany; [Thomas, David N.] Bangor Univ, Coll Nat Sci, Sch Ocean Sci, Menai Bridge LL59 5AB, Anglesey, Wales; [Thomas, David N.] Finnish Environm Inst SYKE, Ctr Marine Res, Helsinki, Finland</t>
  </si>
  <si>
    <t>University of Essex; University of East Anglia; European Molecular Biology Laboratory (EMBL); Helmholtz Association; Deutsches Elektronen-Synchrotron (DESY); Bangor University; Finnish Environment Institute</t>
  </si>
  <si>
    <t>Underwood, GJC (corresponding author), Univ Essex, Sch Biol Sci, Wivenhoe Pk, Colchester CO4 3SQ, Essex, England.;Strauss, J; Mock, T (corresponding author), Univ East Anglia, Sch Environm Sci, Norwich Pk, Norwich NR4 7TJ, Norfolk, England.;Strauss, J (corresponding author), German Elect Synchrotron DESY, EMBL, Notkestr 85, D-22607 Hamburg, Germany.</t>
  </si>
  <si>
    <t>jstrauss@embl-hamburg.de; T.Mock@uea.ac.uk; gjcu@essex.ac.uk</t>
  </si>
  <si>
    <t>Thomas, David Neville/B-1448-2010; Mock, Thomas/A-3127-2008; Strauss, Jan/B-5083-2010</t>
  </si>
  <si>
    <t>Thomas, David Neville/0000-0001-8832-5907; Mock, Thomas/0000-0001-9604-0362; Strauss, Jan/0000-0002-6208-791X; Underwood, Graham/0000-0001-5605-0697</t>
  </si>
  <si>
    <t>UK Natural Environment Research Council (NERC) [NE/D00681/1, NE/E016251/1]; School of Biological Sciences, University of Essex Research Fund; NERC [NE/I001751/1, NE/K013734/1]; School of Environmental Sciences, University of East Anglia; EMBL Interdisciplinary Postdoc (EIPOD) programme under Marie Sklodowska-Curie Actions COFUND programme [664726]; Natural Environment Research Council [NE/R000883/1, NE/E016251/1, NE/I001751/1] Funding Source: researchfish; NERC [NE/R000883/1, NE/I001751/1, NE/E016251/1] Funding Source: UKRI</t>
  </si>
  <si>
    <t>UK Natural Environment Research Council (NERC)(UK Research &amp; Innovation (UKRI)Natural Environment Research Council (NERC)); School of Biological Sciences, University of Essex Research Fund; NERC(UK Research &amp; Innovation (UKRI)Natural Environment Research Council (NERC)); School of Environmental Sciences, University of East Anglia; EMBL Interdisciplinary Postdoc (EIPOD) programme under Marie Sklodowska-Curie Actions COFUND programme; Natural Environment Research Council(UK Research &amp; Innovation (UKRI)Natural Environment Research Council (NERC)); NERC(UK Research &amp; Innovation (UKRI)Natural Environment Research Council (NERC))</t>
  </si>
  <si>
    <t>We thank B Henrissat and M Hainaut (CNRS-Six Marseile Univ. UMR7257, France) for their assistance with identification of carbohydrate-active enzymes using the CAZyme database. We also thank I Chernukhin, T Cresswell-Maynard (Univesity of Essex, Colchester, UK) and A Toseland (University of East Anglia, Norwich, UK) for technical support and bioinformatics. GJCU, DNT and SNA were funded by Grants NE/D00681/1 and NE/E016251/1 from the UK Natural Environment Research Council (NERC), and the School of Biological Sciences, University of Essex Research Fund. TM and JS were partially funded by Grants NE/I001751/1 and NE/K013734/1 (NERC), respectively, and the School of Environmental Sciences, University of East Anglia. JS was additionally supported by a fellowship from the EMBL Interdisciplinary Postdoc (EIPOD) programme under Marie Sklodowska-Curie Actions COFUND programme (grant number 664726). We acknowledge the very helpful comments of two anonymous reviewers.</t>
  </si>
  <si>
    <t>1751-7362</t>
  </si>
  <si>
    <t>1751-7370</t>
  </si>
  <si>
    <t>ISME J</t>
  </si>
  <si>
    <t>ISME J.</t>
  </si>
  <si>
    <t>10.1038/s41396-017-0039-z</t>
  </si>
  <si>
    <t>Ecology; Microbiology</t>
  </si>
  <si>
    <t>GE6FV</t>
  </si>
  <si>
    <t>hybrid, Green Accepted, Green Published</t>
  </si>
  <si>
    <t>WOS:000431321500008</t>
  </si>
  <si>
    <t>Kitano, I; Osanai, Y; Nakano, N; Adachi, T; Fitzsimons, ICW</t>
  </si>
  <si>
    <t>Kitano, Ippei; Osanai, Yasuhito; Nakano, Nobuhiko; Adachi, Tatsuro; Fitzsimons, Ian C. W.</t>
  </si>
  <si>
    <t>Detrital zircon and igneous protolith ages of high-grade metamorphic rocks in the Highland and Wanni Complexes, Sri Lanka: Their geochronological correlation with southern India and East Antarctica</t>
  </si>
  <si>
    <t>LA-ICP-MS zircon U-Pb dating; High-grade metamorphic rocks; Highland Complex; Wanni Complex; Sri Lanka</t>
  </si>
  <si>
    <t>U-PB GEOCHRONOLOGY; ULTRAHIGH-TEMPERATURE METAMORPHISM; NEOPROTEROZOIC ARC MAGMATISM; LUTZOW-HOLM COMPLEX; SPINEL PLUS QUARTZ; ISOTOPIC SYSTEMATICS; PELITIC GRANULITES; VIJAYAN COMPLEX; UHT GRANULITES; MADURAI BLOCK</t>
  </si>
  <si>
    <t>The high-grade metamorphic rocks of Sri Lanka place valuable constraints on the assembly of central parts of the Gondwana supercontinent. They are subdivided into the Wanni Complex (WC), Highland Complex (HC) and Vijayan Complex (VC), but their correlation with neighbouring Gondwana terranes is hindered by a poor understanding of the contact between the HC and WC. Laser ablation-inductively coupled plasma-mass spectrometry (LA-ICP-MS) U-Pb dating of remnant zircon cores from 45 high-grade metamorphic rocks in Sri Lanka reveals two domains with different age characteristics that correlate with the HC and WC and which help constrain the location of the boundary between them. The HC is dominated by detrital zircon ages of ca. 3500-1500 Ma from garnet-biotite gneiss, garnet-cordierite-biotite gneiss, some samples of garnet-orthopyroxene-biotite gneiss and siliceous gneiss (interpreted as paragneisses) and igneous protolith ages of ca. 2000-1800 Ma from garnet-hornblende-biotite gneiss, other samples of garnet-orthopyroxene-biotite gneiss, garnet-two-pyroxene granulite, two-pyroxene granulite and charnockite (interpreted as orthogneisses). In contrast, the WC is dominated by detrital zircon ages of ca. 1100-700 Ma from paragneisses and igneous protolith ages of ca. 1100-800 Ma from orthogneisses. This clearly suggests the HC and WC have different origins, but some of our results and previous data indicate their spatial distribution does not correspond exactly to the unit boundary proposed in earlier studies using Nd model ages. Detrital zircon and igneous protolith ages in the HC suggest that sedimentary protoliths were eroded from local 2000-1800 Ma igneous rocks and an older Paleoproterozoic to Archean craton. In contrast, the WC sedimentary protoliths were mainly eroded from local late Mesoproterozoic to Neoproterozoic igneous rocks with very minor components from an older 2500-1500 Ma craton, and in the case of the WC precursor sediments there was possibly additional detritus derived from early to middle Neoproterozoic metamorphic rocks. The relic zircon core ages in the HC are comparable with those of the Trivandrum Block and Nagercoil Block of southern India. In contrast, those ages in the WC match the Achankovil Shear Zone and Southern Madurai Block of southern India. These comparisons are also supported by Th/U ratios of detrital zircon cores from paragneisses (Th/U ratios of &gt; 0.10 for the former and not only &gt; 0.10 but also &lt;= 0.10 for the latter). Comparisons with the Liitzow-Holm Complex of East Antarctica indicate that the geochronological characteristics of the HC and WC broadly match those of the Skallen Group, and the Ongul and Okuiwa Groups, respectively.</t>
  </si>
  <si>
    <t>[Kitano, Ippei] Kyushu Univ, Grad Sch Integrated Sci Global Soc, Nishi Ku, 744 Motooka, Fukuoka 8190395, Japan; [Osanai, Yasuhito; Nakano, Nobuhiko; Adachi, Tatsuro] Kyushu Univ, Div Earth Sci, Fac Social &amp; Cultural Studies, Nishi Ku, 744 Motooka, Fukuoka 8190395, Japan; [Fitzsimons, Ian C. W.] Curtin Univ, Sch Earth &amp; Planetary Sci, GPO Box U1987, Perth, WA 6845, Australia</t>
  </si>
  <si>
    <t>Kyushu University; Kyushu University; Curtin University</t>
  </si>
  <si>
    <t>Kitano, I (corresponding author), Kyushu Univ, Grad Sch Integrated Sci Global Soc, Nishi Ku, 744 Motooka, Fukuoka 8190395, Japan.</t>
  </si>
  <si>
    <t>3GS14010G@s.kyushu-u.ac.jp</t>
  </si>
  <si>
    <t>Fitzsimons, Ian/A-3707-2012</t>
  </si>
  <si>
    <t>Fitzsimons, Ian/0000-0002-8907-7455</t>
  </si>
  <si>
    <t>Kyushu University; JSPS KAKENHI from the Ministry of Education, Culture, Sports, Science and Technology, Japan [JP21253008, JP22244063]; Grants-in-Aid for Scientific Research [15K05345, 16K12809, 16H02743, 15K05312] Funding Source: KAKEN</t>
  </si>
  <si>
    <t>Kyushu University; JSPS KAKENHI from the Ministry of Education, Culture, Sports, Science and Technology, Japan; Grants-in-Aid for Scientific Research(Ministry of Education, Culture, Sports, Science and Technology, Japan (MEXT)Japan Society for the Promotion of ScienceGrants-in-Aid for Scientific Research (KAKENHI))</t>
  </si>
  <si>
    <t>We deeply thank to W.K.B. Prame, late P.G. Cooray, W.K.V. Kehelpannala, S.P.K. Malaviarachchi and P.L. Dharmapriya for helpful supports for the field survey. We would like to sincerely thank the members of the Japanese Antarctic Research Expedition (JARE) geology group for the valuable discussions. We also greatly appreciate K. Sajeev and an anonymous reviewer for their constructive reviews and M.K. Pandit for editorial support. This work was partly supported by a Kyushu University doctoral course scholarship and JSPS KAKENHI Grants Numbers JP21253008 and JP22244063 to Y. Osanai from the Ministry of Education, Culture, Sports, Science and Technology, Japan.</t>
  </si>
  <si>
    <t>MAY 1</t>
  </si>
  <si>
    <t>10.1016/j.jseaes.2018.01.017</t>
  </si>
  <si>
    <t>GB1SE</t>
  </si>
  <si>
    <t>WOS:000428829700010</t>
  </si>
  <si>
    <t>Fernandes, SO; Prakash, LS; Binish, MB; Krishnan, KP; Kurian, PJ</t>
  </si>
  <si>
    <t>Fernandes, Sheryl Oliveira; Prakash, Lankalapalli Surya; Binish, Mechirackal Balan; Krishnan, Kottekkatu Padinchati; Kurian, Palayil John</t>
  </si>
  <si>
    <t>Changes in morphology and metabolism enable Mn-oxidizing bacteria from mid-oceanic ridge environment to counter metal-induced stress</t>
  </si>
  <si>
    <t>JOURNAL OF BASIC MICROBIOLOGY</t>
  </si>
  <si>
    <t>bacteria; hydrothermal; manganese; mineral; oxide</t>
  </si>
  <si>
    <t>HYDROTHERMAL VENTS; SP NOV.; HALOTOLERANT BACTERIA; MN(II) OXIDATION; SOIL BACTERIA; MANGANESE; POLY-BETA-1,6-N-ACETYL-D-GLUCOSAMINE; HALOMONAS; SEAWATER; GLYCOGEN</t>
  </si>
  <si>
    <t>Mn-oxidizing potential of two metal-tolerant bacterial strains - Halomonas meridiana and Marinobacter algicola isolated from the South West Indian Ridge waters were compared at varying concentrations of Mn (II), i.e., 1, 10, and 100 mu mol and mmol L-1. Accompanying changes in their morphology and metabolism were also determined. At concentrations &gt;1mmol L-1 Mn (II), Mn-oxidizing potential of M. algicola was 2-7 times greater than that of H. meridiana. Scanning electron microscopy revealed that exposure to elevated metal content prompted bacterial cells especially those of M. algicola to been enveloped in exopolymeric material and form aggregates. Energy dispersive spectrometric analysis showed that exopolymeric material acts as a nucleation site for Mn deposition and oxide formation which occurs in the form of microspherical aggregates. These features show striking resemblance to biogenically produced Fe-Mn oxide deposits from Lau Basin. Surprisingly, diffractograms of auto-oxidized and bacterially formed Mn-oxide showed similarities to the hydrothermal vein mineral Rhodochrosite indicating that it can also be produced biotically. Elongation of cells by up to 4x the original size and distortion in cell shape were evident at Mn (II) concentrations &gt;100 mu mol L-1. Marked differences in C-substrate utilization by the test strains were also observed in presence of Mn (II). A shift in use of substrates that are readily available in oceanic waters like N-acetyl-D-glucosamine to those that can be used under changing redox conditions (D-cellobiose) or in the presence of metal ions (D-arabinose, l-asparagine) were observed. These findings highlight the significant role of autochthonous bacteria in transforming reduced metal ions and aiding in the formation of metal oxides. Under natural or laboratory conditions, the mode of bacterially generated Mn-oxide tends to remain the same.</t>
  </si>
  <si>
    <t>[Fernandes, Sheryl Oliveira; Prakash, Lankalapalli Surya; Krishnan, Kottekkatu Padinchati; Kurian, Palayil John] Natl Ctr Antarctic &amp; Ocean Res, Headland Sada, Vasco Da Gama 403804, Goa, India; [Binish, Mechirackal Balan] Mahatma Gandhi Univ, Sch Environm Sci, Kottayam, Kerala, India</t>
  </si>
  <si>
    <t>Ministry of Earth Sciences (MoES) - India; National Centre for Polar and Ocean Research (NCPOR); Mahatma Gandhi University, Kerala</t>
  </si>
  <si>
    <t>Fernandes, SO (corresponding author), Natl Ctr Antarctic &amp; Ocean Res, Headland Sada, Vasco Da Gama 403804, Goa, India.</t>
  </si>
  <si>
    <t>sherylmarine@gmail.com</t>
  </si>
  <si>
    <t>L., Surya Prakash/JHU-1566-2023; P, Krishnan K/ABF-8783-2020</t>
  </si>
  <si>
    <t>L., Surya Prakash/0000-0003-0830-2145; Fernandes, Sheryl Oliveira/0000-0002-5701-6180; MECHIRACKAL BALAN, BINISH/0000-0001-6879-5637</t>
  </si>
  <si>
    <t>0233-111X</t>
  </si>
  <si>
    <t>1521-4028</t>
  </si>
  <si>
    <t>J BASIC MICROB</t>
  </si>
  <si>
    <t>J. Basic Microbiol.</t>
  </si>
  <si>
    <t>10.1002/jobm.201700580</t>
  </si>
  <si>
    <t>GE8RW</t>
  </si>
  <si>
    <t>WOS:000431499900002</t>
  </si>
  <si>
    <t>Gonzalez, S; Vasallo, F; Recio-Blitz, C; Guijarro, JA; Riesco, J</t>
  </si>
  <si>
    <t>Gonzalez, Sergi; Vasallo, Francisco; Recio-Blitz, Cayetana; Guijarro, Jose A.; Riesco, Jesus</t>
  </si>
  <si>
    <t>Atmospheric Patterns over the Antarctic Peninsula</t>
  </si>
  <si>
    <t>JOURNAL OF CLIMATE</t>
  </si>
  <si>
    <t>SOUTHERN ANNULAR MODE; REGIONAL CLIMATE VARIABILITY; SEA-LEVEL RISE; SEMIANNUAL OSCILLATION; SURFACE TEMPERATURES; ENSO TELECONNECTION; MOUNTAIN GLACIERS; NEW-ZEALAND; MEAN STATE; ICE CAPS</t>
  </si>
  <si>
    <t>Using clustering analysis for the sea level pressure field of the ERA-Interim reanalysis between 1979 and 2016, five synoptic pressure patterns have been obtained for the Drake area and Antarctic Peninsula (AP) region (458-758S, 208-1208W), and the resulting daily series has been made available to the scientific community. The five patterns have been named according to their most important features as follows: low over the Weddell Sea (LWS), low over the Amundsen and Bellingshausen Seas (LAB), low over the Drake Passage (LDP), zonal flow over the Drake Passage (ZDP), and ridge over the Antarctic Peninsula (RAP). Each atmospheric pattern is described after analyzing its development and evolution. A frequency analysis shows that the five atmospheric patterns present a similar annual frequency but a large seasonal variability. The transitions from one pattern to another tend to follow a cycle in which synoptic atmospheric waves are displaced eastward by a quarter wavelength. Four of the five atmospheric patterns (all except RAP) are very influenced by the southern annular mode (SAM); however, only LAB and LWS are influenced to some degree by ENSO. The occurrence of the LAB pattern presents a positive trend showing agreement with other studies that indicate an enhancement of the Amundsen-Bellingshausen Seas low. Finally, atmospheric circulation patterns have been related to the airmass advection and precipitation in Livingston Island, showing the potential application for studying the changes in the surface mass balance on the AP cryosphere.</t>
  </si>
  <si>
    <t>[Gonzalez, Sergi] Univ Barcelona, Antarctic Grp, Spanish Meteorol Serv AEMET, Barcelona, Spain; [Gonzalez, Sergi] Univ Barcelona, Dept Appl Phys, Barcelona, Spain; [Vasallo, Francisco] Spanish Meteorol Serv AEMET, Antarctic Grp, Rota, Spain; [Recio-Blitz, Cayetana] Univ Politecn Madrid, Dept Matemat Aplicada Tecnol Informac &amp; Comunicac, Madrid, Spain; [Guijarro, Jose A.] Spanish Meteorol Serv AEMET, Balearic Isl Off, Palma De Mallorca, Spain; [Riesco, Jesus] Spanish Meteorol Serv AEMET, Antarctic Grp, Malaga, Spain</t>
  </si>
  <si>
    <t>University of Barcelona; Agencia Estatal de Meteorologia (AEMET); University of Barcelona; Agencia Estatal de Meteorologia (AEMET); Universidad Politecnica de Madrid; Agencia Estatal de Meteorologia (AEMET); Agencia Estatal de Meteorologia (AEMET)</t>
  </si>
  <si>
    <t>Gonzalez, S (corresponding author), Univ Barcelona, Antarctic Grp, Spanish Meteorol Serv AEMET, Barcelona, Spain.;Gonzalez, S (corresponding author), Univ Barcelona, Dept Appl Phys, Barcelona, Spain.</t>
  </si>
  <si>
    <t>sgonzalezh@aemet.es</t>
  </si>
  <si>
    <t>Gonzalez-Herrero, Sergi/Y-7279-2018; Guijarro, José A/L-3744-2014</t>
  </si>
  <si>
    <t>Gonzalez-Herrero, Sergi/0000-0002-2505-2435; Vasallo, Francisco/0000-0002-3907-4897</t>
  </si>
  <si>
    <t>Ministry of Economy and Competitiveness (MINECO) through the AEMET Antarctic program; Spanish Investigation Agency (AEI); European Regional Development Fund (FEDER) [CTM2016-79741-R]</t>
  </si>
  <si>
    <t>Ministry of Economy and Competitiveness (MINECO) through the AEMET Antarctic program; Spanish Investigation Agency (AEI); European Regional Development Fund (FEDER)(European Union (EU))</t>
  </si>
  <si>
    <t>This work is supported by the Ministry of Economy and Competitiveness (MINECO) through the AEMET Antarctic program and by the Spanish Investigation Agency (AEI) and the European Regional Development Fund (FEDER), Grant CTM2016-79741-R for MICROAIRPOLAR project (to S. Gonzalez and F. Vasallo). Integrated Data Viewer (IDV) software from UCAR/Unidata was used in the analysis and visualization of the data. We also thank the two anonymous reviewers whose feedback helped to greatly improve this text. Finally, we want also thank all those meteorologists from the AEMET Antarctic Group who, during 30 years, have maintained the observations of the Juan Carlos I meteorological station; some of these data are used in this paper.</t>
  </si>
  <si>
    <t>AMER METEOROLOGICAL SOC</t>
  </si>
  <si>
    <t>BOSTON</t>
  </si>
  <si>
    <t>45 BEACON ST, BOSTON, MA 02108-3693 USA</t>
  </si>
  <si>
    <t>0894-8755</t>
  </si>
  <si>
    <t>1520-0442</t>
  </si>
  <si>
    <t>J CLIMATE</t>
  </si>
  <si>
    <t>J. Clim.</t>
  </si>
  <si>
    <t>10.1175/JCLI-D-17-0598.1</t>
  </si>
  <si>
    <t>GC1GW</t>
  </si>
  <si>
    <t>hybrid, Green Submitted</t>
  </si>
  <si>
    <t>WOS:000429529900014</t>
  </si>
  <si>
    <t>Espíndola, VC; Tencatt, LFC; Pupo, FM; Villa-Verde, L; Britto, MR</t>
  </si>
  <si>
    <t>Espindola, V. C.; Tencatt, L. F. C.; Pupo, F. M.; Villa-Verde, L.; Britto, M. R.</t>
  </si>
  <si>
    <t>From the inside out: a new species of armoured catfish Corydoras with the description of poorly-explored character sources (Teleostei, Siluriformes, Callichthyidae)</t>
  </si>
  <si>
    <t>JOURNAL OF FISH BIOLOGY</t>
  </si>
  <si>
    <t>Brazilian Amazon; Corydoradinae; Corydoras sp; C22; gross brain morphology; taxonomy; Xingu-Tapajos ecoregion</t>
  </si>
  <si>
    <t>ANTARCTIC NOTOTHENIOID FISHES; GAS BLADDER; BRAIN MORPHOLOGY; SENSE-ORGANS; ANATOMY; HISTOLOGY; PSEUDOPIMELODIDAE; PERCIFORMES; PHYLOGENY; HOMOLOGY</t>
  </si>
  <si>
    <t>A new species of the armoured catfish genus Corydoras is described from the Xingu-Tapajos ecoregion, Brazilian Amazon. The new species can be distinguished from its congeners by having the following combination of features: short mesethmoid, with anterior tip poorly developed, smaller than 50% of bone length; posterior margin of pectoral spine with serrations directed towards spine tip or perpendicularly oriented; infraorbital 2 only in contact with sphenotic; ventral laminar expansion of infraorbital 1 poorly or moderately developed; flank midline covered by small dark brown or black saddles with similar size to remaining markings on body; relatively larger, scarcer and more sparsely distributed dark brown or black spots on body; absence of stripe on flank midline; caudal fin with conspicuous dark brown or black spots along its entire surface; slender body; and strongly narrow frontals. A more comprehensive description of poorly-explored internal character sources, such as the gross morphology of the brain, Weberian apparatus and swimbladder capsule elements is presented. (c) 2018 The Fisheries Society of the British Isles</t>
  </si>
  <si>
    <t>[Espindola, V. C.] Univ Sao Paulo, Museu Zool, Setor Ictiol, Sao Paulo, Brazil; [Tencatt, L. F. C.] Univ Estadual Maringa, Dept Biol, Nucleo Pesquisas Limnol Ictiol &amp; Aquicultura, Programa Posgrad Ecol Ambientes Aquat Continentai, Maringa, Parana, Brazil; [Pupo, F. M.; Villa-Verde, L.; Britto, M. R.] Univ Fed Rio de Janeiro, Museu Nacl, Dept Vertebrados, Setor Ictiol, Rio De Janeiro, Brazil</t>
  </si>
  <si>
    <t>Universidade de Sao Paulo; Universidade Estadual de Maringa; Universidade Federal do Rio de Janeiro</t>
  </si>
  <si>
    <t>Espíndola, VC (corresponding author), Univ Sao Paulo, Museu Zool, Setor Ictiol, Sao Paulo, Brazil.</t>
  </si>
  <si>
    <t>espindolavc@gmail.com</t>
  </si>
  <si>
    <t>Tencatt, Luiz/AAC-3595-2019; da Silva, Leandro Villa Verde/P-2579-2019; Britto, Marcelo R/G-3889-2012</t>
  </si>
  <si>
    <t>Villa Verde da Silva, Leandro/0000-0002-5488-6199</t>
  </si>
  <si>
    <t>Brazilian government via CAPES (Coordenacao de Aperfeicoamento de Pessoal de Nivel Superior, Ministerio da Educacao); CNPq (Conselho Nacional de Desenvolvimento Cientifico e Tecnologico, Ministerio de Ciencia e Tecnologia) [305955/2015-2, 141061/2014-6, 304997/2016-1]; 'Edital Programa Institucional de Pesquisa nos Acervos da USP'</t>
  </si>
  <si>
    <t>Brazilian government via CAPES (Coordenacao de Aperfeicoamento de Pessoal de Nivel Superior, Ministerio da Educacao); CNPq (Conselho Nacional de Desenvolvimento Cientifico e Tecnologico, Ministerio de Ciencia e Tecnologia)(Conselho Nacional de Desenvolvimento Cientifico e Tecnologico (CNPQ)); 'Edital Programa Institucional de Pesquisa nos Acervos da USP'</t>
  </si>
  <si>
    <t>We thank M. de Pinna, A. Datovo, O. Oyakawa and M. Gianetti (MZUSP) for the loan of specimens. We are also grateful to H. Evers and P. Petersen for kindly providing photos of the living specimens, to J. Birindelli for the field photos, to B. Frable (UCSD) for the English revision and important considerations in the manuscript and to F. Dagosta (MZUSP) for his good discussion and information, especially regarding the fishes of Xingu-Tapajos ecoregion. We also thank the staff of Setor de Herpetologia at MNRJ for use of the auto-stacking multifocus stereomicroscope facilities. Our collection permit was granted by ICMBIO (SISBIO #13339-1). This work was supported by the Brazilian government via CAPES (Coordenacao de Aperfeicoamento de Pessoal de Nivel Superior, Ministerio da Educacao) and CNPq (Conselho Nacional de Desenvolvimento Cientifico e Tecnologico, Ministerio de Ciencia e Tecnologia), to MRB: 305955/2015-2, LFCT: 141061/2014-6 and 304997/2016-1. M.R.B. is also supported by a grant from 'Edital Programa Institucional de Pesquisa nos Acervos da USP'.</t>
  </si>
  <si>
    <t>0022-1112</t>
  </si>
  <si>
    <t>1095-8649</t>
  </si>
  <si>
    <t>J FISH BIOL</t>
  </si>
  <si>
    <t>J. Fish Biol.</t>
  </si>
  <si>
    <t>10.1111/jfb.13602</t>
  </si>
  <si>
    <t>Fisheries; Marine &amp; Freshwater Biology</t>
  </si>
  <si>
    <t>GH6VC</t>
  </si>
  <si>
    <t>WOS:000433581200014</t>
  </si>
  <si>
    <t>Rounce, DR; King, O; McCarthy, M; Shean, DE; Salerno, F</t>
  </si>
  <si>
    <t>Rounce, David R.; King, Owen; McCarthy, Michael; Shean, David E.; Salerno, Franco</t>
  </si>
  <si>
    <t>Quantifying Debris Thickness of Debris-Covered Glaciers in the Everest Region of Nepal Through Inversion of a Subdebris Melt Model</t>
  </si>
  <si>
    <t>JOURNAL OF GEOPHYSICAL RESEARCH-EARTH SURFACE</t>
  </si>
  <si>
    <t>debris thickness; debris-covered glaciers; glacier mass balance; debris properties; Everest region; Nepal Himalaya</t>
  </si>
  <si>
    <t>DIGITAL ELEVATION MODELS; ENERGY-BALANCE MODEL; SUPRAGLACIAL DEBRIS; KHUMBU GLACIER; MASS-BALANCE; AIR-TEMPERATURE; LANGTANG VALLEY; LIRUNG GLACIER; CLIMATE-CHANGE; SATELLITE</t>
  </si>
  <si>
    <t>Debris-covered glaciers are ubiquitous in the Himalaya, and supraglacial debris significantly alters how glaciers respond to climate forcing. Estimating debris thickness at the glacier scale, however, remains a challenge. This study inverts a subdebris melt model to estimate debris thickness for three glaciers in the Everest region from digital elevation model difference-derived elevation change. Flux divergences are estimated from ice thickness and surface velocity data. Monte Carlo simulations are used to incorporate the uncertainties associated with debris properties, flux divergence, and elevation change. On Ngozumpa Glacier, surface lowering data from 2010 to 2012 and 2012 to 2014 are used to calibrate and validate the method, respectively. The debris thickness estimates are consistent with existing in situ measurements. The method performs well over both actively flowing and stagnant parts of the glacier and is able to accurately estimate thicker debris (&gt;0.5m). Uncertainties associated with the thermal conductivity and elevation change contribute the most to uncertainties of the debris thickness estimates. The surface lowering associated with ice cliffs and supraglacial ponds was found to significantly reduce debris thickness, especially for thicker debris. The method is also applied to Khumbu and Imja-Lhotse Shar Glaciers to highlight its potential for regional application. Plain Language Summary Debris-covered glaciers are ubiquitous in the Himalaya, and this debris significantly alters the evolution of these glaciers. Estimating the thickness of debris on these glaciers, however, remains a challenge. This study develops a novel method for estimating the debris thickness on three glaciers in the Everest region of Nepal based on digital elevation models, surface velocity data, ice thickness estimates, and a debris-covered glacier energy balance model. The method was calibrated and validated on Ngozumpa Glacier, one of the largest debris-covered glaciers in Nepal, and was found to accurately estimate debris thickness. Specifically, this method was able to estimate thick debris (&gt;0.5m), which has been a major limitation of previous studies. This is important because thick debris significantly reduces glacier melt rates by insulating the underlying ice. This study creates a step-change in our ability to model the past, present, and future evolution of debris-covered glaciers.</t>
  </si>
  <si>
    <t>[Rounce, David R.] Univ Texas Austin, Ctr Res Water Resources, Austin, TX 78712 USA; [Rounce, David R.] Univ Alaska Fairbanks, Inst Geophys, Fairbanks, AK 99775 USA; [King, Owen] Univ Leeds, Sch Geog, Leeds, W Yorkshire, England; [McCarthy, Michael] NERC, British Antarctic Survey, Cambridge, England; [McCarthy, Michael] Univ Cambridge, Scott Polar Res Inst, Cambridge, England; [Shean, David E.] Univ Washington, Appl Phys Lab, Polar Sci Ctr, Seattle, WA 98105 USA; [Salerno, Franco] CNR, Water Res Inst, Brugherio, Italy</t>
  </si>
  <si>
    <t>University of Texas System; University of Texas Austin; University of Alaska System; University of Alaska Fairbanks; University of Leeds; UK Research &amp; Innovation (UKRI); Natural Environment Research Council (NERC); NERC British Antarctic Survey; University of Cambridge; University of Washington; University of Washington Seattle; Consiglio Nazionale delle Ricerche (CNR); Istituto di Ricerca sulle Acque (IRSA-CNR)</t>
  </si>
  <si>
    <t>Rounce, DR (corresponding author), Univ Texas Austin, Ctr Res Water Resources, Austin, TX 78712 USA.;Rounce, DR (corresponding author), Univ Alaska Fairbanks, Inst Geophys, Fairbanks, AK 99775 USA.</t>
  </si>
  <si>
    <t>david.rounce@utexas.edu</t>
  </si>
  <si>
    <t>salerno, franco/ABD-3319-2020</t>
  </si>
  <si>
    <t>Shean, David/0000-0003-3840-3860; Rounce, David/0000-0002-4481-4191</t>
  </si>
  <si>
    <t>NSF-CNH program [1516912]; NASA-ROSES program [NNX17AB27G]; NERC DTP [NE/L002507/1]; CASE from Reynolds International Ltd.; NASA cryosphere program [NNX16AQ88G]; NASA [NNX17AB27G, 1003985] Funding Source: Federal RePORTER; NERC [bas0100034, NE/R000107/1] Funding Source: UKRI</t>
  </si>
  <si>
    <t>NSF-CNH program; NASA-ROSES program; NERC DTP; CASE from Reynolds International Ltd.; NASA cryosphere program; NASA(National Aeronautics &amp; Space Administration (NASA)); NERC(UK Research &amp; Innovation (UKRI)Natural Environment Research Council (NERC))</t>
  </si>
  <si>
    <t>The authors would like to acknowledge the support of the NSF-CNH program (award 1516912) and the NASA-ROSES program (grant NNX17AB27G) for the support of David Rounce. Michael McCarthy was supported by the NERC DTP (grant NE/L002507/1) and receives CASE funding from Reynolds International Ltd. David Shean was supported by the NASA cryosphere program (award NNX16AQ88G). Special thanks to Matthias Huss for providing the ice thickness data. The meteorological data from Pyramid Station were collected within the SHARE Project thanks to contributions from the Italian National Research Council and the Italian Ministry of Foreign Affairs. The NCEP Reanalysis data were provided by the NOAA/OAR/ESRL PSD, Boulder, Colorado, Unites States, from their website http://www.esrl.noaa.gov/psd/. Model code used in this study are available in online repositories as detailed within the text. Data sets generated in this study, which include debris thickness, flux divergence, box outlines, master DEMs, median x and y horizontal surface velocities, and elevation change for each pair of DEMs for Ngozumpa, Khumbu, and Imja-Lhotse Shar Glaciers, are all available online (https://doi.org/10.5281/zenodo.1206201). We would also like to thank Lindsey Nicholson and two anonymous reviewers for their valuable comments on this study.</t>
  </si>
  <si>
    <t>2169-9003</t>
  </si>
  <si>
    <t>2169-9011</t>
  </si>
  <si>
    <t>J GEOPHYS RES-EARTH</t>
  </si>
  <si>
    <t>J. Geophys. Res.-Earth Surf.</t>
  </si>
  <si>
    <t>10.1029/2017JF004395</t>
  </si>
  <si>
    <t>GJ3ZJ</t>
  </si>
  <si>
    <t>WOS:000435277100014</t>
  </si>
  <si>
    <t>Person, R; Aumont, O; Lévy, M</t>
  </si>
  <si>
    <t>Person, R.; Aumont, O.; Levy, M.</t>
  </si>
  <si>
    <t>The Biological Pump and Seasonal Variability of pCO2 in the Southern Ocean: Exploring the Role of Diatom Adaptation to Low Iron</t>
  </si>
  <si>
    <t>JOURNAL OF GEOPHYSICAL RESEARCH-OCEANS</t>
  </si>
  <si>
    <t>Southern Ocean; diatoms; physiological adaptation; biological pump; pCO(2); seasonal variability</t>
  </si>
  <si>
    <t>PHYTOPLANKTON COMMUNITY STRUCTURE; PARTICULATE ORGANIC-CARBON; POLAR FRONTAL ZONES; SEA CO2 FLUXES; BIOGENIC SILICA; ROSS SEA; INVERSE RELATIONSHIP; ANTARCTIC PENINSULA; EXPORT EFFICIENCY; FERTILIZED WATERS</t>
  </si>
  <si>
    <t>Iron is known to limit primary production in the Southern Ocean (SO). To cope with the lack of this micronutrient, diatoms, a dominant phytoplankton group in this oceanic region, have been shown in cultures to have developed an original adaptation strategy to maintain efficient growth rates despite very low cellular iron quotas, even in low light conditions. Using a global ocean biogeochemical model, we explored the consequences of this physiological adaptation for the biological pump and the seasonal variability of both surface chlorophyll concentrations and surface partial pressure of carbon dioxide (pCO(2)) in this key region for global climate. In the model, we implemented a low intracellular Fe:C requirement in the SO for diatoms uniquely. This results in an increase of 10% in the relative contribution of diatoms to total SO primary production. The biological pump is also strengthened, which increases the biological contribution to the seasonal evolution of pCO(2) relative to the thermodynamic component. Therefore, the seasonal evolution of both surface chlorophyll and surface pCO(2) is significantly impacted, with a marked improvement, in our model, in the SO polar zone compared to the observations. Our model study underscores the potentially important consequences that this adaptive physiological behavior of diatoms could have on marine biogeochemistry in the SO. It is thus critical to improve our understanding of the physiology of this key phytoplankton group, in particular in the SO.</t>
  </si>
  <si>
    <t>[Person, R.; Aumont, O.; Levy, M.] Univ Paris 06, Sorbonne Univ, CNRS,LOCEAN IPSL, UPMC,IRD,MNHN,MR 7159, F-75252 Paris, France</t>
  </si>
  <si>
    <t>Institut de Recherche pour le Developpement (IRD); Sorbonne Universite; Museum National d'Histoire Naturelle (MNHN); Centre National de la Recherche Scientifique (CNRS)</t>
  </si>
  <si>
    <t>Person, R (corresponding author), Univ Paris 06, Sorbonne Univ, CNRS,LOCEAN IPSL, UPMC,IRD,MNHN,MR 7159, F-75252 Paris, France.</t>
  </si>
  <si>
    <t>renaud.person@locean-ipsl.upmc.fr</t>
  </si>
  <si>
    <t>Aumont, Olivier/G-5207-2016; Levy, Marina/A-1315-2012; Person, Renaud/C-1287-2017</t>
  </si>
  <si>
    <t>Aumont, Olivier/0000-0003-3954-506X; Levy, Marina/0000-0003-2961-608X; Person, Renaud/0000-0001-7559-2993</t>
  </si>
  <si>
    <t>EU FP7 project SOCCLI [PIRSES-GA-2012317699]; ANR project SOBUMS [ANR-16-CE01-0014]; H2020 project CRESCENDO [641816]</t>
  </si>
  <si>
    <t>EU FP7 project SOCCLI; ANR project SOBUMS; H2020 project CRESCENDO</t>
  </si>
  <si>
    <t>The model experiments were set up by Christian Ethe. We thank Claire Lo Monaco, Laurent Bopp, Alessandro Tagliabue, and Bruno Delesalle for their help. We would also like to thank Peter Brewer and an anonymous reviewer for their helpful comments that greatly improved this manuscript. The pCO2 data climatologies were retrieved from the Carbon Data Information Analysis Center (http://cdiac.ornl.gov/ftp/oceans/spco2_1998_2011_ETH_SOM-FFN, http://cdiac.ornl.gov/ftp/oceans/LDEO_Database/Version_2009). The corrected ocean color product was retrieved from Australia's Integrated Marine Observing System (http://imos.org.au/). The sea temperature, sea salinity, and silicate concentration climatologies were downloaded from the National Oceanographic Data Center (https://www.nodc.noaa.gov/OC5/woa13/)and the mixed-layer depth climatology from the Pacific Marine Environmental Laboratory website (https://www.pmel.noaa.gov/mimoc/). The dissolved iron database is available on the GEOTRACES International Data Assemble Centre (https://www.bodc.ac.uk/geotraces/data/historical/). The version of the NEMO code used for this study is freely available at http://www.nemoocean.eu. The simulations were performed at IDRIS (France). The model data are available at http://doi.org/10.5281/zenodo.1209155. This study was funded by the EU FP7 project SOCCLI (PIRSES-GA-2012317699), the ANR project SOBUMS (ANR-16-CE01-0014) and the H2020 project CRESCENDO (grant no. 641816).</t>
  </si>
  <si>
    <t>2169-9275</t>
  </si>
  <si>
    <t>2169-9291</t>
  </si>
  <si>
    <t>J GEOPHYS RES-OCEANS</t>
  </si>
  <si>
    <t>J. Geophys. Res.-Oceans</t>
  </si>
  <si>
    <t>10.1029/2018JC013775</t>
  </si>
  <si>
    <t>GK4FI</t>
  </si>
  <si>
    <t>WOS:000436111400005</t>
  </si>
  <si>
    <t>Fedorov, EN; Pilipenko, VA; Engebretson, MJ; Hartinger, MD</t>
  </si>
  <si>
    <t>Fedorov, E. N.; Pilipenko, V. A.; Engebretson, M. J.; Hartinger, M. D.</t>
  </si>
  <si>
    <t>Transmission of a Magnetospheric Pc1 Wave Beam Through the Ionosphere to the Ground</t>
  </si>
  <si>
    <t>ULF waves; pc1 pulsations; ionospheric Alfven resonator; EMIC waves; ionospheric waveguide</t>
  </si>
  <si>
    <t>ION-CYCLOTRON WAVES; ALFVEN RESONATOR; PROPAGATION; REFLECTION; ATMOSPHERE; NOISE</t>
  </si>
  <si>
    <t>A characteristic feature of the upper ionosphere is the occurrence of the ionospheric Alfven resonator (IAR) and the ionospheric fast-mode waveguide (IFW), which can trap electromagnetic wave energy in the Pc1 frequency range from fractions of a hertz to a few hertz. This wave trapping ensures the dependence of ionospheric transmission/reflective properties on frequency. We numerically model magnetospheric Alfven wave transmission through the ionosphere to the ground based on solution of the magnetohydrodynamic full-wave equations in a realistic ionosphere, whose parameters are reconstructed from the International Reference Ionosphere model. The spatial structure of an incident wave is modeled as a localized beam with a finite latitudinal scale lambda(perpendicular to) and an azimuthally propagating wave. The IAR and IFW modes are coupled owing to the Hall conductivity and geomagnetic field inclination. Ground spatial and spectral structures of the Pc1 wave (0.1- to 6-Hz band) have been calculated for summer day/night conditions at the Antarctic Halley observatory, though results may be qualitatively applied to any midlatitude site. An incident wave with azimuthal wave vector k(y) = 1.7 . 10(-3) km(-1), and lambda(perpendicular to) = 10(2) km has been considered. The model predicts that beneath the incident beam the ground magnetic response duplicates its structure after accounting for a pi/2 rotation and some latitudinal shift/widening. The transmission has an oscillatory dependence on frequency, thus forming transmission windows at resonant frequencies of IAR and IFW modes. The spectra vary depending on distance from an incidence point. Interference between IFW modes is revealed in the nonmonotonic and frequency-dependent character of latitudinal variations of wave amplitude.</t>
  </si>
  <si>
    <t>[Fedorov, E. N.; Pilipenko, V. A.] Inst Phys Earth, Moscow, Russia; [Pilipenko, V. A.] Space Res Inst, Moscow, Russia; [Engebretson, M. J.] Augsburg Univ, Ctr Atmospher &amp; Space Sci, Minneapolis, MN USA; [Hartinger, M. D.] Virginia Polytech Inst &amp; State Univ, Dept Elect &amp; Comp Engn, Blacksburg, VA 24061 USA</t>
  </si>
  <si>
    <t>Russian Academy of Sciences; Schmidt Institute of Physics of the Earth of the Russian Academy of Sciences; Russian Academy of Sciences; Space Research Institute of the Russian Academy of Sciences; Augsburg University; Virginia Polytechnic Institute &amp; State University</t>
  </si>
  <si>
    <t>Pilipenko, VA (corresponding author), Inst Phys Earth, Moscow, Russia.;Pilipenko, VA (corresponding author), Space Res Inst, Moscow, Russia.</t>
  </si>
  <si>
    <t>space.soliton@gmail.com</t>
  </si>
  <si>
    <t>Fedorov, Evgeny/AAZ-5039-2020; Pilipenko, Vyacheslav/K-9747-2015; Hartinger, Michael/H-9088-2012</t>
  </si>
  <si>
    <t>Pilipenko, Vyacheslav/0000-0003-3056-7465; Hartinger, Michael/0000-0002-2643-2202</t>
  </si>
  <si>
    <t>Russian Fund for Basic Research [18-05-00108]; Institute of Physics of the Earth; U.S. National Science Foundation [PLR-1341493, PLR-1543364]; Directorate For Geosciences; Office of Polar Programs (OPP) [1543364] Funding Source: National Science Foundation; Directorate For Geosciences; Office of Polar Programs (OPP) [1341493] Funding Source: National Science Foundation</t>
  </si>
  <si>
    <t>Russian Fund for Basic Research(Russian Foundation for Basic Research (RFBR)); Institute of Physics of the Earth; U.S. 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</si>
  <si>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This research is supported by a grant 18-05-00108 (VAP) from the Russian Fund for Basic Research, state contract with the Institute of Physics of the Earth (ENF), and grants PLR-1341493 (MJE) and PLR-1543364 (MDH) from the U.S. National Science Foundation. The numerical code incorporates the IRI model (iri.gsfc.nasa.gov) and the MSIS model (ccmc.gsfc.nasa.gov/modelweb/atmos/msise.html). Calculations with the elaborated code for any geophysical conditions may be requested from the authors. We appreciate thorough reading and helpful comments of both reviewers.</t>
  </si>
  <si>
    <t>10.1029/2018JA025338</t>
  </si>
  <si>
    <t>GK2FX</t>
  </si>
  <si>
    <t>WOS:000435943300044</t>
  </si>
  <si>
    <t>Köhler, J; Wang, L; Guislain, A; Shatwell, T</t>
  </si>
  <si>
    <t>Koehler, Jan; Wang, Lan; Guislain, Alexis; Shatwell, Tom</t>
  </si>
  <si>
    <t>Influence of vertical mixing on light-dependency of phytoplankton growth</t>
  </si>
  <si>
    <t>LIMNOLOGY AND OCEANOGRAPHY</t>
  </si>
  <si>
    <t>IN-SITU GROWTH; PHOTOSYNTHETIC RESPONSES; MARINE-PHYTOPLANKTON; ANTARCTIC DIATOM; PHOTOSYSTEM-II; CRITICAL DEPTH; GREEN-ALGA; IRRADIANCE; RATES; WATER</t>
  </si>
  <si>
    <t>Phytoplankton growth depends not only on mean intensity but also on the dynamics of the light supply. In surface mixed layers, phytoplankton may rapidly move between strong light and almost darkness. The nonlinear light-dependency of growth may differ between constant and fluctuating light because of the different frequency distribution of light and/or acclimation processes. The present study compares for the first time light-dependency of photosynthesis and growth of phytoplankton communities in situ under defined mixing conditions and at fixed depths. Maximum growth rates per day were not significantly different, but the growth efficiency was much higher under constant light than under fluctuating light of sub-saturating daily irradiance. Phytoplankton incubated under fluctuating light needed about three times higher mean daily irradiances to balance photosynthesis and losses than under constant light. The difference in growth efficiency was mostly caused by the different frequency distribution of underwater light, as was estimated by a photosynthesis model of sufficient temporal resolution. The present study indicates a considerable overestimation of phytoplankton growth at sub-saturating light in well-mixed water layers by the common growth measurements under constant light. This implies an underestimation of the compensation light intensities and respective overestimations of the critical mixing depths.</t>
  </si>
  <si>
    <t>[Koehler, Jan; Guislain, Alexis; Shatwell, Tom] Leibniz Inst Freshwater Ecol &amp; Inland Fisheries, Berlin, Germany; [Wang, Lan] Chinese Acad Sci, Inst Hydrobiol, Wuhan, Hubei, Peoples R China</t>
  </si>
  <si>
    <t>Leibniz Institut fur Gewasserokologie und Binnenfischerei (IGB); Chinese Academy of Sciences; Institute of Hydrobiology, CAS</t>
  </si>
  <si>
    <t>Köhler, J (corresponding author), Leibniz Inst Freshwater Ecol &amp; Inland Fisheries, Berlin, Germany.</t>
  </si>
  <si>
    <t>koehler@igb-berlin.de</t>
  </si>
  <si>
    <t>Wang, Lan/AAH-1886-2019; Shatwell, Tom/ABF-1308-2020; Köhler, Jan/C-2633-2014; Guislain, Alexis/AFO-0925-2022</t>
  </si>
  <si>
    <t>Shatwell, Tom/0000-0002-4520-7916; Guislain, Alexis Lucas Norbert/0000-0003-4176-4878; wang, lan/0000-0001-6843-3003; Kohler, Jan/0000-0003-1894-2912</t>
  </si>
  <si>
    <t>German Federal Ministry of Education and Research [02WCL1336D]</t>
  </si>
  <si>
    <t>German Federal Ministry of Education and Research(Federal Ministry of Education &amp; Research (BMBF))</t>
  </si>
  <si>
    <t>The experiments were conducted at the field station of the Institute of Hydrobiology, Wuhan, of the Chinese Academy of Sciences. We thank Qinghua Cai for providing these facilities and Lu Tan and Qiande Yuan for measuring vertical profiles of light, temperature, and chlorophyll fluorescence. We thank Patrick Neale and an anonymous reviewer for helpful suggestions. Phytoplankton was identified and counted by Wolfgang Arp. The Sino-German Center for Research Promotion (DFG/NFSC) covered the travel expenses of JK (GZ 465). AG was funded by the German Federal Ministry of Education and Research (02WCL1336D).</t>
  </si>
  <si>
    <t>0024-3590</t>
  </si>
  <si>
    <t>1939-5590</t>
  </si>
  <si>
    <t>LIMNOL OCEANOGR</t>
  </si>
  <si>
    <t>Limnol. Oceanogr.</t>
  </si>
  <si>
    <t>10.1002/lno.10761</t>
  </si>
  <si>
    <t>Limnology; Oceanography</t>
  </si>
  <si>
    <t>GF5PI</t>
  </si>
  <si>
    <t>WOS:000432019600008</t>
  </si>
  <si>
    <t>Xavier, JC; Cherel, Y; Allcock, L; Rosa, R; Sabirov, RM; Blicher, ME; Golikov, AV</t>
  </si>
  <si>
    <t>Xavier, Jose C.; Cherel, Yves; Allcock, Louise; Rosa, Rui; Sabirov, Rushan M.; Blicher, Martin E.; Golikov, Alexey V.</t>
  </si>
  <si>
    <t>A review on the biodiversity, distribution and trophic role of cephalopods in the Arctic and Antarctic marine ecosystems under a changing ocean</t>
  </si>
  <si>
    <t>MARINE BIOLOGY</t>
  </si>
  <si>
    <t>SQUID ARCHITEUTHIS-DUX; SOUTHERN-OCEAN; CLIMATE-CHANGE; GONATUS-FABRICII; CIRRATE OCTOPODS; FUNCTIONAL-MORPHOLOGY; REPRODUCTIVE-BIOLOGY; PATAGONIAN TOOTHFISH; POLAR AMPLIFICATION; CIRCUMPOLAR CURRENT</t>
  </si>
  <si>
    <t>Cephalopods play an important role in polar marine ecosystems. In this review, we compare the biodiversity, distribution and trophic role of cephalopods in the Arctic and in the Antarctic. Thirty-two species have been reported from the Arctic, 62 if the Pacific Subarctic is included, with only two species distributed across both these Arctic areas. In comparison, 54 species are known from the Antarctic. These polar regions share 15 families and 13 genera of cephalopods, with the giant squid Architeuthis dux the only species confirmed to occur in both the Arctic and Antarctic. Polar cephalopods prey on crustaceans, fish, and other cephalopods (including cannibalism), whereas predators include fish, other cephalopods, seabirds, seals and whales. In terms of differences between the cephalopod predators in the polar regions, more Antarctic seabird species feed on cephalopods than Arctic seabirds species, whereas more Arctic mammal species feed on cephalopods than Antarctic mammal species. Cephalopods from these regions are likely to be more influenced by climate change than those from the rest of the World: Arctic fauna is more subjected to increasing temperatures per se, with these changes leading to increased species ranges and probably abundance. Antarctic species are likely to be influenced by changes in (1) mesoscale oceanography (2) the position of oceanic fronts (3) sea ice extent, and (4) ocean acidification. Polar cephalopods may have the capacity to adapt to changes in their environment, but more studies are required on taxonomy, distribution, ocean acidification and ecology.</t>
  </si>
  <si>
    <t>[Xavier, Jose C.] Univ Coimbra, MARE Marine &amp; Environm Sci Ctr, Dept Ciencias Vida, P-3001401 Coimbra, Portugal; [Xavier, Jose C.] British Antarctic Survey, Nat Environm Res Council, High Cross,Madingley Rd, Cambridge CB3 0ET, England; [Cherel, Yves] Univ La Rochelle, CNRS, Ctr Etud Biol Chize, UPR 7372, F-79360 Villiers En Bois, France; [Allcock, Louise] Natl Univ Ireland Galway, Ryan Inst, Galway, Ireland; [Allcock, Louise] Natl Univ Ireland Galway, Sch Nat Sci, Galway, Ireland; [Rosa, Rui] Univ Lisbon, Fac Ciencias, Marine &amp; Environm Sci Ctr, Lab Maritimo Guia, Av Nossa Senhora Cabo 939, P-2750374 Cascais, Portugal; [Sabirov, Rushan M.; Golikov, Alexey V.] Kazan Fed Univ, Dept Zool, Kazan 420008, Russia; [Blicher, Martin E.] Greenland Inst Nat Resources, Greenland Climate Res Ctr, Nuuk 3900, Greenland</t>
  </si>
  <si>
    <t>Universidade de Coimbra; UK Research &amp; Innovation (UKRI); Natural Environment Research Council (NERC); NERC British Antarctic Survey; Centre National de la Recherche Scientifique (CNRS); La Rochelle Universite; Ollscoil na Gaillimhe-University of Galway; Ollscoil na Gaillimhe-University of Galway; Universidade de Lisboa; Kazan Federal University; Greenland Institute of Natural Resources</t>
  </si>
  <si>
    <t>Xavier, JC (corresponding author), Univ Coimbra, MARE Marine &amp; Environm Sci Ctr, Dept Ciencias Vida, P-3001401 Coimbra, Portugal.;Xavier, JC (corresponding author), British Antarctic Survey, Nat Environm Res Council, High Cross,Madingley Rd, Cambridge CB3 0ET, England.</t>
  </si>
  <si>
    <t>jccx@cantab.net</t>
  </si>
  <si>
    <t>Rosa, Rui/A-4580-2009; Golikov, Alexey/T-3504-2019; Sabirov, Rushan Mirzovich/N-6605-2013; Xavier, José/KFB-6739-2024; Allcock, Louise/A-7359-2012; Golikov, Alexey V./N-6800-2013</t>
  </si>
  <si>
    <t>Rosa, Rui/0000-0003-2801-5178; Golikov, Alexey/0000-0002-1596-2857; Allcock, Louise/0000-0002-4806-0040; /0000-0002-9621-6660</t>
  </si>
  <si>
    <t>Investigator FCT program [IF/00616/2013]; RFBR [16-34-00055 MO_a]; project Initiating North Atlantic Benthos Monitoring (INAMon) [510-151]; Environmental Protection Agency (Dancea) of the Ministry of Environment and Food of Denmark [mst-112-00272]; FCT [MARE-UID/MAR/04292/2013]; NERC [bas010011] Funding Source: UKRI</t>
  </si>
  <si>
    <t>Investigator FCT program(Fundacao para a Ciencia e a Tecnologia (FCT)); RFBR(Russian Foundation for Basic Research (RFBR)); project Initiating North Atlantic Benthos Monitoring (INAMon); Environmental Protection Agency (Dancea) of the Ministry of Environment and Food of Denmark; FCT(Fundacao para a Ciencia e a Tecnologia (FCT)); NERC(UK Research &amp; Innovation (UKRI)Natural Environment Research Council (NERC))</t>
  </si>
  <si>
    <t>This review study was funded partically by Investigator FCT program (IF/00616/2013), FCT (MARE-UID/MAR/04292/2013), by RFBR (research project No 16-34-00055 MO_a), by the project Initiating North Atlantic Benthos Monitoring (INAMon (nora.fo; J. nr. 510-151), and by the Environmental Protection Agency (Dancea) of the Ministry of Environment and Food of Denmark (J. nr. mst-112-00272).</t>
  </si>
  <si>
    <t>0025-3162</t>
  </si>
  <si>
    <t>1432-1793</t>
  </si>
  <si>
    <t>MAR BIOL</t>
  </si>
  <si>
    <t>Mar. Biol.</t>
  </si>
  <si>
    <t>10.1007/s00227-018-3352-9</t>
  </si>
  <si>
    <t>Marine &amp; Freshwater Biology</t>
  </si>
  <si>
    <t>GF1TG</t>
  </si>
  <si>
    <t>WOS:000431717900015</t>
  </si>
  <si>
    <t>Ling, SD; Davey, A; Reeves, SE; Gaylard, S; Davies, PL; Stuart-Smith, RD; Edgar, GJ</t>
  </si>
  <si>
    <t>Ling, S. D.; Davey, A.; Reeves, S. E.; Gaylard, S.; Davies, P. L.; Stuart-Smith, R. D.; Edgar, G. J.</t>
  </si>
  <si>
    <t>Pollution signature for temperate reef biodiversity is short and simple</t>
  </si>
  <si>
    <t>MARINE POLLUTION BULLETIN</t>
  </si>
  <si>
    <t>Bioindicators; Heavy metals; Eutrophication; Habitat loss; Habitat functional diversity; Size-based indicators</t>
  </si>
  <si>
    <t>MARINE RESERVES; OIL-SPILL; IMPACTS; ROCKY; FISH; DIVERSITY; ABUNDANCE; COASTAL; INVERTEBRATE; ASSEMBLAGES</t>
  </si>
  <si>
    <t>Pollution increasingly impacts healthy functioning of marine ecosystems globally. Here we quantify concentrations of major pollutant types (heavy metals/sewage/petrochemicals/plastics) as accumulated within marine sediments on and/or immediately adjacent to shallow reefs for 42 sites spanning coastal population centres across south-eastern Australia. Gradients in pollutants were revealed, but few pollutants co-varied, while increasing wave exposure ostensibly diluted concentrations of all pollutants except microplastics. Examination of reef biodiversity indicators revealed that maximum size of fauna and flora, a key life-history parameter summarised by the Community shortness index, plus declining functional and species richness, were the most sensitive bioindicators of pollutants - for which heavy metals and nutrient-enrichment were most pervasive. Results indicate that assemblages of biogenic habitat formers and associated fauna collapse from long and complicated to short and simplified configurations in response to increasing pollution, and this community signature may form an effective bioindicator to track human-driven degradation.</t>
  </si>
  <si>
    <t>[Ling, S. D.; Davey, A.; Reeves, S. E.; Stuart-Smith, R. D.; Edgar, G. J.] Univ Tasmania, Inst Marine &amp; Antarctic Studies, Hobart, Tas 7001, Australia; [Gaylard, S.] Environm Protect Author, 250 Victoria Sq, Adelaide, SA 5000, Australia; [Davies, P. L.] New South Wales Off Environm &amp; Heritage, 59-61 Goulburn St, Sydney, NSW 2001, Australia</t>
  </si>
  <si>
    <t>University of Tasmania; Office of Environment &amp; Heritage - New South Wales</t>
  </si>
  <si>
    <t>Ling, SD (corresponding author), Univ Tasmania, Inst Marine &amp; Antarctic Studies, Hobart, Tas 7001, Australia.</t>
  </si>
  <si>
    <t>Scott.Ling@utas.edu.au</t>
  </si>
  <si>
    <t>Reeves, Simon E/AAJ-3379-2021; Edgar, Graham/AAY-3797-2020; Stuart-Smith, Rick/I-5214-2019; Stuart-Smith, Rick D/M-1829-2013; Ling, Scott/J-7161-2014</t>
  </si>
  <si>
    <t>Edgar, Graham/0000-0003-0833-9001; Stuart-Smith, Rick/0000-0002-8874-0083; Stuart-Smith, Rick D/0000-0002-8874-0083; Ling, Scott/0000-0002-5544-8174; Davey, Adam/0009-0009-6918-7313; Reeves, Simon/0000-0001-6715-466X</t>
  </si>
  <si>
    <t>Department of Environment and Natural Resources (South Australia); Department of Primary Industries, Parks, Water and Environment (Tasmania); Department of Primary Industries (New South Wales); Parks Victoria; Marine Biodiversity Hub; Australian Government's National Environmental Science Program; Australian Research Council</t>
  </si>
  <si>
    <t>Department of Environment and Natural Resources (South Australia); Department of Primary Industries, Parks, Water and Environment (Tasmania); Department of Primary Industries (New South Wales); Parks Victoria; Marine Biodiversity Hub; Australian Government's National Environmental Science Program(Australian Government); Australian Research Council(Australian Research Council)</t>
  </si>
  <si>
    <t>Field surveys of reef communities and pollutants were supported by State authorities; Department of Environment and Natural Resources (South Australia), Department of Primary Industries, Parks, Water and Environment (Tasmania), Department of Primary Industries (New South Wales), and Parks Victoria. Additional support was provided by the Marine Biodiversity Hub, a collaborative partnership supported through the Australian Government's National Environmental Science Program, and the Australian Research Council. We would particularly like to thank all SCUBA divers contributing to the Reef Life Survey and Temperate Australian Marine Protected Areas monitoring programs, including Neville Barrett, Jemina Stuart-Smith, Andy Meyers and Jacqui Pocklington who led particular field surveys. Emma Johnston, Beth Strain and Jeff Ross provided advice with pollution sampling methods. Ana Bugnot, Amanda Scholes, and Paul Hallam assisted with sampling equipment for surveys of pollutant markers. Warwick Noble and Matthew Nelson assisted with field sampling in South Australia.</t>
  </si>
  <si>
    <t>0025-326X</t>
  </si>
  <si>
    <t>1879-3363</t>
  </si>
  <si>
    <t>MAR POLLUT BULL</t>
  </si>
  <si>
    <t>Mar. Pollut. Bull.</t>
  </si>
  <si>
    <t>10.1016/j.marpolbul.2018.02.053</t>
  </si>
  <si>
    <t>GK5NE</t>
  </si>
  <si>
    <t>WOS:000436221000019</t>
  </si>
  <si>
    <t>Trevizani, TH; Petti, MAV; Ribeiro, AP; Corbisier, TN; Figueira, RCL</t>
  </si>
  <si>
    <t>Trevizani, Tailisi Hoppe; Varella Petti, Monica Angelica; Ribeiro, Andreza Portella; Corbisier, Thais Navajas; Lopes Figueira, Rubens Cesar</t>
  </si>
  <si>
    <t>Heavy metal concentrations in the benthic trophic web of Martel Inlet, Admiralty Bay (King George Island, Antarctica)</t>
  </si>
  <si>
    <t>Trace elements; Mercury; Biomagnification; Nitrogen isotopes</t>
  </si>
  <si>
    <t>SOUTH SHETLAND ISLANDS; TRACE-ELEMENTS; MARINE ORGANISMS; STABLE-ISOTOPES; SEDIMENT; COASTAL; BIOMAGNIFICATION; CONTAMINATION; MERCURY; BIOACCUMULATION</t>
  </si>
  <si>
    <t>Knowledge of the metals behaviour in the Antarctic environment is important for conserving this continent, which can be impacted by local activities, such as research stations and by atmospheric and oceanic transport over long distances. As, Cd Cr, Cu, Hg, Ni, Pb and Zn levels and the nitrogen isotope ratio were investigated using benthic samples from Martel Inlet, Admiralty Bay. The results showed the biodilution of As and a tendency of increasing concentrations of Cd and Cu along the trophic web. Biomagnification was verified only for Zn, and this was attributed to its essentiality to the biota, and to the acting of metallothioneins proteins that participate in homeostasis, store and detoxify metals. These results can be used as baseline levels for the biota in the Antarctic region and assist the monitoring and management work developed by the Brazilian INCT-APA (National Institute of Science and Technology for Environmental Research Antarctic).</t>
  </si>
  <si>
    <t>[Trevizani, Tailisi Hoppe; Varella Petti, Monica Angelica; Corbisier, Thais Navajas; Lopes Figueira, Rubens Cesar] Univ Sao Paulo, Oceanog Inst, Praca Oceanog 191, BR-05508120 Sao Paulo, SP, Brazil; [Ribeiro, Andreza Portella] Univ Nove Julho, Smart &amp; Sustainable Cities Program, Sao Paulo, SP, Brazil</t>
  </si>
  <si>
    <t>Universidade de Sao Paulo; Universidade Nove de Julho</t>
  </si>
  <si>
    <t>Trevizani, TH (corresponding author), Univ Sao Paulo, Oceanog Inst, Praca Oceanog 191, BR-05508120 Sao Paulo, SP, Brazil.</t>
  </si>
  <si>
    <t>tailisi@usp.br</t>
  </si>
  <si>
    <t>Petti, Monica A V/S-6367-2016; Portella, Andreza A/B-9754-2017; Corbisier, Thais N./R-8255-2017; Trevizani, T Hoppe/P-1841-2018; Figueira, Rubens RCL/C-5958-2013; Ribeiro, Andreza P/C-5391-2013; Ribeiro, Andreza Portella/N-9082-2019</t>
  </si>
  <si>
    <t>Trevizani, T Hoppe/0000-0002-6057-5434; Ribeiro, Andreza Portella/0000-0002-1763-4558</t>
  </si>
  <si>
    <t>Fundacao de Amparo a Pesquisa do Estado de Sao Paulo (FAPESP) [2012/08633-0]; National Council for Research and Development (CNPq) [550354/02-6]; CNPq [574018/2008-5]; Research Support Foundation of the State of Rio de Janeiro (FAPERJ) [E-16/170.023/2008]; Brazilian Ministry of Science, Technology and Innovation (MCTI); Brazilian Ministry of Environment (MMA); Inter-Ministry Commission for Sea Resources (CIRM); Fundacao de Amparo a Pesquisa do Estado de Sao Paulo (FAPESP) [12/08633-0] Funding Source: FAPESP</t>
  </si>
  <si>
    <t>Fundacao de Amparo a Pesquisa do Estado de Sao Paulo (FAPESP)(Fundacao de Amparo a Pesquisa do Estado de Sao Paulo (FAPESP)); National Council for Research and Development (CNPq)(Conselho Nacional de Desenvolvimento Cientifico e Tecnologico (CNPQ)); CNPq(Conselho Nacional de Desenvolvimento Cientifico e Tecnologico (CNPQ)); Research Support Foundation of the State of Rio de Janeiro (FAPERJ)(Fundacao Carlos Chagas Filho de Amparo a Pesquisa do Estado do Rio De Janeiro (FAPERJ)); Brazilian Ministry of Science, Technology and Innovation (MCTI); Brazilian Ministry of Environment (MMA); Inter-Ministry Commission for Sea Resources (CIRM); Fundacao de Amparo a Pesquisa do Estado de Sao Paulo (FAPESP)(Fundacao de Amparo a Pesquisa do Estado de Sao Paulo (FAPESP))</t>
  </si>
  <si>
    <t>This work was supported by the Fundacao de Amparo a Pesquisa do Estado de Sao Paulo (FAPESP; to process 2012/08633-0) and by the National Council for Research and Development (CNPq process 550354/02-6 - Rede 2 - Avaliacao do conhecimento da estrutura das comunidades bentonicas para o gerenciamento ambiental da Baia do Almirantado) for sampling support (to T.N. Corbisier). Also this work integrates the National Institute of Science and Technology Antarctic for Environmental Research (INCT-APA) that received scientific and financial support of the CNPq (process 574018/2008-5) and the Research Support Foundation of the State of Rio de Janeiro (FAPERJ no E-16/170.023/2008). The authors also acknowledge the support of the Brazilian Ministries of Science, Technology and Innovation (MCTI), of Environment (MMA) and Inter-Ministry Commission for Sea Resources (CIRM).</t>
  </si>
  <si>
    <t>10.1016/j.marpolbul.2018.03.031</t>
  </si>
  <si>
    <t>WOS:000436221000024</t>
  </si>
  <si>
    <t>Bindoff, AD; Wotherspoon, SJ; Guinet, C; Hindell, MA</t>
  </si>
  <si>
    <t>Bindoff, Aidan D.; Wotherspoon, Simon J.; Guinet, Christophe; Hindell, Mark A.</t>
  </si>
  <si>
    <t>Twilight-free geolocation from noisy light data</t>
  </si>
  <si>
    <t>METHODS IN ECOLOGY AND EVOLUTION</t>
  </si>
  <si>
    <t>animal tracking; archival tag; bird migration; global location sensor; Hidden Markov Models</t>
  </si>
  <si>
    <t>SEA-SURFACE TEMPERATURE; ELEPHANT SEALS; MODELS; LEVEL; TAGS</t>
  </si>
  <si>
    <t>1. Solar geolocation is used to quantify the movements of animals tagged with sensors that record ambient light with respect to time. Global location sensor (GLS) tags are small, light, and present minimal drag or wing loading. They are affordable, and some can record data for several migratory cycles. These benefits mean they can be used in applications for which satellite tags are unsuitable. However, large errors in estimated locations can result if the sensor is obscured, especially around twilight, and sometimes the data obtained is unusable by existing methods of analysis due to this source of noise. This places limitations on the usefulness of solar geolocation in conservation and monitoring efforts. 2. All existing methods of analysis are dependent on twilights being identifiable or faithfully recorded. Instead, the method introduced here depends on the overall pattern of day and night to calculate the likelihoods for a Hidden Markov Model, where the hidden states are geographic locations. We call this a twilight-free method of light-based geolocation. 3. This method quickly estimates locations from otherwise unusable noisy light data. We use examples to show that the method produces tracks that are comparable in accuracy and precision to other geolocation methods. Furthermore, efficiency and replicability of estimated paths are improved because the user does not have to subjectively identify twilights. Other data sources, such as sea surface temperature and land or sea masks are easily incorporated, further improving location estimates and processing speed. 4. The twilight-free method offers new opportunities to researchers interested in the movements of animals that routinely have obscured sensors, or to analyse previously unusable noisy light data. It offers a fast, efficient, and replicable method for analysing tag data without the need for time-consuming pre- or post-processing. By increasing the yield of usable data from GLS tagging studies, researchers can more efficiently quantify where animals are going and when, and monitor changes in habitat. This is of fundamental importance to management and conservation efforts.</t>
  </si>
  <si>
    <t>[Bindoff, Aidan D.] Univ Tasmania, Wicking Dementia Res &amp; Educ Ctr, Hobart, Tas, Australia; [Wotherspoon, Simon J.] Univ Tasmania, Inst Marine &amp; Antarctic Studies, Hobart, Tas, Australia; [Wotherspoon, Simon J.] Australian Antarctic Div, Kingston, Tas, Australia; [Guinet, Christophe] CNRS, Ctr Etud Biol Chize, Villiers En Bois, France; [Hindell, Mark A.] Inst Marine &amp; Antarctic Studies, Hobart, Tas, Australia; [Hindell, Mark A.] Univ Tasmania, Antarctic Climate &amp; Ecosyst Cooperat Res Ctr, Hobart, Tas, Australia</t>
  </si>
  <si>
    <t>University of Tasmania; University of Tasmania; Australian Antarctic Division; Centre National de la Recherche Scientifique (CNRS); University of Tasmania; Antarctic Climate &amp; Ecosystems Cooperative Research Centre (ACE CRC); University of Tasmania</t>
  </si>
  <si>
    <t>Bindoff, AD (corresponding author), Univ Tasmania, Wicking Dementia Res &amp; Educ Ctr, Hobart, Tas, Australia.</t>
  </si>
  <si>
    <t>aidan.bindoff@utas.edu.au</t>
  </si>
  <si>
    <t>Hindell, Mark A/K-1131-2013; Wotherspoon, Simon J/B-2390-2013; Guinet, Christophe/AAR-8457-2020</t>
  </si>
  <si>
    <t>Wotherspoon, Simon J/0000-0002-6947-4445; Bindoff, Aidan/0000-0002-0943-2702; Hindell, Mark/0000-0002-7823-7185</t>
  </si>
  <si>
    <t>2041-210X</t>
  </si>
  <si>
    <t>2041-2096</t>
  </si>
  <si>
    <t>METHODS ECOL EVOL</t>
  </si>
  <si>
    <t>Methods Ecol. Evol.</t>
  </si>
  <si>
    <t>10.1111/2041-210X.12953</t>
  </si>
  <si>
    <t>GF1BJ</t>
  </si>
  <si>
    <t>WOS:000431666300004</t>
  </si>
  <si>
    <t>An, ML; Zheng, Z; Qu, CF; Wang, XX; Chen, H; Shi, CL; Miao, JL</t>
  </si>
  <si>
    <t>An, Meiling; Zheng, Zhou; Qu, Changfeng; Wang, Xixi; Chen, Hao; Shi, Chongli; Miao, Jinlai</t>
  </si>
  <si>
    <t>The first (6-4) photolyase with DNA damage repair activity from the Antarctic microalga Chlamydomonas sp ICE-L</t>
  </si>
  <si>
    <t>MUTATION RESEARCH-FUNDAMENTAL AND MOLECULAR MECHANISMS OF MUTAGENESIS</t>
  </si>
  <si>
    <t>Chlamydomonas sp ICE-L; (6-4) Photolyase; DNA damage; Photoreactivation</t>
  </si>
  <si>
    <t>DROSOPHILA CRYPTOCHROME; DIMER REPAIR; LIGHT; FAMILY; PHOTOPRODUCT; MECHANISMS; INVITRO; TIME</t>
  </si>
  <si>
    <t>The psychrophilic microalga, Chlamydomonas sp. ICE-L, isolated from floating ice in the Antarctic, one of the most highly UV exposed ecosystems on Earth, displays an efficient DNA photorepair capacity. Here, the first known (6-4) photolyase gene (6-4CiPhr) from C. sp. ICE-L was identified. The 6-4CiPhr encoded 559-amino acid polypeptide with a pI of 8.86, and had a predicted Mw of 64.2 kDa. Real-time PCR was carried out to investigate the response of 6-4CiPhr to UVB exposure. The transcription of 6-4CiPhr was up-regulated continuously within 6 h, achieving a maximum of 62.7-fold at 6 h. Expressing 6-4CiPhr in a photolyase-deficient Escherichia coli strain improved survival rate of the strain. In vitro activity assays of purified protein demonstrated that 6-4CiPhr was a photolyase with 6-4PP repair activity. These findings improve understanding of photoreactivation mechanisms of (6-4) photolyase.</t>
  </si>
  <si>
    <t>[An, Meiling; Zheng, Zhou; Chen, Hao; Miao, Jinlai] Qingdao Univ, Coll Med, Qingdao 266071, Peoples R China; [Zheng, Zhou; Qu, Changfeng; Wang, Xixi; Miao, Jinlai] State Ocean Adm, Inst Oceanog 1, Key Lab Marine Bioact Subst, Qingdao 266061, Peoples R China; [Zheng, Zhou; Qu, Changfeng; Miao, Jinlai] Natl Lab Marine Sci &amp; Technol, Lab Marine Drugs &amp; Bioprod Qingdao, Qingdao 266237, Peoples R China; [Shi, Chongli; Miao, Jinlai] Qingdao Univ Sci &amp; Technol, Coll Chem Engn, Qingdao 266042, Peoples R China</t>
  </si>
  <si>
    <t>Qingdao University; First Institute of Oceanography, Ministry of Natural Resources; Laoshan Laboratory; Qingdao University of Science &amp; Technology</t>
  </si>
  <si>
    <t>Miao, JL (corresponding author), State Ocean Adm, Inst Oceanog 1, Key Lab Marine Bioact Subst, Qingdao 266061, Peoples R China.</t>
  </si>
  <si>
    <t>miaojinlai@fio.org.cn</t>
  </si>
  <si>
    <t>Zheng, Zhou/JJD-0602-2023</t>
  </si>
  <si>
    <t>Basic Scientific Fund for National Public Research Institutes of China [2016Q10]; Natural Science Foundation of China [41576187, 41776203]; Key Research and Development Program of Shandong Province [2016YYSP017, 2016ZDJS06A03, 2017GHY15112]; Natural Science Foundation of China-Shandong Joint Fund [U1606403]; Public Science and Technology Research Funds Projects of Ocean [201405015]; Qingdao Entrepreneurship &amp; Innovation Pioneers Program [15-10-3-15-(44)-zch]</t>
  </si>
  <si>
    <t>Basic Scientific Fund for National Public Research Institutes of China; Natural Science Foundation of China(National Natural Science Foundation of China (NSFC)); Key Research and Development Program of Shandong Province; Natural Science Foundation of China-Shandong Joint Fund; Public Science and Technology Research Funds Projects of Ocean; Qingdao Entrepreneurship &amp; Innovation Pioneers Program</t>
  </si>
  <si>
    <t>This work was funded by Basic Scientific Fund for National Public Research Institutes of China (No. 2016Q10), Natural Science Foundation of China (Nos. 41576187, 41776203), Key Research and Development Program of Shandong Province (Nos. 2016YYSP017, 2016ZDJS06A03, 2017GHY15112), Natural Science Foundation of China-Shandong Joint Fund (No. U1606403), Public Science and Technology Research Funds Projects of Ocean (No. 201405015), and Qingdao Entrepreneurship &amp; Innovation Pioneers Program (No. 15-10-3-15-(44)-zch).</t>
  </si>
  <si>
    <t>0027-5107</t>
  </si>
  <si>
    <t>1873-135X</t>
  </si>
  <si>
    <t>MUTAT RES-FUND MOL M</t>
  </si>
  <si>
    <t>Mutat. Res.-Fundam. Mol. Mech. Mutagen.</t>
  </si>
  <si>
    <t>10.1016/j.mrfmmm.2018.03.004</t>
  </si>
  <si>
    <t>Biotechnology &amp; Applied Microbiology; Genetics &amp; Heredity; Toxicology</t>
  </si>
  <si>
    <t>GG3NO</t>
  </si>
  <si>
    <t>WOS:000432598800003</t>
  </si>
  <si>
    <t>Wang, Y; Li, H; Wang, Y; Xu, HQ; Xu, JG; Ye, CY</t>
  </si>
  <si>
    <t>Wang, Yi; Li, Hui; Wang, Yan; Xu, Huaqing; Xu, Jianguo; Ye, Changyun</t>
  </si>
  <si>
    <t>Antarctic thermolabile uracil-DNA-glycosylase-supplemented multiple cross displacement amplification using a label-based nanoparticle lateral flow biosensor for the simultaneous detection of nucleic acid sequences and elimination of carryover contamination</t>
  </si>
  <si>
    <t>NANO RESEARCH</t>
  </si>
  <si>
    <t>Antarctic thermolabile uracil-DNA-glycosylase (AUDG); nucleic acid amplification techniques (NAAs); multiple cross displacement amplification (MCDA); lateral flow biosensor (LFB); limit of detection (LOD); human papillomaviruses (HPV)</t>
  </si>
  <si>
    <t>ISOTHERMAL-AMPLIFICATION; ASSAY; PREVENT; VIRUS</t>
  </si>
  <si>
    <t>Here, we report a novel and universal methodology, termed Antarctic thermolabile uracil-DNA-glycosylase (AUDG)-supplemented nucleic acid amplification techniques (NAAs) using a labeled-based nanoparticle lateral flow biosensor (LFB) (AUDG-NAAs-LFB), which merges enzymatic (AUDG) digestion of contaminant amplicons with different nucleic acid amplification techniques (NAAs), and uses a lateral flow biosensor (LFB) for the rapid and visual confirmation of the presence of a target nucleic acid sequence. AUDG-NNAs-LFB is a one-pot, closedvessel assay, that can effectively eliminate false-positive signals arising from either carryover contaminants or the interaction between labeled primers. A new LFB was devised for detecting three targets (two amplicons generated from amplification of target sequences, and a chromatography control), without the need for probe-hybridization or additional incubation steps. As a proof of concept, multiple cross displacement amplification (MCDA), which is a specific, sensitive, and rapid isothermal amplification method, was selected as the model amplification technique to demonstrate the feasibility of AUDG-NAAs-LFB. As a result, we demonstrate the applicability of the AUDG-MCDA-LFB method for simultaneously detecting high-risk human papillomaviruses genotypes 16 and 18, which are the most and second-most prevalent strains of the virus reported in women worldwide. We also confirm the principle behind the AUDG-MCDA-LFB assay and validate its sensitivity, reproducibility, and specificity using serial dilutions of the type-specific plasmids, as well as clinical samples. This proof-of-concept method (AUDG-MCDA-LFB) can be easily reconfigured to detect various nucleic acid sequences by redesigning the specific MCDA primers.</t>
  </si>
  <si>
    <t>[Wang, Yi; Wang, Yan; Xu, Jianguo; Ye, Changyun] Chinese Ctr Dis Control &amp; Prevent, Natl Inst Communicable Dis Control &amp; Prevent, Collaborat Innovat Ctr Diag &amp; Treatment Infect Di, State Key Lab Infect Dis Prevent &amp; Control, Beijing 102206, Peoples R China; [Li, Hui] Guizhou Med Univ, Dept Microbiol, Guiyang 550004, Guizhou, Peoples R China; [Xu, Huaqing] Sixth Peoples Hosp Zhengzhou, Zhengzhou 450000, Henan, Peoples R China</t>
  </si>
  <si>
    <t>Chinese Center for Disease Control &amp; Prevention; National Institute for Communicable Disease Control &amp; Prevention, Chinese Center for Disease Control &amp; Prevention; Collaborative Innovation Center for Diagnosis &amp; Treatment of Infectious Diseases; Guizhou Medical University</t>
  </si>
  <si>
    <t>Ye, CY (corresponding author), Chinese Ctr Dis Control &amp; Prevent, Natl Inst Communicable Dis Control &amp; Prevent, Collaborat Innovat Ctr Diag &amp; Treatment Infect Di, State Key Lab Infect Dis Prevent &amp; Control, Beijing 102206, Peoples R China.</t>
  </si>
  <si>
    <t>yechangyun@icdc.cn</t>
  </si>
  <si>
    <t>Li, Guo/JNR-1700-2023; Wang, Yi/JAD-1967-2023; wang, yiting/GYU-5306-2022; chen, yijia/KGM-4378-2024</t>
  </si>
  <si>
    <t>Wang, Yi/0000-0002-2031-087X;</t>
  </si>
  <si>
    <t>Ministry of Science and Technology, People's Republic of China [2013ZX10004-101]; State Key Laboratory of Infectious Disease Prevention and Control, China CDC [2015SKLID507]</t>
  </si>
  <si>
    <t>Ministry of Science and Technology, People's Republic of China(Ministry of Science and Technology, China); State Key Laboratory of Infectious Disease Prevention and Control, China CDC</t>
  </si>
  <si>
    <t>We acknowledge the financial supports of the grants (Mega Project of Research on the Prevention and Control of HIV/AIDS, Viral Hepatitis Infectious Diseases 2013ZX10004-101 to Changyun Ye) from the Ministry of Science and Technology, People's Republic of China, and grant (No. 2015SKLID507 to Changyun Ye) from State Key Laboratory of Infectious Disease Prevention and Control, China CDC.</t>
  </si>
  <si>
    <t>TSINGHUA UNIV PRESS</t>
  </si>
  <si>
    <t>B605D, XUE YAN BUILDING, BEIJING, 100084, PEOPLES R CHINA</t>
  </si>
  <si>
    <t>1998-0124</t>
  </si>
  <si>
    <t>1998-0000</t>
  </si>
  <si>
    <t>NANO RES</t>
  </si>
  <si>
    <t>Nano Res.</t>
  </si>
  <si>
    <t>10.1007/s12274-017-1893-z</t>
  </si>
  <si>
    <t>Chemistry, Physical; Nanoscience &amp; Nanotechnology; Materials Science, Multidisciplinary; Physics, Applied</t>
  </si>
  <si>
    <t>Chemistry; Science &amp; Technology - Other Topics; Materials Science; Physics</t>
  </si>
  <si>
    <t>GF5IK</t>
  </si>
  <si>
    <t>WOS:000431999700029</t>
  </si>
  <si>
    <t>Goldberg, DN; Snow, K; Holland, P; Jordan, JR; Campin, JM; Heimbach, P; Arthern, R; Jenkins, A</t>
  </si>
  <si>
    <t>Goldberg, D. N.; Snow, K.; Holland, P.; Jordan, J. R.; Campin, J. -M.; Heimbach, P.; Arthern, R.; Jenkins, A.</t>
  </si>
  <si>
    <t>Representing grounding line migration in synchronous coupling between a marine ice sheet model and a z-coordinate ocean model</t>
  </si>
  <si>
    <t>OCEAN MODELLING</t>
  </si>
  <si>
    <t>Glaciology; Ice-ocean interaction; Moving Boundary</t>
  </si>
  <si>
    <t>PINE ISLAND GLACIER; SHELF MELT RATES; WEST ANTARCTICA; FINITE-ELEMENT; FLOW MODELS; CIRCULATION; SURFACE; DYNAMICS; DRAINAGE; THWAITES</t>
  </si>
  <si>
    <t>Synchronous coupling is developed between an ice sheet model and a z-coordinate ocean model (the MITgcm). A previously-developed scheme to allow continuous vertical movement of the ice-ocean interface of a floating ice shelf (vertical coupling) is built upon to allow continuous movement of the grounding line, or point of floatation of the ice sheet (horizontal coupling). Horizontal coupling is implemented through the maintenance of a thin layer of ocean (similar to 1 m) under grounded ice, which is inflated into the real ocean as the ice ungrounds. This is accomplished through a modification of the ocean model's nonlinear free surface evolution in a manner akin to a hydrological model in the presence of steep bathymetry. The coupled model is applied to a number of idealized geometries and shown to successfully represent ocean-forced marine ice sheet retreat while maintaining a continuous ocean circulation.</t>
  </si>
  <si>
    <t>[Goldberg, D. N.; Snow, K.] Univ Edinburgh, Sch GeoSci, Edinburgh EH8 9XP, Midlothian, Scotland; [Holland, P.; Jordan, J. R.; Arthern, R.; Jenkins, A.] British Antarctic Survey, Madingley Rd, Cambridge CB3 0ET, England; [Campin, J. -M.] MIT, Dept Earth Atmospher &amp; Planetary Sci, Cambridge, MA 02139 USA; [Heimbach, P.] Univ Texas Austin, Inst Computat Engn &amp; Sci, Austin, TX 78712 USA</t>
  </si>
  <si>
    <t>University of Edinburgh; UK Research &amp; Innovation (UKRI); Natural Environment Research Council (NERC); NERC British Antarctic Survey; Massachusetts Institute of Technology (MIT); University of Texas System; University of Texas Austin</t>
  </si>
  <si>
    <t>Goldberg, DN (corresponding author), Univ Edinburgh, Sch GeoSci, Edinburgh EH8 9XP, Midlothian, Scotland.</t>
  </si>
  <si>
    <t>dan.goldberg@ed.ac.uk; k.snow@ed.ac.uk; pahol@bas.ac.uk; jamrda26@bas.ac.uk; jmc@mit.edu; heimbach@ices.utexas.edu; rart@bas.ac.uk; ajen@bas.ac.uk</t>
  </si>
  <si>
    <t>Jenkins, Adrian/IUN-2406-2023; Holland, Paul R/G-2796-2012; Heimbach, Patrick/K-3530-2013</t>
  </si>
  <si>
    <t>Jordan, Jim/0000-0001-8117-1976; Jenkins, Adrian/0000-0002-9117-0616; Heimbach, Patrick/0000-0003-3925-6161</t>
  </si>
  <si>
    <t>NERC [NE/M003590/1]; NSF OCE [1737759]; NASA project ECCO: Understanding Sea Level, Ice, and the Earth's Climate via a JPL/Caltech subcontract; Directorate For Geosciences; Office of Polar Programs (OPP) [1603854] Funding Source: National Science Foundation; Division Of Ocean Sciences; Directorate For Geosciences [1737759] Funding Source: National Science Foundation; NERC [NE/M003590/1, NE/M001660/1, NE/N01801X/1, bas0100033] Funding Source: UKRI</t>
  </si>
  <si>
    <t>NERC(UK Research &amp; Innovation (UKRI)Natural Environment Research Council (NERC)); NSF OCE(National Science Foundation (NSF)); NASA project ECCO: Understanding Sea Level, Ice, and the Earth's Climate via a JPL/Caltech subcontract; Directorate For Geosciences; Office of Polar Programs (OPP)(National Science Foundation (NSF)NSF - Directorate for Geosciences (GEO)); Division Of Ocean Sciences; Directorate For Geosciences(National Science Foundation (NSF)NSF - Directorate for Geosciences (GEO)); NERC(UK Research &amp; Innovation (UKRI)Natural Environment Research Council (NERC))</t>
  </si>
  <si>
    <t>We thank editor William Perrie and three anonymous reviews for their helpful comments. This work was supported in part by NERC grant NE/M003590/1. P. Heimbach and J.M. Campin are supported in part by NSF OCE 1737759 and through the NASA project ECCO: Understanding Sea Level, Ice, and the Earth's Climate via a JPL/Caltech subcontract. The code used to generate all results is available freely at mitgcm.org.</t>
  </si>
  <si>
    <t>1463-5003</t>
  </si>
  <si>
    <t>1463-5011</t>
  </si>
  <si>
    <t>OCEAN MODEL</t>
  </si>
  <si>
    <t>Ocean Model.</t>
  </si>
  <si>
    <t>10.1016/j.ocemod.2018.03.005</t>
  </si>
  <si>
    <t>Meteorology &amp; Atmospheric Sciences; Oceanography</t>
  </si>
  <si>
    <t>GD3MS</t>
  </si>
  <si>
    <t>WOS:000430408700004</t>
  </si>
  <si>
    <t>Han, H; Lee, H</t>
  </si>
  <si>
    <t>Han, Hyangsun; Lee, Hoonyol</t>
  </si>
  <si>
    <t>Glacial and tidal strain of landfast sea ice in Terra Nova Bay, East Antarctica, observed by interferometric SAR techniques</t>
  </si>
  <si>
    <t>Fast ice; Strain; Campbell Glacier Tongue; Terra Nova Bay; COSMO-SkyMed; InSAR; DDInSAR</t>
  </si>
  <si>
    <t>OCEAN TIDES; ROSS SEA; IMAGES; MOTION; POLYNYA; TONGUE; MODEL; CLASSIFICATION; VARIABILITY; DYNAMICS</t>
  </si>
  <si>
    <t>The dynamics of landfast sea ice, also called fast ice for short, has a large influence on the variability of polynyas and marine ecosystems, and the logistics for research stations near the Antarctic coast. Therefore, it is important to accurately measure the strain of fast ice and its seasonal variations, and to identify the cause of stresses on the ice. In this paper, we separate the strains from glacial stress and tidal stress of fast ice near the Campbell Glacier Tongue (CGT) in Terra Nova Bay, East Antarctica. This was done using observations from a series of one-day tandem COSMO-SkyMed Interferometric Synthetic Aperture Radar (InSAR) images obtained from December 2010 to January 2012. Firstly, we discriminated fast ice from pack ice and open water by analyzing the interferometric coherence values. We then identified the characteristics of the strains by investigating the equidisplacement lines of fringes in weekly InSAR and double-differential InSAR (DDInSAR) images. The weekly InSAR images predominantly showed glacial shear strain of the fast ice with fringes parallel to the sides of the CGT. This was due to the cumulative flow of the CGT for a week, while oscillating tidal signals were relatively small. The DDInSAR images, which cancelled glacial strain rates in two one-day InSAR images, showed a deformation of the fast ice by tidal sea surface tilt, with the fringes parallel to the coastline. Based on the unique characteristics of these strains, we separated them from the one-day InSAR images by decomposing the fringe patterns into glacial and tidal strain. Glacial shear strain rates of fast ice attached to the east of the CGT decreased from May to August owing to ice thickening and then stabilized until December. Those to the west of the CGT increased from May to July. This was possibly due to bottom melting of the ice by the increased ocean circulation during the expansion period of the nearby polynya. The glacial strain then decreased until December because of reduced polynya activity. The fast ice near the Jang Bogo Station (JBS) only showed tidal strain as it was isolated from the CGT by cracks and leads. Tidal strain rates of the fast ice were strongly correlated with the magnitude of tidal variations in all these regions, which represents shows that the tidal strain represents tidal sea surface tilt. The tidal response of fast ice to the west of the CGT and near the JBS was stronger than that to the east of the CGT, probably owing to thinner ice thickness there.</t>
  </si>
  <si>
    <t>[Han, Hyangsun] Korea Polar Res Inst, Unit Arctic Sea Ice Predict, Incheon 21990, South Korea; [Lee, Hoonyol] Kangwon Natl Univ, Div Geol &amp; Geophys, Chunchon 24341, Kangwon Do, South Korea</t>
  </si>
  <si>
    <t>Korea Polar Research Institute (KOPRI); Kangwon National University</t>
  </si>
  <si>
    <t>Lee, H (corresponding author), Kangwon Natl Univ, Div Geol &amp; Geophys, Chunchon 24341, Kangwon Do, South Korea.</t>
  </si>
  <si>
    <t>hoonyol@kangwon.ac.kr</t>
  </si>
  <si>
    <t>Han, Hyangsun/AAE-7670-2022</t>
  </si>
  <si>
    <t>Han, Hyangsun/0000-0002-0414-519X</t>
  </si>
  <si>
    <t>National Research Foundation of Korea [NRF-2016R1D1A1A09916630]; Korea Polar Research Institute (KOPRI) [PE17340, PE17120]; Korea Ministry of Environment</t>
  </si>
  <si>
    <t>National Research Foundation of Korea(National Research Foundation of Korea); Korea Polar Research Institute (KOPRI)(Korea Polar Research Institute of Marine Research Placement (KOPRI)); Korea Ministry of Environment(Ministry of Environment (ME), Republic of Korea)</t>
  </si>
  <si>
    <t>This research was supported by the National Research Foundation of Korea [Grant Number: NRF-2016R1D1A1A09916630], the Korea Polar Research Institute (KOPRI) Grant PE17340 and PE17120, and the Korea Ministry of Environment as The GAIA project.</t>
  </si>
  <si>
    <t>10.1016/j.rse.2018.02.033</t>
  </si>
  <si>
    <t>GE0IK</t>
  </si>
  <si>
    <t>WOS:000430897300004</t>
  </si>
  <si>
    <t>Liao, HM; Meyer, FJ; Scheuchl, B; Mouginot, J; Joughin, I; Rignot, E</t>
  </si>
  <si>
    <t>Liao, Heming; Meyer, Franz J.; Scheuchl, Bernd; Mouginot, Jeremie; Joughin, Ian; Rignot, Eric</t>
  </si>
  <si>
    <t>Ionospheric correction of InSAR data for accurate ice velocity measurement at polar regions</t>
  </si>
  <si>
    <t>Synthetic aperture radar; SAR interferometry; Ice velocity; Range split spectrum; Data stacking; Ionosphere effect; Ionosphere correction</t>
  </si>
  <si>
    <t>SAR INTERFEROMETRY; FARADAY-ROTATION; GLACIER MOTION; BAND; SHEET; FLOW; MISSION; SURFACE</t>
  </si>
  <si>
    <t>Interferometric synthetic aperture radar (InSAR) has become an essential tool for measuring ice sheet velocity in the Polar Regions. At low radar frequencies, e.g. L-band (1.2 GHz) but also at higher frequency, e.g. C-band (5.6 GHz), the ionosphere has been documented to be an important source of noise in these data. In this paper, we employ a split-spectrum technique and investigate its performance for correcting ionospheric effects in InSAR-based ice velocity measurements in Greenland and Antarctica. Three case studies using ALOS PALSAR data are used to assess the performance of the split spectrum technique for ionosphere correction over a range of environmental parameters. We employ several approaches to evaluate the results, including visual inspection, profile analysis, comparison of experimental and theoretic errors, comparison with reference data from other sources, generation of double difference interferograms, and analysis of time series of multi-temporal data. Our experiments show that ionospheric distortions are observed regularly, and in our analyzed Greenland dataset and Antarctic dataset the ionospheric noise reaches 14 m/yr and 10 m/yr, respectively, which exceeds the signal associated with ice motion. Our analysis using several different approaches demonstrates that the split-spectrum technique provides an effective correction. The split spectrum technique is also found to be superior to currently used approaches such as baseline fitting and multi-temporal averaging. The noise level is reduced by a factor of 70% in Greenland test areas and 90% in Antarctic test areas.</t>
  </si>
  <si>
    <t>[Liao, Heming; Meyer, Franz J.] Univ Alaska Fairbanks, Inst Geophys, Fairbanks, AK 99775 USA; [Scheuchl, Bernd; Mouginot, Jeremie; Rignot, Eric] Univ Calif Irvine, Dept Earth Syst Sci, Irvine, CA 92967 USA; [Joughin, Ian] Univ Washington, Appl Phys Lab, Seattle, WA 98105 USA; [Rignot, Eric] CALTECH, Jet Prop Lab, Pasadena, CA 91109 USA</t>
  </si>
  <si>
    <t>University of Alaska System; University of Alaska Fairbanks; University of California System; University of California Irvine; University of Washington; University of Washington Seattle; National Aeronautics &amp; Space Administration (NASA); NASA Jet Propulsion Laboratory (JPL); California Institute of Technology</t>
  </si>
  <si>
    <t>Liao, HM (corresponding author), POB 752765, Fairbanks, AK 99775 USA.</t>
  </si>
  <si>
    <t>hliao@alaska.edu</t>
  </si>
  <si>
    <t>Joughin, Ian/AAR-7778-2021; Rignot, Eric/A-4560-2014; Joughin, Ian R/A-2998-2008; Mouginot, Jeremie/G-7045-2015</t>
  </si>
  <si>
    <t>Joughin, Ian/0000-0001-6229-679X; Rignot, Eric/0000-0002-3366-0481; Joughin, Ian R/0000-0001-6229-679X; Mouginot, Jeremie/0000-0001-9155-5455</t>
  </si>
  <si>
    <t>NASA [NNX16AK55G, NNX13AI84A, NNX16AK91G, NNX16AK53G]; NASA [NNX16AK91G, 901399, NNX13AI84A, 472939, NNX16AK53G, 901594] Funding Source: Federal RePORTER</t>
  </si>
  <si>
    <t>NASA(National Aeronautics &amp; Space Administration (NASA)); NASA(National Aeronautics &amp; Space Administration (NASA))</t>
  </si>
  <si>
    <t>We thank associate editor George Riggs and the three anonymous reviewers for their effort in evaluating this paper. The insightful comments help greatly to improve the quality of this manuscript. Funding for the development of ionospheric correction techniques was provided through NASA grant NNX16AK55G. Eric Rignot, Bernd Scheuchl and Jeremie Mouginot were supported by NASA grants NNX13AI84A and NNX16AK91G. Ian Joughin was supported by NASA grant NNX16AK53G. ALOS PALSAR data sets were provided by JAXA/METI and were accessed through the services of the ASF DAAC.</t>
  </si>
  <si>
    <t>STE 800, 230 PARK AVE, NEW YORK, NY 10169 USA</t>
  </si>
  <si>
    <t>10.1016/j.rse.2018.02.048</t>
  </si>
  <si>
    <t>WOS:000430897300013</t>
  </si>
  <si>
    <t>Wojtasiewicz, B; Hardman-Mountford, NJ; Antoine, D; Dufois, F; Slawinski, D; Trull, TW</t>
  </si>
  <si>
    <t>Wojtasiewicz, Bozena; Hardman-Mountford, Nick J.; Antoine, David; Dufois, Francois; Slawinski, Dirk; Trull, Thomas W.</t>
  </si>
  <si>
    <t>Use of bio-optical profiling float data in validation of ocean colour satellite products in a remote ocean region</t>
  </si>
  <si>
    <t>Autonomous profiling floats; Remote sensing reflectance; Chlorophyll; Ocean colour; Validation; Indian Ocean</t>
  </si>
  <si>
    <t>REFLECTANCE; WATERS; MODEL; DISTRIBUTIONS; SCATTERING; PIGMENT</t>
  </si>
  <si>
    <t>Utility of data from autonomous profiling floats for the validation of satellite ocean colour products from current satellite ocean colour sensors was assessed using radiometric and chlorophyll a fluorescence data from bio-geochemical profiling floats (BGC-Argo) deployed in the subtropical gyre of the Indian Ocean. One of the floats was equipped with downward irradiance and upwelling radiance sensors, allowing the remote sensing reflectance, R-rs, to be determined. Comparisons between satellite and in situ R-rs, indicated good agreement for the shorter wavelengths, but weak relationships for both satellites for the 555 nm channel, and showed that radiometers deployed on multipurpose, off-the-shelf BGC-Argo floats can provide validation-quality measurements. About 300 chlorophyll a concentration match-ups were achieved within 18 months, which increased the number of validation data points available for the Indian Ocean as a whole by a factor of similar to 4 from the previous historical record. Generally, the satellite data agreed with the float-derived chlorophyll concentration within the uncertainty of +/- 35%, for the band-difference (OCI) and band-ratio (OC3) algorithms, but not for a semi analytical ocean colour model (GSM) that exhibited significantly higher chlorophyll values (&gt; 100% mean difference). Our results indicate that autonomous float-based measurements provide substantial potential for improving regional validation of satellite ocean colour products in remote areas.</t>
  </si>
  <si>
    <t>[Wojtasiewicz, Bozena; Hardman-Mountford, Nick J.; Dufois, Francois; Slawinski, Dirk] Indian Ocean Marine Res Ctr, CSIRO Oceans &amp; Atmosphere, Crawley, WA 6009, Australia; [Wojtasiewicz, Bozena] Univ Gdansk, Inst Oceanog, Gdynia, Poland; [Antoine, David] Curtin Univ, Remote Sensing &amp; Satellite Res Grp, Perth, WA 6845, Australia; [Antoine, David] UPMC Univ Paris 06, CNRS, Sorbonne Univ, INSU,Lab Oceanog Villefranche, Villefranche Sur Mer, France; [Dufois, Francois] Univ Western Australia, ARC Ctr Excellence Coral Reef Studies, Crawley, WA 6009, Australia; [Trull, Thomas W.] Antarctic Climate &amp; Ecosyst Cooperat Res Ctr, CSIRO Oceans &amp; Atmosphere, Hobart, Tas 7001, Australia</t>
  </si>
  <si>
    <t>Commonwealth Scientific &amp; Industrial Research Organisation (CSIRO); University of Western Australia; Fahrenheit Universities; University of Gdansk; Curtin University; Sorbonne Universite; Centre National de la Recherche Scientifique (CNRS); CNRS - National Institute for Earth Sciences &amp; Astronomy (INSU); University of Western Australia; Commonwealth Scientific &amp; Industrial Research Organisation (CSIRO); Antarctic Climate &amp; Ecosystems Cooperative Research Centre (ACE CRC)</t>
  </si>
  <si>
    <t>Wojtasiewicz, B (corresponding author), M097 35 Stirling Highway, Crawley, WA 6009, Australia.</t>
  </si>
  <si>
    <t>bozena.wojtasiewicz@csiro.au</t>
  </si>
  <si>
    <t>Antoine, David/C-3817-2013; Dufois, Francois/B-5545-2012; Wojtasiewicz, Bozena/E-4322-2019; Wojtasiewicz, Bozena/JCE-4175-2023; Slawinski, Dirk/C-6186-2013</t>
  </si>
  <si>
    <t>Antoine, David/0000-0002-9082-2395; Slawinski, Dirk/0000-0003-2358-446X; Wojtasiewicz, Bozena/0000-0002-2878-2134</t>
  </si>
  <si>
    <t>Australian Government through the Australia-India Strategic Research Fund [AISRF06940]; CSIRO OCE Postdoctoral Fellowship</t>
  </si>
  <si>
    <t>Australian Government through the Australia-India Strategic Research Fund(Australian GovernmentDepartment of Industry, Innovation and Science); CSIRO OCE Postdoctoral Fellowship</t>
  </si>
  <si>
    <t>We thank the NCI for providing L2 satellite products and tools for extraction of matchups. We also acknowledge the SeaDAS Development Group at NASA GSFC (https://seadas.gsfc.nasa.gov/). We thank the Argo team of the Integrated Marine Observing System (IMOS) for their technical support. We acknowledge the funding from the Australian Government through the Australia-India Strategic Research Fund (AISRF06940) and CSIRO OCE Postdoctoral Fellowship support for B.W. We thank Edward King (CSIRO O&amp;A, Hobart) for his support in using the NCI satellite matchup extraction tools and the captain, the crew, and the scientific and technical staff on board the R/V Dr Fridtjof Nansen for their contribution to the data acquisition. We also thank Emmanuel Boss and two anonymous reviewers for all their comments and suggestions which enabled us to significantly improve the manuscript.</t>
  </si>
  <si>
    <t>10.1016/j.rse.2018.02.057</t>
  </si>
  <si>
    <t>WOS:000430897300021</t>
  </si>
  <si>
    <t>Ratcliffe, N; Adlard, S; Stowasser, G; McGill, R</t>
  </si>
  <si>
    <t>Ratcliffe, Norman; Adlard, Stacey; Stowasser, Gabrielle; McGill, Rona</t>
  </si>
  <si>
    <t>Dietary divergence is associated with increased intra-specific competition in a marine predator</t>
  </si>
  <si>
    <t>ICEFISH CHAMPSOCEPHALUS-GUNNARI; SOUTH-GEORGIA; INDIVIDUAL SPECIALIZATION; INTRASPECIFIC COMPETITION; BRUNNICHS GUILLEMOTS; FORAGING BEHAVIOR; MACARONI PENGUINS; PYGOSCELIS-PAPUA; GENTOO PENGUINS; RESOURCE USE</t>
  </si>
  <si>
    <t>Optimal foraging theory predicts that when food is plentiful all individuals should take a small range of preferred prey types, but as competition increases less preferred prey will be included in the diet. This dietary switching may not be uniform among individuals, which produces discrete dietary clusters. We tested this hypothesis for gentoo penguins at Bird Island, South Georgia, using stable isotope analysis and biologging. Competition, in the form of the density of foraging dives, increased markedly from incubation to chick-rearing owing to increased foraging effort. Birds responded behaviourally by exploiting a greater portion of the available foraging radius and increasing dive depths. Dietary niche width doubled and two discrete dietary clusters appeared; one comprising birds that consumed mostly krill and another that ate a greater proportion of demersal fish. There were no differences in morphology between the dietary classes, but birds in the fish class had a tendency to dive deeper, which suggests a behavioural basis for specialization. Our findings are consistent with the hypothesis that intra-specific competition expands the population's dietary niche width and drives divergence in diets among individuals.</t>
  </si>
  <si>
    <t>[Ratcliffe, Norman; Adlard, Stacey; Stowasser, Gabrielle] British Antarctic Survey, Madingley Rd, Cambridge CB3 0ET, England; [McGill, Rona] Scottish Univ, Environm Res Ctr, Life Sci Mass Spectrometry Facil, Rankine Ave,Scottish Enterprise Technol Pk, E Kilbride G75 0QF, Lanark, Scotland</t>
  </si>
  <si>
    <t>UK Research &amp; Innovation (UKRI); Natural Environment Research Council (NERC); NERC British Antarctic Survey; Scottish Universities Research &amp; Reactor Center</t>
  </si>
  <si>
    <t>Ratcliffe, N (corresponding author), British Antarctic Survey, Madingley Rd, Cambridge CB3 0ET, England.</t>
  </si>
  <si>
    <t>notc@bas.ac.uk</t>
  </si>
  <si>
    <t>McGill, Rona/F-1793-2010; McGill, Rona/JAC-6969-2023</t>
  </si>
  <si>
    <t>McGill, Rona/0000-0003-0400-7288;</t>
  </si>
  <si>
    <t>Natural Environment Research Council; Scottish Universities Environmental Research Centre node of the NERC Life Sciences Mass Spectrometry Facility in East Kilbride; NERC [lsmsf010002, bas0100035] Funding Source: UKRI</t>
  </si>
  <si>
    <t>Natural Environment Research Council(UK Research &amp; Innovation (UKRI)Natural Environment Research Council (NERC)); Scottish Universities Environmental Research Centre node of the NERC Life Sciences Mass Spectrometry Facility in East Kilbride; NERC(UK Research &amp; Innovation (UKRI)Natural Environment Research Council (NERC))</t>
  </si>
  <si>
    <t>This study is part of the British Antarctic Survey Polar Science for Planet Earth Programme, funded by the Natural Environment Research Council. Stable isotope analysis was conducted under a grant awarded by the Scottish Universities Environmental Research Centre node of the NERC Life Sciences Mass Spectrometry Facility in East Kilbride. We thank Charles Bishop and his technicians at Bangor University for manufacturing the housings for the Navsys GPS loggers. Jose Xavier kindly provided the nitrogen isotope ratio means and SDs for prey species that were used in the mixing models and Table 1. Derren Fox and Samantha Gwyn-Williams assisted with the fieldwork. Devin Johnson and Sebastian Luque provided valuable advice on use of the CRAWL and diveMove packages, respectively. Phil Trathan provided helpful advice during the planning stages while Richard Phillips, Iain Staniland and Rocio Moreno provided insightful comments on an earlier draft.</t>
  </si>
  <si>
    <t>10.1038/s41598-018-25318-7</t>
  </si>
  <si>
    <t>GE3LG</t>
  </si>
  <si>
    <t>WOS:000431114200006</t>
  </si>
  <si>
    <t>Hamdan, A</t>
  </si>
  <si>
    <t>Hamdan, Amira</t>
  </si>
  <si>
    <t>Psychrophiles: Ecological significance and potential industrial application</t>
  </si>
  <si>
    <t>SOUTH AFRICAN JOURNAL OF SCIENCE</t>
  </si>
  <si>
    <t>frozen ecosystem; biodiversity; cold-active proteins; carotenoid pigments; food industry; pharmaceutical industry</t>
  </si>
  <si>
    <t>PSEUDOMONAS-PUTIDA GR12-2; COLD-ADAPTED ENZYMES; SEA-ICE; ANTIFREEZE PROTEIN; HETEROTROPHIC BACTERIA; ANTARCTIC BACTERIA; ALPHA-AMYLASE; ADAPTATION; TEMPERATURE; POLAR</t>
  </si>
  <si>
    <t>The bulk of earth's biosphere is cold (&lt; 5 degrees C) that sustains a broad diversity of microbial life by triggering physiological response(s) to ensure survival in cold and frozen ecosystems. The strategy of adaptation to cold environments includes changes in membrane composition and induction of a set of specific cold-active proteins, polyunsaturated lipids and exopolysaccharides. These adaptive features provide an enormous natural reservoir of enzymes that function effectively in cold environments, and these cold-active enzymes have been targeted for innovative applications useful to humankind. This review provides an overview of the existence, distribution and adaptation strategies of psychrophilic microorganisms worldwide with great emphasis on their recently emerged industrial applications in the textile industry, food and dairy industry, brewing and wine industry, laundry detergent industry, and others. Significance: The outcome of these studies may also help in the exploration of the possibility of life in distant frozen planets.</t>
  </si>
  <si>
    <t>[Hamdan, Amira] Alexandria Univ, Oceanog Dept, Alexandria, Egypt</t>
  </si>
  <si>
    <t>Egyptian Knowledge Bank (EKB); Alexandria University</t>
  </si>
  <si>
    <t>Hamdan, A (corresponding author), Alexandria Univ, Oceanog Dept, Alexandria, Egypt.</t>
  </si>
  <si>
    <t>amira_hamdan1978@yahoo.com</t>
  </si>
  <si>
    <t>Hamdan, Amira/Y-9210-2019</t>
  </si>
  <si>
    <t>Hamdan, Amira/0000-0002-7220-3646</t>
  </si>
  <si>
    <t>ACAD SCIENCE SOUTH AFRICA A S S AF</t>
  </si>
  <si>
    <t>LYNWOOD RIDGE</t>
  </si>
  <si>
    <t>PO BOX 72135, LYNWOOD RIDGE 0040, SOUTH AFRICA</t>
  </si>
  <si>
    <t>0038-2353</t>
  </si>
  <si>
    <t>1996-7489</t>
  </si>
  <si>
    <t>S AFR J SCI</t>
  </si>
  <si>
    <t>S. Afr. J. Sci.</t>
  </si>
  <si>
    <t>MAY-JUN</t>
  </si>
  <si>
    <t>5-6</t>
  </si>
  <si>
    <t>2017-0254</t>
  </si>
  <si>
    <t>10.17159/sajs.2018/20170254</t>
  </si>
  <si>
    <t>GH7JD</t>
  </si>
  <si>
    <t>WOS:000433618400005</t>
  </si>
  <si>
    <t>Gómez, M; Villagrán, M; Martínez, C; Belmonte, A</t>
  </si>
  <si>
    <t>Gomez, Matias; Villagran, Mauricio; Martinez, Carolina; Belmonte, Arturo</t>
  </si>
  <si>
    <t>Characterizing the Longshore Sediment Transport Pattern on Beaches in the Gulf of Arauco, Chile, to Assess Morphological Shoreline Evolution</t>
  </si>
  <si>
    <t>JOURNAL OF COASTAL RESEARCH</t>
  </si>
  <si>
    <t>15th International Coastal Symposium (ICS)</t>
  </si>
  <si>
    <t>MAY 13-18, 2018</t>
  </si>
  <si>
    <t>Busan, SOUTH KOREA</t>
  </si>
  <si>
    <t>Gulf of Arauco; sediment transport; coastal evolution; wave climate</t>
  </si>
  <si>
    <t>ATLANTIC COAST</t>
  </si>
  <si>
    <t>Coastal evolution is an important research topic worldwide and has become increasingly relevant due to growing anthropogenic pressure on the coast and a climate change scenario (Masselink et al., 2016). The Gulf of Arauco covers an area of roughly 40,000 km(2) and has a sandy-rocky coastline located in a very seismic environment. The area has suffered several major earthquakes during the last century (Valdivia 1960, Maule 2010) and seismic displacement has widely affected the coastline (Bejar-Pizarro et al., 2010). Despite these findings, the morphological evolution of sandy coastlines is mainly caused by wave-driven littoral processes. In this paper, using numerical modeling (Delft3D), we aim to characterize the longshore sediment transport (LST) direction at several spots (7 beaches) spread along the coastline of the Gulf of Arauco. Wave patterns were identified at each study site, revealing the importance of Santa Maria Island, located at the entrance to the gulf, despite the approach direction of deep water waves. The island acts as a moderator of wave patterns, softening the highly energetic swell that comes from the Antarctic Ocean and sorting the wave propagation inside the gulf. Moreover, LST patterns were characterized at each site for dominant wave conditions (SW swell and NW winter storms) and it was possible to explain how each condition has a different response at each spot, even under similar co-seismic displacements. Adaptation capabilities differ from site to site, suggesting a dynamic equilibrium of beaches in the area.</t>
  </si>
  <si>
    <t>[Gomez, Matias; Villagran, Mauricio] UCSC, Dept Ingn Civil, Concepcion, Chile; [Martinez, Carolina] Pontificia Univ Catolica Chile, Inst Geog, Santiago, Chile; [Belmonte, Arturo] Univ Concepcion, Dept Geofis, Concepcion, Chile</t>
  </si>
  <si>
    <t>Universidad Catolica de la Santisima Concepcion; Pontificia Universidad Catolica de Chile; Universidad de Concepcion</t>
  </si>
  <si>
    <t>Gómez, M (corresponding author), UCSC, Dept Ingn Civil, Concepcion, Chile.</t>
  </si>
  <si>
    <t>mgomez@ing.ucsc.cl</t>
  </si>
  <si>
    <t>Gomez, Matias/AAN-6854-2020; Villagran, Mauricio/V-7691-2019</t>
  </si>
  <si>
    <t>Villagran, Mauricio/0000-0003-4873-353X; Gomez, Matias/0000-0003-4493-9661</t>
  </si>
  <si>
    <t>Chilean CONICYT program under FONDECYT [1151367]</t>
  </si>
  <si>
    <t>Chilean CONICYT program under FONDECYT</t>
  </si>
  <si>
    <t>This work was partially funded by the Chilean CONICYT program under FONDECYT grant No 1151367.</t>
  </si>
  <si>
    <t>COASTAL EDUCATION &amp; RESEARCH FOUNDATION</t>
  </si>
  <si>
    <t>COCONUT CREEK</t>
  </si>
  <si>
    <t>5130 NW 54TH STREET, COCONUT CREEK, FL 33073 USA</t>
  </si>
  <si>
    <t>0749-0208</t>
  </si>
  <si>
    <t>1551-5036</t>
  </si>
  <si>
    <t>J COASTAL RES</t>
  </si>
  <si>
    <t>J. Coast. Res.</t>
  </si>
  <si>
    <t>10.2112/SI85-132.1</t>
  </si>
  <si>
    <t>GP8PE</t>
  </si>
  <si>
    <t>WOS:000441173100132</t>
  </si>
  <si>
    <t>Pessi, IS; Lara, Y; Durieu, B; Maalouf, PD; Verleyen, E; Wilmotte, A</t>
  </si>
  <si>
    <t>Pessi, Igor S.; Lara, Yannick; Durieu, Benoit; Maalouf, Pedro de C.; Verleyen, Elie; Wilmotte, Annick</t>
  </si>
  <si>
    <t>Community structure and distribution of benthic cyanobacteria in Antarctic lacustrine microbial mats</t>
  </si>
  <si>
    <t>FEMS MICROBIOLOGY ECOLOGY</t>
  </si>
  <si>
    <t>Antarctica; bioregionalization; cosmopolitanism; endemism; microbial community ecology; cyanobacteria; high-throughput sequencing; lakes</t>
  </si>
  <si>
    <t>LUTZOW-HOLM BAY; CLIMATE-CHANGE; SALINE LAKES; TRANSANTARCTIC MOUNTAINS; MELTWATER PONDS; ICE-FREE; DIVERSITY; LIMNOLOGY; HILLS; MICROORGANISMS</t>
  </si>
  <si>
    <t>The terrestrial Antarctic Realm has recently been divided into 16 Antarctic Conservation Biogeographic Regions (ACBRs) based on environmental properties and the distribution of biota. Despite their prominent role in the primary production and nutrient cycling in Antarctic lakes, cyanobacteria were only poorly represented in the biological dataset used to delineate these ACBRs. Here, we provide a first high-throughput sequencing insight into the spatial distribution of benthic cyanobacterial communities in Antarctic lakes located in four distinct, geographically distant ACBRs and covering a range of limnological conditions. Cyanobacterial community structure differed between saline and freshwater lakes. No clear bioregionalization was observed, as clusters of community similarity encompassed lakes from distinct ACBRs. Most phylotypes (77.0%) were related to cyanobacterial lineages (defined at &gt;= 99.0% 16S rRNA gene sequence similarity) restricted to the cold biosphere, including lineages potentially endemic to Antarctica (55.4%). The latter were generally rare and restricted to a small number of lakes, while more ubiquitous phylotypes were generally abundant and present in different ACBRs. These results point to a widespread distribution of some cosmopolitan cyanobacterial phylotypes across the different Antarctic ice-free regions, but also suggest the existence of dispersal barriers both within and between Antarctica and the other continents.</t>
  </si>
  <si>
    <t>[Pessi, Igor S.; Lara, Yannick; Durieu, Benoit; Maalouf, Pedro de C.; Wilmotte, Annick] Univ Liege, InBioS Ctr Prot Engn, Alle Six Aout 13,B6a, B-4000 Liege, Belgium; [Verleyen, Elie] Univ Ghent, Dept Biol, Res Grp Protistol &amp; Aquat Ecol, Campus Sterre,Krijgslaan 281-S8, B-9000 Ghent, Belgium</t>
  </si>
  <si>
    <t>University of Liege; Ghent University</t>
  </si>
  <si>
    <t>Pessi, IS (corresponding author), Univ Helsinki, Dept Microbiol, POB 56 Viikinkaari 9, Helsinki 00014, Finland.</t>
  </si>
  <si>
    <t>igor.pessi@gmail.com</t>
  </si>
  <si>
    <t>Wilmotte, Annick/H-1686-2011</t>
  </si>
  <si>
    <t>Lara, Yannick/0000-0002-4444-0767; Wilmotte, Annick/0000-0003-3546-3489; Pessi, Igor/0000-0001-5926-7496</t>
  </si>
  <si>
    <t>Belgian Federal Science Policy Office (BELSPO) [SD/BA/01A, SD/BA/03A]; Belgian National Fund for Scientific Research (FRS-FNRS) [2.4570.09, CR.CH.10-11-1.5139.11]; JARE 48; FWO-Vlaanderen</t>
  </si>
  <si>
    <t>Belgian Federal Science Policy Office (BELSPO)(Belgian Federal Science Policy Office); Belgian National Fund for Scientific Research (FRS-FNRS)(Fonds de la Recherche Scientifique - FNRS); JARE 48; FWO-Vlaanderen(FWO)</t>
  </si>
  <si>
    <t>This work was supported by the Belgian Federal Science Policy Office (BELSPO) [projects AMBIO (SD/BA/01A) and CCAMBIO (SD/BA/03A)] and the Belgian National Fund for Scientific Research (FRS-FNRS) [grants 2.4570.09 and CR.CH.10-11-1.5139.11]. IS Pessi and B Durieu are PhD FRIA fellows of the FRSFNRS. AWilmotte is a research associate of the FRS-FNRS. Sampling of the lakes in Lutzow-Holm Bay was supported by JARE 48 and the FWO-Vlaanderen.</t>
  </si>
  <si>
    <t>0168-6496</t>
  </si>
  <si>
    <t>1574-6941</t>
  </si>
  <si>
    <t>FEMS MICROBIOL ECOL</t>
  </si>
  <si>
    <t>FEMS Microbiol. Ecol.</t>
  </si>
  <si>
    <t>fiy042</t>
  </si>
  <si>
    <t>10.1093/femsec/fiy042</t>
  </si>
  <si>
    <t>GO2DX</t>
  </si>
  <si>
    <t>WOS:000439779100004</t>
  </si>
  <si>
    <t>Koshlyakov, MN; Savchenko, DS; Tarakanov, RY</t>
  </si>
  <si>
    <t>Koshlyakov, M. N.; Savchenko, D. S.; Tarakanov, R. Yu.</t>
  </si>
  <si>
    <t>Energy Exchange between Jets of the Antarctic Circumpolar Current and Synoptic Eddies in the Drake Passage and Scotia Sea</t>
  </si>
  <si>
    <t>OCEANOLOGY</t>
  </si>
  <si>
    <t>We study the energy exchange between jets of the Antarctic Circumpolar Current (ACC) and synoptic eddies generated by them in the surface layer of the ocean in the Drake Passage and Scotia Sea based on 22-year-long satellite altimetry time series from the French CLS Agency (DT Global-MADT-Upd product, ) under the assumption, based on observations, that each of the jets is confined between two fixed contour lines of the absolute dynamic topography of the ocean. We calculate and analyze the 22-year evolution of the kinetic energy of each ACC jet and cyclonic and anticyclonic eddies generated by it. We demonstrate the fundamental dependence of fluctuations in jet energy on the phase of their meander and eddy formation, as well as their back absorption by jets. We calculate the mean and extreme energetic characteristics of jets and eddies and compare the jets in terms of the intensity of the generated eddies.</t>
  </si>
  <si>
    <t>[Koshlyakov, M. N.; Savchenko, D. S.; Tarakanov, R. Yu.] Russian Acad Sci, Shirshov Inst Oceanol, Moscow 117997, Russia</t>
  </si>
  <si>
    <t>Russian Academy of Sciences; Shirshov Institute of Oceanology</t>
  </si>
  <si>
    <t>Koshlyakov, MN (corresponding author), Russian Acad Sci, Shirshov Inst Oceanol, Moscow 117997, Russia.</t>
  </si>
  <si>
    <t>mnkoshl@ocean.ru</t>
  </si>
  <si>
    <t>Tarakanov, Roman/R-3325-2016</t>
  </si>
  <si>
    <t>Tarakanov, Roman/0000-0002-8711-1859</t>
  </si>
  <si>
    <t>Russian Science Foundation [16-17-10149]; Russian Foundation for Basic Research [15-05-00550]</t>
  </si>
  <si>
    <t>Russian Science Foundation(Russian Science Foundation (RSF)); Russian Foundation for Basic Research(Russian Foundation for Basic Research (RFBR)Spanish Government)</t>
  </si>
  <si>
    <t>The development of the eddy separation algorithm for ADT altimetry maps and the eddy database was supported by the Russian Science Foundation (grant no. 16-17-10149); analysis of the variability of synoptic perturbations of oceanic currents was supported by the Russian Foundation for Basic Research (project no. 15-05-00550).</t>
  </si>
  <si>
    <t>MAIK NAUKA/INTERPERIODICA/SPRINGER</t>
  </si>
  <si>
    <t>233 SPRING ST, NEW YORK, NY 10013-1578 USA</t>
  </si>
  <si>
    <t>0001-4370</t>
  </si>
  <si>
    <t>1531-8508</t>
  </si>
  <si>
    <t>OCEANOLOGY+</t>
  </si>
  <si>
    <t>Oceanology</t>
  </si>
  <si>
    <t>10.1134/S0001437018030074</t>
  </si>
  <si>
    <t>GN6GS</t>
  </si>
  <si>
    <t>WOS:000439176200001</t>
  </si>
  <si>
    <t>Schreider, AA; Schreider, AA; Galindo-Zaldivar, J; Maldonado, A; Sazhneva, AE; Evsenko, EI</t>
  </si>
  <si>
    <t>Schreider, Al. A.; Schreider, A. A.; Galindo-Zaldivar, J.; Maldonado, A.; Sazhneva, A. E.; Evsenko, E. I.</t>
  </si>
  <si>
    <t>Age of the Floors of the Protector and Dove Basins (Scotia Sea)</t>
  </si>
  <si>
    <t>DRAKE PASSAGE; TECTONIC EVOLUTION; TRANSCURRENT FAULT; ANTARCTICA PLATE; MIDOCEANIC RIDGE; MANTLE FLOW; ARC; GEOCHRONOLOGY; ZONE; PECULIARITIES</t>
  </si>
  <si>
    <t>The tectonic evolution of the transition zone from the Pacific Ocean to the Atlantic Ocean is closely linked with the destruction of the American-Antarctic continental bridge in the Scotia Sea. The western segment of the bridge combines the Terror, Pirie, and Bruce banks, as well as the Protector and Dove basins between them. Modeling-primarily based on original geological and geophysical materials-of linear magnetic anomalies and calculation of the floor kinematics in these basins have made it possible for the first time to reveal that the collapse of the western segment of the American-Antarctic continental bridge occurred 18-25 Ma ago via a two-stage separation of the Pirie Rise from the Bruce Rise with the formation of the Dove Basin and a two stage separation of the Terror Rise from the Pirie Rise with the formation of the Protector Basin.</t>
  </si>
  <si>
    <t>[Schreider, Al. A.] LLC Sci Res Inst Gas Ind Econ &amp; Adm, Moscow 105066, Russia; [Schreider, A. A.; Sazhneva, A. E.; Evsenko, E. I.] Russian Acad Sci, Shirshov Inst Oceanol, Moscow 117997, Russia; [Galindo-Zaldivar, J.] Univ Granada, Granada 18010, Spain; [Maldonado, A.] Andalusian Earth Sci Inst, Granada 18100, Spain</t>
  </si>
  <si>
    <t>Russian Academy of Sciences; Shirshov Institute of Oceanology; University of Granada</t>
  </si>
  <si>
    <t>Schreider, AA (corresponding author), LLC Sci Res Inst Gas Ind Econ &amp; Adm, Moscow 105066, Russia.</t>
  </si>
  <si>
    <t>aschr@ocean.ru</t>
  </si>
  <si>
    <t>Sazhneva, Alexandra/HPG-9897-2023; Galindo-Zaldivar, Jesus/K-3640-2012</t>
  </si>
  <si>
    <t>Galindo-Zaldivar, Jesus/0000-0002-3493-2637</t>
  </si>
  <si>
    <t>Russian Foundation for Basic Research [0149-2014-0030, 17-05-00075, 14-05-00015, 18-05-00049]</t>
  </si>
  <si>
    <t>Russian Foundation for Basic Research(Russian Foundation for Basic Research (RFBR)Spanish Government)</t>
  </si>
  <si>
    <t>The part of the work related to refining the method for interpreting the anomalous magnetic field at high magnetic latitudes was carried out under state order no. 0149-2014-0030, and the main part of the study related to comprehensive interpretation of geological and geophysical data on the Terror, Pixie, and Bruce banks and in the Dove and Protector Basins was supported by the Russian Foundation for Basic Research (project nos. 17-05-00075, 14-05-00015, and 18-05-00049).</t>
  </si>
  <si>
    <t>10.1134/S0001437018030177</t>
  </si>
  <si>
    <t>WOS:000439176200012</t>
  </si>
  <si>
    <t>Freeman, NM; Lovenduski, NS; Munro, DR; Krumhardt, KM; Lindsay, K; Long, MC; Maclennan, M</t>
  </si>
  <si>
    <t>Freeman, Natalie M.; Lovenduski, Nicole S.; Munro, David R.; Krumhardt, Kristen M.; Lindsay, Keith; Long, Matthew C.; Maclennan, Michelle</t>
  </si>
  <si>
    <t>The Variable and Changing Southern Ocean Silicate Front: Insights From the CESM Large Ensemble</t>
  </si>
  <si>
    <t>GLOBAL BIOGEOCHEMICAL CYCLES</t>
  </si>
  <si>
    <t>Southern Ocean; Silicate Front; Antarctic Polar Front; Antarctic Circumpolar Current; climate variability</t>
  </si>
  <si>
    <t>ANTARCTIC CIRCUMPOLAR CURRENT; SEA-SURFACE TEMPERATURE; EARTH SYSTEM MODEL; POLAR FRONT; DISSOLVED IRON; NATURAL VARIABILITY; BIOGENIC SILICA; PACIFIC SECTOR; CLIMATE-CHANGE; INDIAN SECTOR</t>
  </si>
  <si>
    <t>The location of the Southern Ocean Silicate Front (SF) is a key indicator of physical circulation, biological productivity, and biogeography, but its variability in space and time is currently not well understood due to a lack of time-varying nutrient observations. This study provides a first estimate of the spatiotemporal variability of the SF, defined using the silicate-to-nitrate (Si:N) ratio as simulated by the Community Earth System Model (CESM) Large Ensemble (1920-2100), and its response to a changing Southern Ocean. The latitude where Si:N=1 largely coincides with regions of high gradients in silicate and the observed position of the Antarctic Polar Front (PF) and serves as an indicator of waters with adequate nutrients available for diatom growth. On seasonal to interdecadal time scales, variability in the location of the SF is largely determined by biological nutrient utilization and Southern Ocean bathymetry, respectively. From 1920 to 2100, under historical and RCP8.5 forcing, the zonally averaged SF shifts poleward by approximate to 3 degrees latitude, with no discernible shift in the position of the simulated location of the PF or the core of the Antarctic Circumpolar Current. A more poleward SF is primarily driven by long-term reductions in silicate and nitrate concentrations at the surface as a consequence of greater iron availability and a warmer, more stratified Southern Ocean. These results suggest a decoupling of the SF and PF by the end of the century, with implications for local biogeography, global thermocline nutrient cycling, and the interpretation of paleoclimate records from deep sea sediments.</t>
  </si>
  <si>
    <t>[Freeman, Natalie M.; Lovenduski, Nicole S.; Munro, David R.; Maclennan, Michelle] Univ Colorado, Dept Atmospher &amp; Ocean Sci, Boulder, CO 80309 USA; [Freeman, Natalie M.; Lovenduski, Nicole S.; Munro, David R.; Krumhardt, Kristen M.; Maclennan, Michelle] Univ Colorado, Inst Arctic &amp; Alpine Res, Boulder, CO 80309 USA; [Freeman, Natalie M.] Univ Calif San Diego, Scripps Inst Oceanog, La Jolla, CA 92093 USA; [Krumhardt, Kristen M.] Univ Colorado, Environm Studies Program, Boulder, CO 80309 USA; [Lindsay, Keith; Long, Matthew C.] Natl Ctr Atmospher Res, Climate &amp; Global Dynam Lab, POB 3000, Boulder, CO 80307 USA</t>
  </si>
  <si>
    <t>University of Colorado System; University of Colorado Boulder; University of Colorado System; University of Colorado Boulder; University of California System; University of California San Diego; Scripps Institution of Oceanography; University of Colorado System; University of Colorado Boulder; National Center Atmospheric Research (NCAR) - USA</t>
  </si>
  <si>
    <t>Freeman, NM (corresponding author), Univ Colorado, Dept Atmospher &amp; Ocean Sci, Boulder, CO 80309 USA.;Freeman, NM (corresponding author), Univ Colorado, Inst Arctic &amp; Alpine Res, Boulder, CO 80309 USA.;Freeman, NM (corresponding author), Univ Calif San Diego, Scripps Inst Oceanog, La Jolla, CA 92093 USA.</t>
  </si>
  <si>
    <t>n2freeman@ucsd.edu</t>
  </si>
  <si>
    <t>Munro, David/ABA-2074-2020; Long, Matthew C/H-4632-2016; Lovenduski, Nicole/V-4014-2019; Freeman, Natalie/F-8672-2015</t>
  </si>
  <si>
    <t>Lovenduski, Nicole/0000-0001-5893-1009; Long, Matthew/0000-0003-1273-2957; MUNRO, DAVID/0000-0002-1373-7402; Krumhardt, Kristen/0000-0002-8980-056X; Lindsay, Keith/0000-0002-3672-1665; Maclennan, Michelle L./0000-0002-7591-2704; Freeman, Natalie/0000-0002-4718-5650</t>
  </si>
  <si>
    <t>NSF; NSF [PLR-1543457, OCE-1558225, OCE-1258995, OCE-1155240]; NOAA [NA12OAR4310058]; Directorate For Geosciences; Division Of Ocean Sciences [1258995] Funding Source: National Science Foundation; Office of Polar Programs (OPP); Directorate For Geosciences [1543457] Funding Source: National Science Foundation</t>
  </si>
  <si>
    <t>NSF(National Science Foundation (NSF)); NSF(National Science Foundation (NSF)); NOAA(National Oceanic Atmospheric Admin (NOAA) - USA); Directorate For Geosciences; Division Of Ocean Sciences(National Science Foundation (NSF)NSF - Directorate for Geosciences (GEO)); Office of Polar Programs (OPP); Directorate For Geosciences(National Science Foundation (NSF)NSF - Directorate for Geosciences (GEO))</t>
  </si>
  <si>
    <t>This work has benefited from discussions with Peter R. Gent and Thomas M. Marchitto. We thank the ARSV LaurenceM. Gould marine and science support teams for their collection of discrete samples (found at www.ldeo.columbia.edu/res/pi/CO2/carbondioxide/pages/global_ph.html); nutrient analyses were performed at Chesapeake Biological Laboratory and the Oceanographic Data Facility at Scripps Institution of Oceanography, University of California San Diego. WOA13 climatological nutrients are available at http://nodc.noaa.gov/OC5/woa13/. CMIP5 output is provided by the World Data Center for Climate (http://cera-www.dkrz.de). CESM-LE output is available from the Earth System Grid at www.earthsystemgrid.org/dataset/ucar.cgd.ccsm4.CESM_CAM5_BGC_LE.html. CESM computing resources were provided by CISL at NCAR; NCAR is sponsored by NSF. We are grateful for funding from NSF (PLR-1543457, OCE-1558225, OCE-1258995, and OCE-1155240) and NOAA (NA12OAR4310058).</t>
  </si>
  <si>
    <t>0886-6236</t>
  </si>
  <si>
    <t>1944-9224</t>
  </si>
  <si>
    <t>GLOBAL BIOGEOCHEM CY</t>
  </si>
  <si>
    <t>Glob. Biogeochem. Cycle</t>
  </si>
  <si>
    <t>10.1029/2017GB005816</t>
  </si>
  <si>
    <t>Environmental Sciences; Geosciences, Multidisciplinary; Meteorology &amp; Atmospheric Sciences</t>
  </si>
  <si>
    <t>Environmental Sciences &amp; Ecology; Geology; Meteorology &amp; Atmospheric Sciences</t>
  </si>
  <si>
    <t>GI5MB</t>
  </si>
  <si>
    <t>WOS:000434413500002</t>
  </si>
  <si>
    <t>Girish, TN; Pradeep, BE; Parkash, R</t>
  </si>
  <si>
    <t>Girish, T. N.; Pradeep, B. E.; Parkash, Ravi</t>
  </si>
  <si>
    <t>Heat- and humidity-induced plastic changes in body lipids and starvation resistance in the tropical fly Zaprionus indianus during wet and dry seasons</t>
  </si>
  <si>
    <t>JOURNAL OF EXPERIMENTAL BIOLOGY</t>
  </si>
  <si>
    <t>Tropical drosophilid; Developmental acclimation; Adult acclimation; Heat acclimation; Humidity acclimation</t>
  </si>
  <si>
    <t>STRESS RESISTANCE; DROSOPHILA-MELANOGASTER; DESICCATION RESISTANCE; DEVELOPMENTAL ACCLIMATION; PHENOTYPIC PLASTICITY; HARDENING CAPACITY; COLD RESISTANCE; ANTARCTIC MIDGE; WATER-LOSS; TRADE-OFF</t>
  </si>
  <si>
    <t>Insects in tropical wet or dry seasons are likely to cope with starvation stress through plastic changes (developmental as well as adult acclimation) in energy metabolites. Control and experimental groups of Zaprionus indianus flies were reared under wet or dry conditions, but adults were acclimated at different thermal or humidity conditions. Adult flies of the control group were acclimated at 27 degrees C and low (50%) or high (60%) relative humidity (RH). For experimental groups, adult flies were acclimated at 32 degrees C for 1 to 6 days and under low (40%) or high (70%) RH. For humidity acclimation, adult flies were acclimated at 27 degrees C but under low (40%) or high (70%) RH for 1 to 6 days. Plastic changes in experimental groups as compared with the control group (developmental as well as adult acclimation) revealed significant accumulation of body lipids owing to thermal or humidity acclimation of wet season flies, but low humidity acclimation did not change the level of body lipids in dry season flies. Starvation resistance and body lipids were higher in the males of dry season flies but in the females of wet season flies. Adults acclimated under different thermal or humidity conditions exhibited changes in the rate of utilization of body lipids, carbohydrates and proteins. Adult acclimation of wet or dry season flies revealed plastic changes in mean daily fecundity; and a reduction in fecundity under starvation. Thus, thermal or humidity acclimation of adults revealed plastic changes in energy metabolites to support starvation resistance of wet or dry season flies.</t>
  </si>
  <si>
    <t>[Girish, T. N.; Pradeep, B. E.] Sri Sathya Sai Inst Higher Learning, Dept Biosci, Prasanthinilayam 515134, India; [Parkash, Ravi] Maharshi Dayanand Univ, Dept Genet, Rohtak 124001, Haryana, India</t>
  </si>
  <si>
    <t>Sri Sathya Sai Institute of Higher Learning; Maharshi Dayanand University</t>
  </si>
  <si>
    <t>Parkash, R (corresponding author), Maharshi Dayanand Univ, Dept Genet, Rohtak 124001, Haryana, India.</t>
  </si>
  <si>
    <t>rpgenetics@gmail.com</t>
  </si>
  <si>
    <t>BULAGONDA, ESWARAPPA PRADEEP/0000-0001-8022-8168; Girish, Thirnahalli Nagaraj/0000-0002-5048-5283; Parkash, Ravi/0000-0001-9880-3941</t>
  </si>
  <si>
    <t>COMPANY BIOLOGISTS LTD</t>
  </si>
  <si>
    <t>CAMBRIDGE</t>
  </si>
  <si>
    <t>BIDDER BUILDING, STATION RD, HISTON, CAMBRIDGE CB24 9LF, ENGLAND</t>
  </si>
  <si>
    <t>0022-0949</t>
  </si>
  <si>
    <t>1477-9145</t>
  </si>
  <si>
    <t>J EXP BIOL</t>
  </si>
  <si>
    <t>J. Exp. Biol.</t>
  </si>
  <si>
    <t>jeb174482</t>
  </si>
  <si>
    <t>10.1242/jeb.174482</t>
  </si>
  <si>
    <t>Biology</t>
  </si>
  <si>
    <t>Life Sciences &amp; Biomedicine - Other Topics</t>
  </si>
  <si>
    <t>GN3NF</t>
  </si>
  <si>
    <t>WOS:000438911800013</t>
  </si>
  <si>
    <t>Furue, R; Guerreiro, K; Phillips, HE; McCreary, JP; Bindoff, NL</t>
  </si>
  <si>
    <t>Furue, Ryo; Guerreiro, Kevin; Phillips, Helen E.; McCreary, Julian P., Jr.; Bindoff, Nathaniel L.</t>
  </si>
  <si>
    <t>On the Leeuwin Current System and its linkage to zonal flows in the south Indian Ocean as inferred from a gridded hydrography (vol 47, pg 583, 2017)</t>
  </si>
  <si>
    <t>JOURNAL OF PHYSICAL OCEANOGRAPHY</t>
  </si>
  <si>
    <t>[Furue, Ryo] JAMSTEC, APL, Yokohama, Kanagawa, Japan; [Guerreiro, Kevin] Univ Toulouse, UPS, CNRS, LEGOS,CNES,IRD, Toulouse, France; [Phillips, Helen E.; Bindoff, Nathaniel L.] Univ Tasmania, Inst Marine &amp; Antarctic Studies, Hobart, Tas, Australia; [Phillips, Helen E.; Bindoff, Nathaniel L.] Univ Tasmania, Australian Res Council Ctr Excellence Climate Sys, Hobart, Tas, Australia; [McCreary, Julian P., Jr.] Univ Hawaii Manoa, Int Pacific Res Ctr, Honolulu, HI 96822 USA; [Bindoff, Nathaniel L.] Univ Tasmania, Antarctic Climate &amp; Ecosyst Cooperat Res Ctr, Hobart, Tas, Australia; [Bindoff, Nathaniel L.] CSIRO, Hobart, Tas, Australia</t>
  </si>
  <si>
    <t>Japan Agency for Marine-Earth Science &amp; Technology (JAMSTEC); Universite de Toulouse; Universite Toulouse III - Paul Sabatier; Centre National de la Recherche Scientifique (CNRS); Institut de Recherche pour le Developpement (IRD); Laboratoire d'Etudes en Geophysique et oceanographie spatiales; University of Tasmania; University of Tasmania; University of Hawaii System; University of Hawaii Manoa; Antarctic Climate &amp; Ecosystems Cooperative Research Centre (ACE CRC); University of Tasmania; Commonwealth Scientific &amp; Industrial Research Organisation (CSIRO)</t>
  </si>
  <si>
    <t>Furue, R (corresponding author), JAMSTEC, APL, Yokohama, Kanagawa, Japan.</t>
  </si>
  <si>
    <t>furue@hawaii.edu</t>
  </si>
  <si>
    <t>Bindoff, Nathaniel Lee/C-8050-2011; Phillips, Helen/I-3761-2013; Bindoff, Nathaniel Lee/IVV-0333-2023</t>
  </si>
  <si>
    <t>Bindoff, Nathaniel Lee/0000-0001-5662-9519; Phillips, Helen/0000-0002-2941-7577; Bindoff, Nathaniel Lee/0000-0001-5662-9519</t>
  </si>
  <si>
    <t>0022-3670</t>
  </si>
  <si>
    <t>1520-0485</t>
  </si>
  <si>
    <t>J PHYS OCEANOGR</t>
  </si>
  <si>
    <t>J. Phys. Oceanogr.</t>
  </si>
  <si>
    <t>10.1175/JPO-D-17-0276.1</t>
  </si>
  <si>
    <t>GL5NO</t>
  </si>
  <si>
    <t>WOS:000437214700013</t>
  </si>
  <si>
    <t>Wan, S; Jian, ZM; Dang, HW</t>
  </si>
  <si>
    <t>Wan, Sui; Jian, Zhimin; Dang, Haowen</t>
  </si>
  <si>
    <t>Deep Hydrography of the South China Sea and Deep Water Circulation in the Pacific Since the Last Glacial Maximum</t>
  </si>
  <si>
    <t>GEOCHEMISTRY GEOPHYSICS GEOSYSTEMS</t>
  </si>
  <si>
    <t>deep hydrographic structure; oxygen and carbon isotopes; deep circulation; Last Glacial Maximum; South China Sea</t>
  </si>
  <si>
    <t>MERIDIONAL OVERTURNING CIRCULATION; ANTARCTIC INTERMEDIATE WATER; NORTH PACIFIC; OCEAN CIRCULATION; BOTTOM WATER; BENTHIC FORAMINIFERA; CARBONATE CHEMISTRY; MONSOON CLIMATE; ATMOSPHERIC CO2; ATLANTIC-OCEAN</t>
  </si>
  <si>
    <t>The oxygen (O-18) and carbon (C-13) isotopic compositions of benthic foraminifer Cibicidoides wuellerstorfi as reliable proxies of deep water properties were compiled from 50 core-top and down-core sites in the South China Sea (SCS) for two time slices of the late Holocene and Last Glacial Maximum (LGM) to reconstruct the glacial deep hydrographic structure. The bathymetric profiles of both O-18 and C-13 in the SCS show similar trends between the LGM and the late Holocene, but the O-18 gradients between intermediate (approximate to 500-1,000 m) and deep (&gt;1,500 m) waters obviously increased during the LGM, indicating an intensified bathyal stratification and weakened vertical mixing between intermediate and deep waters in the SCS during the glacial period. A spatial comparison of bathymetric O-18 and C-13 profiles was also made for the Southern Ocean (Indo-Pacific sector) and southwest Pacific, western equatorial Pacific (i.e., Ontong Java Plateau), off-Japan margin as well as the SCS. The meridional C-13 profiles indicate a decreasing trend of C-13 (aging effect) in the deep layer (approximate to 1,200-2,600 m) from south to north, reflecting a northward flow pathway of deep waters from the southwest Pacific (upstream) to the low-latitude northwest Pacific and the SCS (downstream) during the LGM. The gradients of deep water O-18 (approximate to 1,200-2,600 m) between these upstream and downstream regions were higher during the LGM relative to the Holocene, implying that a greater contribution of the northern-sourced North Pacific Intermediate Water (NPIW) with a relatively low O-18 signature to the deep waters in the low-latitude Pacific during the LGM.</t>
  </si>
  <si>
    <t>[Wan, Sui] Chinese Acad Sci, South China Sea Inst Oceanol, CAS Key Lab Ocean &amp; Marginal Sea Geol, Guangzhou, Guangdong, Peoples R China; [Wan, Sui; Jian, Zhimin; Dang, Haowen] Tongji Univ, State Key Lab Marine Geol, Shanghai, Peoples R China</t>
  </si>
  <si>
    <t>Chinese Academy of Sciences; South China Sea Institute of Oceanology, CAS; Tongji University</t>
  </si>
  <si>
    <t>Jian, ZM (corresponding author), Tongji Univ, State Key Lab Marine Geol, Shanghai, Peoples R China.</t>
  </si>
  <si>
    <t>jian@tongji.edu.cn</t>
  </si>
  <si>
    <t>Dang, Haowen/0000-0002-1320-4761</t>
  </si>
  <si>
    <t>National Natural Science Foundation of China [91428310, 41606058, 41630965, 41376045]; State Oceanic Administration of China [GASI-GEOGE-04]; China Postdoctoral Science Foundation [2016M590822]; Laboratoire International Associe: Monsoon, Ocean and Climate'' (LIA-MONOCL)</t>
  </si>
  <si>
    <t>National Natural Science Foundation of China(National Natural Science Foundation of China (NSFC)); State Oceanic Administration of China; China Postdoctoral Science Foundation(China Postdoctoral Science Foundation); Laboratoire International Associe: Monsoon, Ocean and Climate'' (LIA-MONOCL)</t>
  </si>
  <si>
    <t>The authors thank the captain &amp; crew, and scientists onboard the various cruises listed in Table 1. We also thank Jiawang Wu for fruitful discussion and associated suggestions. Two anonymous reviewers are acknowledged for the constructive comments. The complete dataset of this study are available on pangaea.de or upon request from jian@tongji.edu.cn. This study was supported by the National Natural Science Foundation of China (grants 91428310, 41606058, 41630965, and 41376045), the State Oceanic Administration of China (GASI-GEOGE-04), China Postdoctoral Science Foundation (grant 2016M590822), and the Laboratoire International Associe: Monsoon, Ocean and Climate'' (LIA-MONOCL).</t>
  </si>
  <si>
    <t>1525-2027</t>
  </si>
  <si>
    <t>GEOCHEM GEOPHY GEOSY</t>
  </si>
  <si>
    <t>Geochem. Geophys. Geosyst.</t>
  </si>
  <si>
    <t>10.1029/2017GC007377</t>
  </si>
  <si>
    <t>GK9EA</t>
  </si>
  <si>
    <t>Green Published, Green Submitted, Bronze</t>
  </si>
  <si>
    <t>WOS:000436542200003</t>
  </si>
  <si>
    <t>Panovska, S; Constable, CG; Brown, MC</t>
  </si>
  <si>
    <t>Panovska, S.; Constable, C. G.; Brown, M. C.</t>
  </si>
  <si>
    <t>Global and Regional Assessments of Paleosecular Variation Activity Over the Past 100 ka</t>
  </si>
  <si>
    <t>paleomagnetic secular variation; geomagnetic excursion; Laschamp excursion; paleomagnetic sediment data; archeomagnetic data; late quaternary</t>
  </si>
  <si>
    <t>GEOMAGNETIC SECULAR VARIATION; MONO LAKE EXCURSION; WESTERN EQUATORIAL PACIFIC; LATE QUATERNARY SEDIMENTS; OCEAN DRILLING PROGRAM; HIGH-RESOLUTION RECORD; MAGNETIZATION LOCK-IN; ANTARCTIC SOUTH ATLANTIC; RELATIVE PALEOINTENSITY; PALEOMAGNETIC RECORD</t>
  </si>
  <si>
    <t>We present a global compilation of paleomagnetic data spanning the past 100 ka. Sediment data comprise 61,687 declinations, 70,936 inclinations, and 69,596 relative paleointensities. Many sites are located in the northern Atlantic and western Pacific, with approximately twice as many data from the Northern Hemisphere as from the Southern Hemisphere. The 14,954 volcanic and archeomagnetic data are sparse, especially in the Southern Hemisphere. Directional and intensity information are aggregated under the paleosecular variation (PSV) index to assess occurrence of excursions over the past 100 ka. The Laschamp excursion (approximate to 41 ka) is clearly defined across globally distributed sediment records with an average duration of 1,300 years. Regional stacks obtained using bootstrap resampling show a more pronounced Laschamp excursion in the Northern Hemisphere than in the Southern, and in the Atlantic Hemisphere compared with the Pacific. No anomalous indices occurred around the Mono Lake excursion or other periods in the bootstrap curves. This may result from low sedimentation rates, discrepancies in age scales, large age errors, and/or the lack of global character of any transitional events. These data and associated new uncertainty estimates for the sediment records provide a good foundation for global, time-dependent, spherical harmonic field modeling for the past 100 ka.</t>
  </si>
  <si>
    <t>[Panovska, S.; Constable, C. G.] Univ Calif San Diego, Scripps Inst Oceanog, Inst Geophys &amp; Planetary Phys, La Jolla, CA 92093 USA; [Panovska, S.; Brown, M. C.] GFZ German Res Ctr Geosci, Potsdam, Germany; [Brown, M. C.] Univ Iceland, Inst Earth Sci, Reykjavik, Iceland</t>
  </si>
  <si>
    <t>University of California System; University of California San Diego; Scripps Institution of Oceanography; Helmholtz Association; Helmholtz-Center Potsdam GFZ German Research Center for Geosciences; University of Iceland</t>
  </si>
  <si>
    <t>Panovska, S (corresponding author), Univ Calif San Diego, Scripps Inst Oceanog, Inst Geophys &amp; Planetary Phys, La Jolla, CA 92093 USA.;Panovska, S (corresponding author), GFZ German Res Ctr Geosci, Potsdam, Germany.</t>
  </si>
  <si>
    <t>panovska@gfz-potsdam.de</t>
  </si>
  <si>
    <t>Panovska, Sanja/JVO-5879-2024; Constable, Catherine/F-7784-2010</t>
  </si>
  <si>
    <t>Panovska, Sanja/0000-0003-4340-5668; Brown, Maxwell/0000-0003-0753-397X; Constable, Catherine/0000-0003-4534-4977</t>
  </si>
  <si>
    <t>NSF [EAR 1246826, EAR 1623786]; Swiss National Science Foundation [PBEZP2-142912]; Deutsche Forschungsgemeinschaft (DFG) (German Research Foundation in English) SPP PlanetMag [1488, BR4697/1]; Swiss National Science Foundation (SNF) [PBEZP2_142912] Funding Source: Swiss National Science Foundation (SNF)</t>
  </si>
  <si>
    <t>NSF(National Science Foundation (NSF)); Swiss National Science Foundation(Swiss National Science Foundation (SNSF)); Deutsche Forschungsgemeinschaft (DFG) (German Research Foundation in English) SPP PlanetMag(German Research Foundation (DFG)); Swiss National Science Foundation (SNF)(Swiss National Science Foundation (SNSF))</t>
  </si>
  <si>
    <t>This work has been supported under NSF grants EAR 1246826 and EAR 1623786. S. Panovska gratefully acknowledges support from the Swiss National Science Foundation grant PBEZP2-142912. M.C. Brown is funded by Deutsche Forschungsgemeinschaft (DFG) (German Research Foundation in English) SPP PlanetMag 1488 project BR4697/1. We thank the Helmholtz Zentrum Potsdam-Deutsches GFZ for their hospitality during our collaboration on this work. The authors wish to thank Patrick Arneitz and one anonymous reviewer for the constructive comments and suggestions. We would like to express our sincere thanks to all authors who shared their data with us personally, or made them available through supporting information materials and collaborative databases. Their publications are referenced in the main article as well as in the supporting information, where they are related to specific paleomagnetic records.</t>
  </si>
  <si>
    <t>10.1029/2017GC007271</t>
  </si>
  <si>
    <t>Bronze, Green Published</t>
  </si>
  <si>
    <t>WOS:000436542200009</t>
  </si>
  <si>
    <t>Russell, JL; Kamenkovich, I; Bitz, C; Ferrari, R; Gille, ST; Goodman, PJ; Hallberg, R; Johnson, K; Khazmutdinova, K; Marinov, I; Mazloff, M; Riser, S; Sarmiento, JL; Speer, K; Talley, LD; Wanninkhof, R</t>
  </si>
  <si>
    <t>Russell, Joellen L.; Kamenkovich, Igor; Bitz, Cecilia; Ferrari, Raffaele; Gille, Sarah T.; Goodman, Paul J.; Hallberg, Robert; Johnson, Kenneth; Khazmutdinova, Karina; Marinov, Irina; Mazloff, Matthew; Riser, Stephen; Sarmiento, Jorge L.; Speer, Kevin; Talley, Lynne D.; Wanninkhof, Rik</t>
  </si>
  <si>
    <t>Metrics for the Evaluation of the Southern Ocean in Coupled Climate Models and Earth System Models</t>
  </si>
  <si>
    <t>Southern Ocean; heat uptake; carbon uptake; observationally based metrics</t>
  </si>
  <si>
    <t>ANTARCTIC CIRCUMPOLAR CURRENT; MERIDIONAL OVERTURNING CIRCULATION; SEA-ICE; GLOBAL OCEAN; CMIP5 MODELS; POLAR FRONT; HEAT UPTAKE; HISTORICAL BIAS; ANTHROPOGENIC CARBON; DEEP CONVECTION</t>
  </si>
  <si>
    <t>The Southern Ocean is central to the global climate and the global carbon cycle, and to the climate's response to increasing levels of atmospheric greenhouse gases, as it ventilates a large fraction of the global ocean volume. Global coupled climate models and earth system models, however, vary widely in their simulations of the Southern Ocean and its role in, and response to, the ongoing anthropogenic trend. Due to the region's complex water-mass structure and dynamics, Southern Ocean carbon and heat uptake depend on a combination of winds, eddies, mixing, buoyancy fluxes, and topography. Observationally based metrics are critical for discerning processes and mechanisms, and for validating and comparing climate and earth system models. New observations and understanding have allowed for progress in the creation of observationally based data/model metrics for the Southern Ocean. Metrics presented here provide a means to assess multiple simulations relative to the best available observations and observational products. Climate models that perform better according to these metrics also better simulate the uptake of heat and carbon by the Southern Ocean. This report is not strictly an intercomparison, but rather a distillation of key metrics that can reliably quantify the accuracy of a simulation against observed, or at least observable, quantities. One overall goal is to recommend standardization of observationally based benchmarks that the modeling community should aspire to meet in order to reduce uncertainties in climate projections, and especially uncertainties related to oceanic heat and carbon uptake. Plain Language Summary Observationally based metrics are essential for the standardized evaluation of climate and earth system models, and for reducing the uncertainty associated with future projections by those models.</t>
  </si>
  <si>
    <t>[Russell, Joellen L.; Goodman, Paul J.] Univ Arizona, Dept Geosci, Tucson, AZ 85721 USA; [Kamenkovich, Igor] Univ Miami, Rosenstiel Sch Marine &amp; Atmospher Sci, Miami, FL USA; [Bitz, Cecilia] Univ Washington, Dept Atmospher Sci, Seattle, WA 98195 USA; [Ferrari, Raffaele] MIT, Dept Earth Atmospher &amp; Planetary Sci, Cambridge, MA 02139 USA; [Gille, Sarah T.; Mazloff, Matthew; Talley, Lynne D.] Univ Calif San Diego, Scripps Inst Oceanog, La Jolla, CA 92093 USA; [Hallberg, Robert] Natl Ocean &amp; Atmospher Adm, Geophys Fluid Dynam Lab, Princeton, NJ USA; [Johnson, Kenneth] Monterey Bay Aquarium Res Inst, Moss Landing, CA USA; [Khazmutdinova, Karina; Speer, Kevin] Florida State Univ, Geophys Fluid Dynam Inst, Tallahassee, FL 32306 USA; [Marinov, Irina] Univ Penn, Dept Earth &amp; Environm Sci, Philadelphia, PA 19104 USA; [Riser, Stephen] Univ Washington, Sch Oceanog, Seattle, WA 98195 USA; [Sarmiento, Jorge L.] Princeton Univ, Program Atmospher &amp; Ocean Sci, Princeton, NJ 08544 USA; [Wanninkhof, Rik] Natl Ocean &amp; Atmospher Adm, Atlantic Oceanog &amp; Meteorol Lab, Miami, FL USA</t>
  </si>
  <si>
    <t>University of Arizona; University of Miami; University of Washington; University of Washington Seattle; Massachusetts Institute of Technology (MIT); University of California System; University of California San Diego; Scripps Institution of Oceanography; National Oceanic Atmospheric Admin (NOAA) - USA; Monterey Bay Aquarium Research Institute; State University System of Florida; Florida State University; University of Pennsylvania; University of Washington; University of Washington Seattle; Princeton University; National Oceanic Atmospheric Admin (NOAA) - USA; National Oceanic Atmospheric Admin (NOAA) - USA; Atlantic Oceanographic &amp; Meteorological Laboratory (AOML)</t>
  </si>
  <si>
    <t>Russell, JL (corresponding author), Univ Arizona, Dept Geosci, Tucson, AZ 85721 USA.</t>
  </si>
  <si>
    <t>jrussell@email.arizona.edu</t>
  </si>
  <si>
    <t>Bitz, Cecilia M/S-8423-2016; Mazloff, Matthew/AAG-6463-2019; Kamenkovich, Igor/AAG-3451-2019; Gille, Sarah T./B-3171-2012; Johnson, Kenneth/F-9742-2011</t>
  </si>
  <si>
    <t>Mazloff, Matthew/0000-0002-1650-5850; Johnson, Kenneth/0000-0001-5513-5584; Ferrari, Raffaele/0000-0003-1895-4294; Bitz, Cecilia/0000-0002-9477-7499; Goodman, Paul/0000-0002-1824-5845; Gille, Sarah/0000-0001-9144-4368; Talley, Lynne/0000-0003-1574-729X; Russell, Joellen/0000-0001-9937-6056; Kamenkovich, Igor/0000-0001-6228-5599</t>
  </si>
  <si>
    <t>US CLIVAR; OCB; NSF's Southern Ocean Carbon and Climate Observations and Modeling (SOCCOM) Project under the NSF Award [PLR-1425989]; NOAA; NASA; NSF Award [PLR-1246247]; Directorate For Geosciences; Division Of Ocean Sciences [1536515] Funding Source: National Science Foundation; Office of Polar Programs (OPP); Directorate For Geosciences [1425989] Funding Source: National Science Foundation</t>
  </si>
  <si>
    <t>US CLIVAR; OCB; NSF's Southern Ocean Carbon and Climate Observations and Modeling (SOCCOM) Project under the NSF Award; NOAA(National Oceanic Atmospheric Admin (NOAA) - USA); NASA(National Aeronautics &amp; Space Administration (NASA)); NSF Award(National Science Foundation (NSF)); Directorate For Geosciences; Division Of Ocean Sciences(National Science Foundation (NSF)NSF - Directorate for Geosciences (GEO)); Office of Polar Programs (OPP); Directorate For Geosciences(National Science Foundation (NSF)NSF - Directorate for Geosciences (GEO))</t>
  </si>
  <si>
    <t>The authors would like to thank US CLIVAR and OCB for their support of the Southern Ocean Working Group (SOWG). We had specifically like to thank Mike Patterson, Heather Benway, and Kristan Uhlenbrock for their contributions, guidance, and support, as well as participants of the 2014 Workshop Ocean's Carbon and Heat Uptake: Uncertainties and Metrics (Russell et al., 2015). We want to thank the members of the SOCCOM team for their participation and support. We also would like to thank J. Robbie Toggweiler and an anonymous reviewer for their critical and supportive evaluation of this study-it is significantly better due to their input. All simulation data are available through the Earth System Grid Federation (ESGF, formerly PCMDI, https://esgf-node.llnl.gov/projects/esgf-llnl/),the state estimate data are at Scripps Institution of Oceanography (http://sose.ucsd.edu/),and the observations on which the metrics are based can be found at: World Ocean Atlas 2013 (https://www.nodc.noaa.gov/OC5/woa13/),CFSR (https://rda.ucar.edu/pub/cfsr.html), NCEP/NCEP2 (https://www.esrl.noaa.gov/psd/data/gridded/reanalysis/), and GLODAPv2 (http://cdiac.ornl.gov/oceans/GLODAPv2/). The authors wish to acknowledge use of the Ferret program for analysis and graphics in this paper: Ferret is a product of NOAA's Pacific Marine Environmental Laboratory (http://ferret.pmel.noaa.gov/Ferret/). This work was sponsored, in part, by NSF's Southern Ocean Carbon and Climate Observations and Modeling (SOCCOM) Project under the NSF Award PLR-1425989, with additional support from NOAA and NASA. Logistical support for SOCCOM in the Antarctic was provided by the U.S. National Science Foundation through the U.S. Antarctic Program. Funding for this work was also provided under NSF Award PLR-1246247, The Southern Ocean in a Warming World: Winds, Carbon and Heat.''The authors are not aware of any conflicts of interest.</t>
  </si>
  <si>
    <t>10.1002/2017JC013461</t>
  </si>
  <si>
    <t>hybrid, Green Submitted, Green Published</t>
  </si>
  <si>
    <t>WOS:000436111400001</t>
  </si>
  <si>
    <t>Daae, K; Darelius, E; Fer, I; Osterhus, S; Ryan, S</t>
  </si>
  <si>
    <t>Daae, K.; Darelius, E.; Fer, I.; Osterhus, S.; Ryan, S.</t>
  </si>
  <si>
    <t>Wind Stress Mediated Variability of the Filchner Trough Overflow, Weddell Sea</t>
  </si>
  <si>
    <t>slope current; water exchange; recirculation</t>
  </si>
  <si>
    <t>HEMISPHERE CLIMATE-CHANGE; ANTARCTIC SLOPE FRONT; SOUTHERN-HEMISPHERE; CONTINENTAL-SHELF; ICE-SHELF; SEMIANNUAL OSCILLATION; COASTAL CURRENT; WATER MASSES; BOTTOM WATER; CROSS-SHELF</t>
  </si>
  <si>
    <t>The Filchner Trough (FT) is a key site for exchange of water masses between the Weddell Sea continental shelf and the deep ocean. Cold and dense Ice Shelf Water (ISW), a precursor for Antarctic Bottom Water, flows north along the FT and overflows the Filchner Sill. Although access of warm water to the Weddell Sea continental shelf is limited due to the presence of the Antarctic Slope Front, southward transport of warm water is facilitated through the FT. We use moored current meters from the Filchner Sill region to show that the monthly scale variability of the ISW overflow is connected to the variability of the alongslope wind stress upstream. Periods with significant correlation between the wind and ISW overflow are characterized by (I) wind directed along the continental slope, (II) high ISW overflow speed, and (III) high variability in the 16-64 day period band for wind and current. We propose that a recirculation of the slope current, associated with the Antarctic Slope Front, may occur in the FT during periods of strong wind forcing, and that such recirculation could explain the correlation between the wind stress and the ISW overflow. We further show that an increased wind stress along the continental slope leads to increased current speed within the slope current and the Antarctic Coastal Current, with possible implications for the on-shore heat transport.</t>
  </si>
  <si>
    <t>[Daae, K.; Darelius, E.; Fer, I.] Univ Bergen, Geophys Inst, Bergen, Norway; [Daae, K.; Darelius, E.; Fer, I.] Bjerknes Ctr Climate Res, Bergen, Norway; [Osterhus, S.] Bjerknes Ctr Climate Res, Uni Res Climate, Bergen, Norway; [Ryan, S.] Helmholtz Ctr Polar &amp; Marine Res, Alfred Wegener Inst, Bremerhaven, Germany</t>
  </si>
  <si>
    <t>University of Bergen; Bjerknes Centre for Climate Research; Bjerknes Centre for Climate Research; Helmholtz Association; Alfred Wegener Institute, Helmholtz Centre for Polar &amp; Marine Research</t>
  </si>
  <si>
    <t>Daae, K (corresponding author), Univ Bergen, Geophys Inst, Bergen, Norway.;Daae, K (corresponding author), Bjerknes Ctr Climate Res, Bergen, Norway.</t>
  </si>
  <si>
    <t>kjersti.daae@uib.no</t>
  </si>
  <si>
    <t>Fer, Ilker/C-7820-2012; Darelius, Elin/O-4096-2015</t>
  </si>
  <si>
    <t>Fer, Ilker/0000-0002-2427-2532; Ryan, Svenja/0000-0001-9427-2127; Darelius, Elin/0000-0003-3060-0317; Osterhus, Svein/0000-0001-9915-2685</t>
  </si>
  <si>
    <t>Centre for Climate Dynamics at the Bjerknes Centre; Norwegian Research councils FRINATEK program [231549, 211415]; Antarctic Funding Initiative grant from the Natural Environment Research Council [R14937]; [AWI_PS82_02, PS96]; [AWI_PS96_01]</t>
  </si>
  <si>
    <t>Centre for Climate Dynamics at the Bjerknes Centre; Norwegian Research councils FRINATEK program; Antarctic Funding Initiative grant from the Natural Environment Research Council; ;</t>
  </si>
  <si>
    <t>This work is supported by the Centre for Climate Dynamics at the Bjerknes Centre and by the Norwegian Research councils FRINATEK program through the project WARM (231549) and through the NARE program under the project WEDDELL (211415). For deployment and recovery of moorings, we would like to thank AWI, BAS, NP, and the crew and scientists on RV Polarstern (cruises PS08, PS34, PS82, grant AWI_PS82_02, PS96, grant AWI_PS96_01), RRS Ernest Shackleton (cruises ES006, ES033, ES052, ES060), RRS James Clark Ross (cruises JR097, JR244, JR16004), M/V Polarsirkel (NARE1, NARE2), K/V Andenes (NARE3), and HMS Endurance. We thank two anonymous reviewers for constructive comments that helped improve the manuscript substantially. The CS1-2 mooring data were provided by Karen Heywood at the University of East Anglia, and were funded by Antarctic Funding Initiative grant R14937 from the Natural Environment Research Council as the UK contribution to the SASSI program for the International Polar Year. A complete list of mooring data availability is given in supporting information. Wavelet software was provided by C. Torrence and G. Compo, and is available at URL: http://paos.colorado.edu/research/wavelets/</t>
  </si>
  <si>
    <t>10.1002/2017JC013579</t>
  </si>
  <si>
    <t>WOS:000436111400004</t>
  </si>
  <si>
    <t>Capuano, TA; Speich, S; Carton, X; Laxenaire, R</t>
  </si>
  <si>
    <t>Capuano, Tonia Astrid; Speich, Sabrina; Carton, Xavier; Laxenaire, Remi</t>
  </si>
  <si>
    <t>Indo-Atlantic Exchange, Mesoscale Dynamics, and Antarctic Intermediate Water</t>
  </si>
  <si>
    <t>eddy dynamics; Indo-Atlantic exchange; AAIW</t>
  </si>
  <si>
    <t>CALIFORNIA CURRENT SYSTEM; SOUTH-ATLANTIC; OVERTURNING CIRCULATION; OCEAN CIRCULATION; BAROCLINIC MODES; AGULHAS CURRENT; RESOLUTION; EDDIES; VARIABILITY; FLOW</t>
  </si>
  <si>
    <t>This study evaluates the capability of eddy-permitting regional ocean models to reproduce the interocean exchange south of Africa. In this highly turbulent region, we show that the vertical structure of the horizontal flows need to be appropriately resolved to realistically advect thermocline water masses into the South Atlantic. Our results point out that a grid-spacing of 1/24 degrees on the horizontal and 50 m on the vertical homogeneously distributed are required to account for a correct transport of surface and subsurface water masses properties and their in-route transformation by mixing. Preliminary Lagrangian analyses highlight the primary role of the upper-ocean mesoscale eddies on water masses transport and fate, with a particular emphasis on Antarctic Intermediate Waters (AAIWs) dynamics and characteristics. We evaluate the numerical results against observations (AVISO data and Argo floats profiles). Modeled and observed eddies were examined in number, polarity, size, trajectory, and for their contribution to AAIW properties. A clear asymmetry, in number and radius, emerges between cyclones and anticyclones. The high-resolution simulation was the most energetic, with more abundant and smaller structures than those detected in AVISO. However, eddy statistics compare reasonably well in terms of mean pathways when restricted to Agulhas Rings, which are on average quasi-Gaussian in shape. Regionally, the Ertel potential vorticity anomaly is marked at the surface by a temporal variability with winter intensification, directly reflected in the seasonal cycle of the eddies number. Noting the growth of the baroclinic Rossby radius in winter, this suggests baroclinic processes as essential for these eddies generation.</t>
  </si>
  <si>
    <t>[Capuano, Tonia Astrid; Carton, Xavier] Lab Ocanog Phys &amp; Spatiale, LOPS UBO, Brest, France; [Speich, Sabrina] Ecole Normale Superieure, Lab Meteorol Dynam, LMD IPSL, Paris, France; [Laxenaire, Remi] CNRS, Ecole Polytech, ENS, UMR 8539, Paris, France</t>
  </si>
  <si>
    <t>Ifremer; Sorbonne Universite; Ecole des Ponts ParisTech; Universite PSL; Ecole Normale Superieure (ENS); Sorbonne Universite; Centre National de la Recherche Scientifique (CNRS); CNRS - National Institute for Earth Sciences &amp; Astronomy (INSU); Universite PSL; Ecole Normale Superieure (ENS)</t>
  </si>
  <si>
    <t>Speich, S (corresponding author), Ecole Normale Superieure, Lab Meteorol Dynam, LMD IPSL, Paris, France.</t>
  </si>
  <si>
    <t>speich@lmd.ens.fr</t>
  </si>
  <si>
    <t>Laxenaire, Rémi/HTM-5210-2023; carton, xavier j/A-1895-2016; Speich, Sabrina/L-3780-2014</t>
  </si>
  <si>
    <t>Speich, Sabrina/0000-0002-5452-8287; Laxenaire, Remi/0000-0001-5157-1821</t>
  </si>
  <si>
    <t>Laboratoire dExcellence'' LabexMER [ANR-10-LABX-19]; French Ministry of Higher Education and Research under the program Investissements dAvenir''; Regional Council of Brittany; European Union Horizon 2020 research and innovation program [633211, 11-ANR-56-004 SAMOC]; ANR/DGA program DYNED ATLAS; CNES</t>
  </si>
  <si>
    <t>Laboratoire dExcellence'' LabexMER; French Ministry of Higher Education and Research under the program Investissements dAvenir''; Regional Council of Brittany(Region Bretagne); European Union Horizon 2020 research and innovation program(Horizon 2020); ANR/DGA program DYNED ATLAS(Agence Nationale de la Recherche (ANR)); CNES(Centre National D'etudes Spatiales)</t>
  </si>
  <si>
    <t>The model data used analyzed in this paper are available at the following http://data.umr-lops.fr/pub/AGU_MESO/. The authors greatly appreciate discussions with Xavier Capet, Gildas Cambon, Guillaume Lapeyre, Guillaume Roullet, Bernard Barnier, Arne Biastoch, and Jeroen Molemaker. This work was supported by the Laboratoire dExcellence'' LabexMER (ANR-10-LABX-19), by a grant from the French Ministry of Higher Education and Research under the program Investissements dAvenir,'' and by a grant from the Regional Council of Brittany. This work was also supported by the European Union Horizon 2020 research and innovation program under grant 633211 (AtlantOS), and by the 11-ANR-56-004 SAMOC research grant. This study is part of the CLIVAR-SAMOC international initiative. We also acknowledge funding from the ANR/DGA program DYNED ATLAS and the French CNRS computer center IDRIS for technical and computational support. The altimeter products were produced by Ssalto/Duacs and distributed by AVISO, with support from CNES. We thank both reviewers who helped us to improve this manuscript.</t>
  </si>
  <si>
    <t>10.1002/2017JC013521</t>
  </si>
  <si>
    <t>WOS:000436111400009</t>
  </si>
  <si>
    <t>Meylan, MH; Bennetts, LG; Mosig, JEM; Rogers, WE; Doble, MJ; Peter, MA</t>
  </si>
  <si>
    <t>Meylan, M. H.; Bennetts, L. G.; Mosig, J. E. M.; Rogers, W. E.; Doble, M. J.; Peter, M. A.</t>
  </si>
  <si>
    <t>Dispersion Relations, Power Laws, and Energy Loss for Waves in the Marginal Ice Zone</t>
  </si>
  <si>
    <t>IN-SITU MEASUREMENTS; ANTARCTIC SEA-ICE; OCEAN WAVES; GRAVITY-WAVES; GREASE ICE; ATTENUATION; TRANSECTS; MODEL; PROPAGATION; SCATTERING</t>
  </si>
  <si>
    <t>Analysis of field measurements of ocean surface wave activity in the marginal ice zone, from campaigns in the Arctic and Antarctic and over a range of different ice conditions, shows the wave attenuation rate with respect to distance has a power law dependence on the frequency with order between two and four. With this backdrop, the attenuation-frequency power law dependencies given by three dispersion relation models are obtained under the assumptions of weak attenuation, negligible deviation of the wave number from the open water wave number, and thin ice. It is found that two of the models (both implemented in WAVEWATCH III VR), predict attenuation rates that are far more sensitive to frequency than indicated by the measurements. An alternative method is proposed to derive dispersion relation models, based on energy loss mechanisms. The method is used to generate example models that predict power law dependencies that are comparable with the field measurements.</t>
  </si>
  <si>
    <t>[Meylan, M. H.] Univ Newcastle, Sch Math &amp; Phys Sci, Newcastle, NSW, Australia; [Bennetts, L. G.] Univ Adelaide, Sch Math Sci, Adelaide, SA, Australia; [Mosig, J. E. M.] Univ Otago, Dept Math &amp; Stat, Dunedin, New Zealand; [Rogers, W. E.] Naval Res Lab, Stennis Space Ctr, MS USA; [Doble, M. J.] Polar Sci Ltd, Appin, England; [Peter, M. A.] Univ Augsburg, Germany &amp; Augsburg Ctr Innovat Technol, Inst Math, Augsburg, Germany</t>
  </si>
  <si>
    <t>University of Newcastle; University of Adelaide; University of Otago; United States Department of Defense; United States Navy; Naval Research Laboratory; University of Augsburg</t>
  </si>
  <si>
    <t>Meylan, MH (corresponding author), Univ Newcastle, Sch Math &amp; Phys Sci, Newcastle, NSW, Australia.</t>
  </si>
  <si>
    <t>mike.meylan@newcastle.edu.au</t>
  </si>
  <si>
    <t>Meylan, Michael/A-7341-2010; Doble, Martin J/A-9915-2012; Rogers, William/GWC-2040-2022; Bennetts, Luke/N-1448-2019</t>
  </si>
  <si>
    <t>Meylan, Michael/0000-0002-3164-1367; Rogers, William/0000-0001-8235-2218; Bennetts, Luke/0000-0001-9386-7882; Peter, Malte A./0000-0001-6107-9806; Mosig, Johannes/0000-0003-4977-4173; Doble, Martin/0000-0001-8185-6510</t>
  </si>
  <si>
    <t>Isaac Newton Institute for Mathematical Sciences; EPSRC [EP/K032208/1]; Simons Foundation; Office of Naval Research [322]; [N000141512611]; [N00014-131-0279]; [N000141310290]; [N0001413WX20825]; EPSRC [EP/K032208/1, EP/R014604/1] Funding Source: UKRI</t>
  </si>
  <si>
    <t>Isaac Newton Institute for Mathematical Sciences; EPSRC(UK Research &amp; Innovation (UKRI)Engineering &amp; Physical Sciences Research Council (EPSRC)); Simons Foundation; Office of Naval Research(Office of Naval Research); ; ; ; ; EPSRC(UK Research &amp; Innovation (UKRI)Engineering &amp; Physical Sciences Research Council (EPSRC))</t>
  </si>
  <si>
    <t>M.H.M., L.G.B., J.E.M.M., and M.A.P. thank the Isaac Newton Institute for Mathematical Sciences for support and hospitality during the program Mathematics of Sea Ice Phenomena when work on this paper was undertaken, with support by EPSRC (grant number EP/K032208/1). M.H.M. and L.G.B. were also partially supported by a grant from the Simons Foundation. This work was supported by the Office of Naval Research Code 322, Arctic and Global Prediction, directed by Martin Jeffries and Scott Harper. Grants: Meylan, N000141512611; Mosig N00014-131-0279 Doble, N000141310290; Rogers, N0001413WX20825. The data used in this study can be found in a table in Wadhams et al. (1988) and in links provided in Meylan et al. (2014), Doble et al. (2015), and Cheng et al. (2017).</t>
  </si>
  <si>
    <t>10.1002/2018JC013776</t>
  </si>
  <si>
    <t>WOS:000436111400011</t>
  </si>
  <si>
    <t>Della Penna, A; Trull, TW; Wotherspoon, S; De Monte, S; Johnson, CR; d'Ovidio, F</t>
  </si>
  <si>
    <t>Della Penna, Alice; Trull, Thomas W.; Wotherspoon, Simon; De Monte, Silvia; Johnson, Craig R.; d'Ovidio, Francesco</t>
  </si>
  <si>
    <t>Mesoscale Variability of Conditions Favoring an Iron-Induced Diatom Bloom Downstream of the Kerguelen Plateau</t>
  </si>
  <si>
    <t>PHYTOPLANKTON COMMUNITY COMPOSITION; SOUTHERN-OCEAN; FERTILIZATION EXPERIMENT; CARBON EXPORT; BOTTOM-UP; FOOD-WEB; ISLANDS; SCALE; PLANKTON; IMPACT</t>
  </si>
  <si>
    <t>Heterogeneity in phytoplankton distribution is related to spatial and temporal variations in biogeochemical and ecological processes. In the open ocean, the interaction of these processes with mesoand submeso-scale dynamics (1-100 km, few days to months) gives rise to complex spatio-temporal patterns, whose characterization is difficult without extensive sampling efforts. In this study, we integrate pigment sampling and multisatellite data to assess the link between iron enrichment and diatom dominance in the open ocean region east of the Kerguelen Islands (Indian Sector of the Southern Ocean). In this region, the High Nutrient Low Chlorophyll conditions typical of the Southern Ocean are alleviated by the transport of iron off the Kerguelen Plateau, resulting in a plume of chlorophyll that extends 1,000 km downstream. We show that in situ concentrations of the diatom-associated pigment fucoxanthin and ocean-colorderived estimates of diatom dominance correlate with the water age'', i.e.,the time since the respective water parcel departed the Kerguelen Plateau. We propose a threshold model'' linking diatom ecological success and iron availability of downstream-advected water parcels. The pattern of diatom dominance generated by this model predicts the extent and spatial structure of satellite-based estimates at the regional scale (similar to 100s of km) and describes the mesoscale distribution of diatom dominance in the proximity of the plateau. However, the complexity of diatom dominance patterns further away from the plateau indicates that other physical and ecological mechanisms may drive phytoplankton dominance downstream.</t>
  </si>
  <si>
    <t>[Della Penna, Alice; d'Ovidio, Francesco] UPMC Univ Paris 06, Sorbonne Univ, LOCEAN, IPSL,UMR 7159, Paris, France; [Della Penna, Alice] Univ Paris Diderot Cite, Paris, France; [Della Penna, Alice] CSIRO, UTAS Quantitat Marine Sci Program, IMAS, Hobart, Tas, Australia; [Della Penna, Alice] Univ Washington, Appl Phys Lab, Air Sea Interact &amp; Remote Sensing Dept, Seattle, WA 98105 USA; [Trull, Thomas W.] Univ Tasmania, Antarctic Climate &amp; Ecosyst Cooperat Res Ctr, Hobart, Tas, Australia; [Trull, Thomas W.] CSIRO Oceans &amp; Atmosphere, Hobart, Tas, Australia; [Wotherspoon, Simon; Johnson, Craig R.] Univ Tasmania, Inst Marine &amp; Antarctic Studies, Hobart, Tas, Australia; [De Monte, Silvia] PSL Res Univ, Ecole Normale Super, IBENS, Dept Biol,CNRS,INSERM, Paris, France; [De Monte, Silvia] Max Planck Inst Evolutionary Biol, Dept Evolutionary Theory, Plon, Germany</t>
  </si>
  <si>
    <t>Centre National de la Recherche Scientifique (CNRS); CNRS - National Institute for Earth Sciences &amp; Astronomy (INSU); Universite Paris Cite; Sorbonne Universite; Museum National d'Histoire Naturelle (MNHN); Universite Paris Cite; Commonwealth Scientific &amp; Industrial Research Organisation (CSIRO); University of Washington; University of Washington Seattle; University of Tasmania; Antarctic Climate &amp; Ecosystems Cooperative Research Centre (ACE CRC); Commonwealth Scientific &amp; Industrial Research Organisation (CSIRO); University of Tasmania; Centre National de la Recherche Scientifique (CNRS); Universite PSL; Ecole Normale Superieure (ENS); Institut National de la Sante et de la Recherche Medicale (Inserm); Max Planck Society</t>
  </si>
  <si>
    <t>Della Penna, A (corresponding author), UPMC Univ Paris 06, Sorbonne Univ, LOCEAN, IPSL,UMR 7159, Paris, France.;Della Penna, A (corresponding author), Univ Paris Diderot Cite, Paris, France.;Della Penna, A (corresponding author), CSIRO, UTAS Quantitat Marine Sci Program, IMAS, Hobart, Tas, Australia.;Della Penna, A (corresponding author), Univ Washington, Appl Phys Lab, Air Sea Interact &amp; Remote Sensing Dept, Seattle, WA 98105 USA.</t>
  </si>
  <si>
    <t>alice.dellapenna@gmail.com</t>
  </si>
  <si>
    <t>Wotherspoon, Simon J/B-2390-2013; d'Ovidio, Francesco/ABA-8461-2021</t>
  </si>
  <si>
    <t>Wotherspoon, Simon J/0000-0002-6947-4445; d'Ovidio, Francesco/0000-0002-9664-7778; Della Penna, Alice/0000-0002-7579-3610</t>
  </si>
  <si>
    <t>Fondation Bettencourt-Schueller (through the program Frontieres du Vivant); Quantitative Marine Science Program (CSIRO-UTAS); CNRS-PSL Eco-Evo-Devo program Pepiniere Interdisciplinaire'' by the French Government; program Investissements d'Avenir by the French Government; ANR [ANR-10-LABX-54 MEMOLIFE, ANR-10-IDEX-0001-02 PSL]; Australian Commonwealth Cooperative Research Centre Program; Tosca-Cnes LAECOS project</t>
  </si>
  <si>
    <t>Fondation Bettencourt-Schueller (through the program Frontieres du Vivant); Quantitative Marine Science Program (CSIRO-UTAS); CNRS-PSL Eco-Evo-Devo program Pepiniere Interdisciplinaire'' by the French Government; program Investissements d'Avenir by the French Government(Agence Nationale de la Recherche (ANR)); ANR(Agence Nationale de la Recherche (ANR)); Australian Commonwealth Cooperative Research Centre Program(Australian GovernmentDepartment of Industry, Innovation and ScienceCooperative Research Centres (CRC) Programme); Tosca-Cnes LAECOS project</t>
  </si>
  <si>
    <t>The altimeter products were produced by Ssalto/Duacs and distributed by Aviso with support from CNES and from the Collecte Localisation Satellites (CLS). The authors wish to thank Jean Baptiste Salle for the Mixed Layer Depths estimates, Isabelle Pujol (CLS) for her help with the regional altimetry products, Stephan Blain for his help with the access to the pigment data and useful discussions and Severine Alvain for her suggestions about the use of PHYSAT. ADP thanks the Fondation Bettencourt-Schueller (through the program Frontieres du Vivant) and the Quantitative Marine Science Program (CSIRO-UTAS) for financial support during her Ph.D. project. SDM acknowledges support of the CNRS-PSL Eco-Evo-Devo program Pepiniere Interdisciplinaire'' and the program Investissements d'Avenir launched by the French Government and implemented by ANR with the references ANR-10-LABX-54 MEMOLIFE and ANR-10-IDEX-0001-02 PSL* Research University. TWT's participation was supported by the Australian Commonwealth Cooperative Research Centre Program. This work has been partly supported by the Tosca-Cnes LAECOS project. The authors would like to thank three anonymous reviewers for their constructive criticisms. Altimetry data are available on the AVISO altimetry webpage (https://www.aviso.altimetry.fr/). Chlorophyll maps are available on the GlobColour platform (http://www.globcolour.info/). PHYSAT ocean color re-analyses are available on the GlobColour platform or on PHYSAT's official webpage (http://log.cnrs.fr/Physat-2?lang5fr). Pigment in situ observations can be obtained requesting an access to (http://keops2.obs-vlfr.fr/) or from the publication by Lasbleiz et al. (2016).</t>
  </si>
  <si>
    <t>10.1029/2018JC013884</t>
  </si>
  <si>
    <t>Green Submitted, Bronze, Green Published</t>
  </si>
  <si>
    <t>WOS:000436111400013</t>
  </si>
  <si>
    <t>Masich, J; Mazloff, MR; Chereskin, TK</t>
  </si>
  <si>
    <t>Masich, Jessica; Mazloff, Matthew R.; Chereskin, Teresa K.</t>
  </si>
  <si>
    <t>Interfacial Form Stress in the Southern Ocean State Estimate</t>
  </si>
  <si>
    <t>ANTARCTIC CIRCUMPOLAR CURRENT; MERIDIONAL OVERTURNING CIRCULATION; BETA-PLANE CHANNEL; WIND-DRIVEN; MOMENTUM BALANCE; ZONAL MOMENTUM; HEAT-TRANSPORT; MODEL; DYNAMICS; EDDIES</t>
  </si>
  <si>
    <t>The wind stress that drives the Antarctic Circumpolar Current (ACC) exits the fluid via topographic form stress (TFS) at the sea floor; interfacial form stress (IFS) is thought to carry much of this momentum from source to sink. These form stresses combine to help set the strength and structure of the Southern Ocean meridional overturning circulation (MOC), a key nexus of heat and gas exchange between the deep ocean and the atmosphere. For the first time in a general circulation model, we calculate the time-varying, three-dimensional IFS field directly from zonal pressure gradients across vertical perturbations in isopycnal layer interfaces. We confirm previous findings that IFS compensates wind stress at the surface and topographic form stress at the seafloor in the Drake Passage latitudes. We find that zonal and time-mean IFS is primarily responsible for this surface wind stress compensation, with some contribution from transient eddy IFS. Mean, standing eddy, and transient eddy IFS combine to compensate topographic form stress at depth. Both standing and transient eddy IFS concentrate at stationary meanders along the ACC, and transient eddy IFS dominates standing eddy IFS in regions of high eddy kinetic energy. Finally, total IFS changes sign from balancing eastward wind stress to balancing westward topographic form stress around 28.1 kg m(-3), close to the upper limit of Antarctic Bottom Water, indicating the role of buoyancy forcing in setting the structure of the IFS field. Plain Language Summary Winds over the Southern Ocean blow toward the east, continuously inputting eastward momentum into the ocean. This eastward momentum is balanced by the landmasses and undersea ridges that block the Antarctic Circumpolar Current (ACC)'s eastward path around Antarctica. We analyze a high-resolution model of the Southern Ocean to map interfacial form stress (IFS), the mechanism by which momentum travels from wind source to seafloor sink. We conduct this analysis in a new, unique way, by calculating the pressure exerted from one ocean layer to another for every day in the 6 year model run; this analysis shows where lighter layers are leaning'' against denser layers and thus transferring eastward momentum downward from lighter to denser ocean layers. We find that IFS mostly concentrates where there are large-scale meanders in the ACC, and to a lesser degree in regions where the Southern Ocean is mixed by eddies.</t>
  </si>
  <si>
    <t>[Masich, Jessica; Mazloff, Matthew R.; Chereskin, Teresa K.] Univ Calif San Diego, Scripps Inst Oceanog, La Jolla, CA 92093 USA</t>
  </si>
  <si>
    <t>University of California System; University of California San Diego; Scripps Institution of Oceanography</t>
  </si>
  <si>
    <t>Masich, J (corresponding author), Univ Calif San Diego, Scripps Inst Oceanog, La Jolla, CA 92093 USA.</t>
  </si>
  <si>
    <t>jessica.masich@gmail.com</t>
  </si>
  <si>
    <t>Mazloff, Matthew/AAG-6463-2019</t>
  </si>
  <si>
    <t>Mazloff, Matthew/0000-0002-1650-5850; Chereskin, Teresa/0000-0003-1214-0978; Masich, Jessica/0000-0003-1514-5248</t>
  </si>
  <si>
    <t>National Science Foundation [PLR-1141922, PLR-1542902]; National Aeronautics and Space Administration [NNX13AE446, NNX17AH53G]; Department of Defense through the National Defense Science &amp; Engineering Graduate Fellowship Program; Directorate For Geosciences; Office of Polar Programs (OPP) [1542902, 1425989] Funding Source: National Science Foundation</t>
  </si>
  <si>
    <t>National Science Foundation(National Science Foundation (NSF)); National Aeronautics and Space Administration(National Aeronautics &amp; Space Administration (NASA)); Department of Defense through the National Defense Science &amp; Engineering Graduate Fellowship Program; Directorate For Geosciences; Office of Polar Programs (OPP)(National Science Foundation (NSF)NSF - Directorate for Geosciences (GEO))</t>
  </si>
  <si>
    <t>SOSE data are available at sose.ucsd.edu. This work was supported by National Science Foundation grants PLR-1141922 and PLR-1542902, and National Aeronautics and Space Administration grants NNX13AE446 and NNX17AH53G. J. Masich was also supported by the Department of Defense through the National Defense Science &amp; Engineering Graduate Fellowship Program. We are grateful for fruitful comments and discussion with David Marshall and two anonymous reviewers.</t>
  </si>
  <si>
    <t>10.1029/2018JC013844</t>
  </si>
  <si>
    <t>WOS:000436111400014</t>
  </si>
  <si>
    <t>Kirillov, S; Dmitrenko, I; Rysgaard, S; Babb, D; Ehn, J; Bendtsen, J; Boone, W; Barber, D; Geilfus, N</t>
  </si>
  <si>
    <t>Kirillov, S.; Dmitrenko, I.; Rysgaard, S.; Babb, D.; Ehn, J.; Bendtsen, J.; Boone, W.; Barber, D.; Geilfus, N.</t>
  </si>
  <si>
    <t>The Inferred Formation of a Subice Platelet Layer Below the Multiyear Landfast Sea Ice in the Wandel Sea (NE Greenland) Induced by Meltwater Drainage</t>
  </si>
  <si>
    <t>EPISHELF LAKE; SHELF; OCEAN; WATER; EVOLUTION; GROWTH; FJORD</t>
  </si>
  <si>
    <t>Oceanographic and ice-mass-balance records are presented from two moorings deployed on landfast multiyear ice in the Wandel Sea (North Greenland) during June-August 2015. Here we show that the melting and drainage of &gt; 1 m of snow from June 14 to July 14 created a double-diffusive vertical stratification which resulted in supercooling of water and enabled the formation of platelet crystals below the sea ice. Although the effect of supercooling, with temperatures up to 0.58 degrees C below the freezing point, might be overestimated considerably in our records, this process led to the formation of similar to 1.1-1.2 m-thick subice platelet layer. While warm water temperatures lead to the complete loss of this layer at one mooring site, the layer persisted through summer and became incorporated into the congelation ice at the second site. The warm water that melted out the platelet layer can be ascribed to two different sources: (1) in situ heating from solar radiation resulting in a temperature increase up to 0.8 degrees C in late July and (2) advection of warm surface water (with temperatures up to 3-4 degrees C) from the ice-free coastal regions in mid-August. The combination of processes causing the seasonal growth of a platelet layer and either its subsequent ablation or incorporation into congelation ice is discussed with respect to the ice-mass balance and stability of the landfast ice cover in the Wandel Sea. Furthermore, this study provides evidence for the formation of a platelet layer in the Arctic, a phenomenon that historically has only been observed in the Antarctic.</t>
  </si>
  <si>
    <t>[Kirillov, S.; Dmitrenko, I.; Rysgaard, S.; Babb, D.; Ehn, J.; Boone, W.; Barber, D.; Geilfus, N.] Univ Manitoba, Ctr Earth Observat Sci, Winnipeg, MB, Canada; [Rysgaard, S.; Bendtsen, J.] Aarhus Univ, Arctic Res Ctr, Aarhus, Denmark; [Bendtsen, J.] ClimateLab, Copenhagen, Denmark</t>
  </si>
  <si>
    <t>University of Manitoba; Aarhus University</t>
  </si>
  <si>
    <t>Kirillov, S (corresponding author), Univ Manitoba, Ctr Earth Observat Sci, Winnipeg, MB, Canada.</t>
  </si>
  <si>
    <t>sergei.kirillov@umanitoba.ca</t>
  </si>
  <si>
    <t>Rysgaard, Søren/K-6689-2013</t>
  </si>
  <si>
    <t>Ehn, Jens/0000-0002-8885-7441; Kirillov, Sergei/0000-0002-9636-7952; Geilfus, Nicolas-Xavier/0000-0002-0419-8283; Barber, David/0000-0001-9466-3291; Dmitrenko, Igor/0000-0001-8388-7839; Babb, David/0000-0002-7427-8094; Rysgaard, Soren/0000-0003-1726-2958</t>
  </si>
  <si>
    <t>Canada Excellence Research Chair (CERC); Canada Research Chairs (CRC) programs; NSERC Discovery grant; Canada Foundation of Innovation (CFI); University of Manitoba; Aarhus University; Greenland Institute of Natural Resources; UiT The Arctic University of Norway</t>
  </si>
  <si>
    <t>Canada Excellence Research Chair (CERC); Canada Research Chairs (CRC) programs(Canada Research Chairs); NSERC Discovery grant(Natural Sciences and Engineering Research Council of Canada (NSERC)); Canada Foundation of Innovation (CFI)(Canada Foundation for Innovation); University of Manitoba; Aarhus University; Greenland Institute of Natural Resources; UiT The Arctic University of Norway</t>
  </si>
  <si>
    <t>We gratefully acknowledge the financial support by the Canada Excellence Research Chair (CERC) and the Canada Research Chairs (CRC) programs, the NSERC Discovery grant, the Canada Foundation of Innovation (CFI), the University of Manitoba, Aarhus University, the Greenland Institute of Natural Resources, and the UiT The Arctic University of Norway. This work is a contribution to the Arctic Science Partnership (www.aspnet.org). We sincerely thank the logistic team for their efforts in supporting and assisting our research in the Wandel Sea area (personal thanks to Kunuk Lennert, Ivali Lennert, and Egon Randa Frandsen). We also thank the Villum Research Station for an excellent stay and the Station Nord military personal for their hospitality. Finally, we thank two anonymous reviewers for their careful reading of our manuscript and their constructive comments, which helped us to improve the manuscript considerably. The CTD and velocity data are archived in the Centre for Earth Observation Science (University of Manitoba) and are restricted for open access during 2 years after the observations completed. The oceanographic and ice-mass-balance data are available through the Polar Data Catalogue at https://www.polardata.ca, CCIN Reference 12583 and 12584.</t>
  </si>
  <si>
    <t>10.1029/2017JC013672</t>
  </si>
  <si>
    <t>WOS:000436111400020</t>
  </si>
  <si>
    <t>Hendry, KR; Pyle, KM; Butler, GB; Cooper, A; Fransson, A; Chierici, M; Leng, MJ; Meyer, A; Dodd, PA</t>
  </si>
  <si>
    <t>Hendry, Katharine R.; Pyle, Kimberley M.; Butler, G. Barney; Cooper, Adam; Fransson, Agneta; Chierici, Melissa; Leng, Melanie J.; Meyer, Amelie; Dodd, Paul A.</t>
  </si>
  <si>
    <t>Spatiotemporal Variability of Barium in Arctic Sea-Ice and Seawater</t>
  </si>
  <si>
    <t>freshwater tracers; barium; nonconservative; sea-ice; Arctic Ocean</t>
  </si>
  <si>
    <t>DISSOLVED BARIUM; SOUTHERN-OCEAN; ANTARCTIC PENINSULA; HEAT FLUXES; BIOGEOCHEMICAL PROCESSES; WATER; TRACER; SYSTEM; PRECIPITATION; CIRCULATION</t>
  </si>
  <si>
    <t>Freshwater export from the Arctic is critical in determining the density of water at sites of North Atlantic deep water formation, which in turn influences the global flux of oceanic heat and nutrients. We need geochemical tracers and high-resolution observations to refine our freshwater budgets and constrain models for future change. The use of seawater barium concentrations in the Arctic Ocean as a freshwater tracer relies on the conservative behavior of barium in seawater; while this has been shown to be an unreliable assumption in Arctic summers, there are a lack of studies observing seasonal progressions. Here, we present barium concentrations from seawater and sea-ice collected during the Norwegian Young Sea ICE expedition from boreal winter into summer. We use other tracers (salinity, oxygen isotopes, and alkalinity) to reconstruct freshwater inputs and calculate a barium deficit that can be attributed to nonconservative processes. We locate a deficit in winter when biological production is low, which we attribute to uptake by barite formation associated with old organic matter or by internal sea-ice processes. We also find a significant barium deficit during the early spring bloom, consistent with uptake into organic-matter associated microenvironments. However, in summer, there no strong barium deficit near the surface, despite high biological production and organic carbon standing stocks, perhaps reflecting phytoplankton assemblage changes, and/or rapid internal cycling. Our findings challenge the assumptions surrounding the use of barium as an Arctic freshwater tracer, and highlight the need to improve our understanding of barium in sea-ice environments.</t>
  </si>
  <si>
    <t>[Hendry, Katharine R.; Pyle, Kimberley M.; Butler, G. Barney; Cooper, Adam] Univ Bristol, Sch Earth Sci, Wills Mem Bldg, Bristol, Avon, England; [Cooper, Adam] Univ Southampton, Natl Oceanog Ctr Southampton, Ocean &amp; Earth Sci, European Way, Southampton, Hants, England; [Fransson, Agneta; Meyer, Amelie; Dodd, Paul A.] Norwegian Polar Res Inst, Fram Ctr, Tromso, Norway; [Chierici, Melissa] Inst Marine Res, Tromso, Norway; [Leng, Melanie J.] NERC Isotope Geosci Lab, Nottingham, England; [Leng, Melanie J.] Univ Nottingham, Sch Biosci, Sutton Bonington Campus, Nottingham, Leics, England</t>
  </si>
  <si>
    <t>University of Bristol; University of Southampton; NERC National Oceanography Centre; Norwegian Polar Institute; Institute of Marine Research - Norway; UK Research &amp; Innovation (UKRI); Natural Environment Research Council (NERC); NERC British Geological Survey; University of Nottingham</t>
  </si>
  <si>
    <t>Hendry, KR (corresponding author), Univ Bristol, Sch Earth Sci, Wills Mem Bldg, Bristol, Avon, England.</t>
  </si>
  <si>
    <t>K.Hendry@bristol.ac.uk</t>
  </si>
  <si>
    <t>; Hendry, Katharine/E-4793-2011</t>
  </si>
  <si>
    <t>Meyer, Amelie/0000-0003-0447-795X; Leng, Melanie/0000-0003-1115-5166; Hendry, Katharine/0000-0002-0790-5895</t>
  </si>
  <si>
    <t>Norwegian Polar Institute's Centre for Ice, Climate and Ecosystems (ICE) through the N-ICE project; EU FP7_PEOPLE-20120CIG [320070]; Natural Environment Research Council Isotope Geoscience Facility Steering Committee grant; Royal Society University Research Fellowship [UF120084]; flagship research program Ocean acidification and ecosystem effects in Northern waters'' at the FRAM-High North Research Centre for Climate and the Environment; Royal Society [UF120084] Funding Source: Royal Society; NERC [nigl010001] Funding Source: UKRI</t>
  </si>
  <si>
    <t>Norwegian Polar Institute's Centre for Ice, Climate and Ecosystems (ICE) through the N-ICE project; EU FP7_PEOPLE-20120CIG(European Union (EU)); Natural Environment Research Council Isotope Geoscience Facility Steering Committee grant; Royal Society University Research Fellowship(Royal Society); flagship research program Ocean acidification and ecosystem effects in Northern waters'' at the FRAM-High North Research Centre for Climate and the Environment; Royal Society(Royal Society); NERC(UK Research &amp; Innovation (UKRI)Natural Environment Research Council (NERC))</t>
  </si>
  <si>
    <t>We would like to thank the captains and crew of R/V Lance, and the Norwegian Polar Institute N-ICE project. The field work has been supported by the Norwegian Polar Institute's Centre for Ice, Climate and Ecosystems (ICE) through the N-ICE project. The labwork and barium analyses were funded by a grant to KH (EU FP7_PEOPLE-20120CIG Proposal number 320070). The oxygen isotope analyses were funded through a Natural Environment Research Council Isotope Geoscience Facility Steering Committee grant. KH is also funded by a Royal Society University Research Fellowship (grant number UF120084). Total alkalinity analyses were funded through the flagship research program Ocean acidification and ecosystem effects in Northern waters'' at the FRAM-High North Research Centre for Climate and the Environment. Many thanks to two anonymous reviewers whose comments helped to improve this manuscript. The data sets used in this study are publicly available at the Norwegian Polar Data Centre at https://doi.org/10.21334/npolar.2016.089354c2 and https://doi.org/10.21334/npolar.2016.516bc529.</t>
  </si>
  <si>
    <t>10.1029/2017JC013668</t>
  </si>
  <si>
    <t>WOS:000436111400021</t>
  </si>
  <si>
    <t>Kyrmanidou, A; Vadman, KJ; Ishman, SE; Leventer, A; Brachfeld, S; Domack, EW; Wellner, JS</t>
  </si>
  <si>
    <t>Kyrmanidou, Anastasia; Vadman, Kara J.; Ishman, Scott E.; Leventer, Amy; Brachfeld, Stefanie; Domack, Eugene W.; Wellner, Julia S.</t>
  </si>
  <si>
    <t>Late Holocene oceanographic and climatic variability recorded by the Perseverance Drift, northwestern Weddell Sea, based on benthic foraminifera and diatoms</t>
  </si>
  <si>
    <t>MARINE MICROPALEONTOLOGY</t>
  </si>
  <si>
    <t>Foraminifera; Diatoms; Holocene; Weddell Sea; Antarctica</t>
  </si>
  <si>
    <t>LARSEN ICE SHELF; ANTARCTIC PENINSULA; SOUTHERN-OCEAN; BOTTOM WATER; PALMER-DEEP; SURFACE-TEMPERATURE; CONTINENTAL-SHELF; MCMURDO SOUND; SEDIMENTS; HISTORY</t>
  </si>
  <si>
    <t>The Perseverance Drift, located in the Joinville-D'Urville Trough, northwestern Weddell Sea, records changes in ocean and sea ice conditions throughout the middle to late Holocene, with a record extending back to ca. 3400 yr BP. The 2562-cm composite record collected from a water depth of 806 m, documents the uppermost section of the 90-m thick sediment drift. Spring-blooming diatoms (Chaetoceros subg. Hyalochaete) are abundant through the sedimentary record. The greater proportion of Chaetoceros vegetative valves compared to resting spores indicates that the marine environment is highly productive, and nutrients generally are not limiting. Epiphytic diatoms, dominated by Cocconeis spp., are observed throughout JKC36, suggesting transport of algal detritus from shallower regions to the benthos. Three foraminiferal assemblages (FAs): Milianvnina spp., Globocassidulina spp., and Paratrochammina bartami/Paratrocharrunina lepida/Portatrochammina antarctica characterize the benthic foraminiferal fauna and reflect affinities with water masses circulating across the Perseverance Drift and tolerance to corrosive bottom waters. The interval 3400-1800 yr BP is marked by high abundances of Globocassidulina spp., indicating incursions of Weddell Sea Transitional Water over the drift site. This interval implies a period of freshening of the water column, coinciding with an open-marine or seasonally open-marine environment during the middle-to-late Holocene Climatic Optimum. The interval 1800 yr BP to the present displays characteristics of slightly colder conditions, as indicated by the absence of the calcareous Globocassidulina spp. FA, and the pronounced presence of agglutinated P. bartami/P. lepida/P. antarctica FA, along with other agglutinated species that are indicative of the presence of sea ice. Therefore, this interval is interpreted to represent the onset of Neoglaciation at the northeastern tip of the Antarctic Peninsula. The consistent presence of Milian-mina spp. FA corroborates that the sedimentary record represents a productive, open-marine setting with seasonally variable sea ice extent. The Drift is a unique geologic archive that provides an excellent target for future coring based on the preservation of abundant carbonate material for radiocarbon dating and the potential to develop a multi-proxy data set that could offer a robust understanding of the Holocene depositional and paleoclimatic conditions of the northwestern Weddell Sea.</t>
  </si>
  <si>
    <t>[Kyrmanidou, Anastasia; Ishman, Scott E.] Southern Illinois Univ, Dept Geol, 1259 Lincoln Dr, Carbondale, IL 62901 USA; [Vadman, Kara J.; Leventer, Amy] Colgate Univ, Dept Geol, Hamilton, NY 13346 USA; [Vadman, Kara J.; Domack, Eugene W.] Univ S Florida, Coll Marine Sci, St Petersburg, FL 33901 USA; [Brachfeld, Stefanie] Montclair State Univ, Dept Earth &amp; Environm Studies, Montclair, NJ 07043 USA; [Domack, Eugene W.] Hamilton Coll, Dept Geosci, Clinton, NY 13346 USA; [Wellner, Julia S.] Univ Houston, Dept Earth &amp; Atmospher Sci, Houston, TX 77204 USA</t>
  </si>
  <si>
    <t>Southern Illinois University System; Southern Illinois University; Colgate University; State University System of Florida; University of South Florida; Montclair State University; Hamilton College; University of Houston System; University of Houston</t>
  </si>
  <si>
    <t>Kyrmanidou, A (corresponding author), Southern Illinois Univ, Dept Geol, 1259 Lincoln Dr, Carbondale, IL 62901 USA.</t>
  </si>
  <si>
    <t>akyrmanidou@siu.edu</t>
  </si>
  <si>
    <t>Leventer, Amy/0000-0001-9401-0987; Brachfeld, Stefanie/0000-0003-4612-2866</t>
  </si>
  <si>
    <t>National Science Foundation [0732605, 0732625, 0732554]</t>
  </si>
  <si>
    <t>National Science Foundation(National Science Foundation (NSF))</t>
  </si>
  <si>
    <t>This work was supported by National Science Foundation grants 0732605, 0732625 and 0732554. We thank the captain, crew and scientific party of the RVIB Nathaniel B. Palmer for their efforts during cruise NBP12-03.</t>
  </si>
  <si>
    <t>0377-8398</t>
  </si>
  <si>
    <t>1872-6186</t>
  </si>
  <si>
    <t>MAR MICROPALEONTOL</t>
  </si>
  <si>
    <t>Mar. Micropaleontol.</t>
  </si>
  <si>
    <t>10.1016/j.marmicro.2018.03.001</t>
  </si>
  <si>
    <t>Paleontology</t>
  </si>
  <si>
    <t>GL2AI</t>
  </si>
  <si>
    <t>WOS:000436915000002</t>
  </si>
  <si>
    <t>Simms, L; Engebretson, M; Clilverd, M; Rodger, C; Lessard, M; Gjerloev, J; Reeves, G</t>
  </si>
  <si>
    <t>Simms, Laura; Engebretson, Mark; Clilverd, Mark; Rodger, Craig; Lessard, Marc; Gjerloev, Jesper; Reeves, Geoffrey</t>
  </si>
  <si>
    <t>A Distributed Lag Autoregressive Model of Geostationary Relativistic Electron Fluxes: Comparing the Influences of Waves, Seed and Source Electrons, and Solar Wind Inputs</t>
  </si>
  <si>
    <t>OUTER RADIATION BELT; VAN ALLEN PROBES; ION-CYCLOTRON WAVES; PHASE-SPACE DENSITY; PC5 ULF-WAVES; GEOSYNCHRONOUS ORBIT; EMIC WAVES; DYNAMIC PRESSURE; MAGNETOSPHERIC CONVECTION; GEOMAGNETIC STORMS</t>
  </si>
  <si>
    <t>Relativistic electron flux at geosynchronous orbit depends on enhancement and loss processes driven by ultralow frequency (ULF) Pc5, chorus, and electromagnetic ion cyclotron (EMIC) waves, seed electron flux, magnetosphere compression, the Dst effect, and substorms, while solar wind inputs such as velocity, number density, and interplanetary magnetic field Bz drive these factors and thus correlate with flux. Distributed lag regression models show the time delay of highest influence of these factors on log(10) high-energy electron flux (0.7-7.8 MeV, Los Alamos National Laboratory satellites). Multiple regression with an autoregressive term (flux persistence) allows direct comparison of the magnitude of each effect while controlling other correlated parameters. Flux enhancements due to ULF Pc5 and chorus waves are of equal importance. The direct effect of substorms on high-energy electron flux is strong, possibly due to injection of high-energy electrons by the substorms themselves. Loss due to electromagnetic ion cyclotron waves is less influential. Southward Bz shows only moderate influence when correlated processes are accounted for. Adding covariate compression effects (pressure and interplanetary magnetic field magnitude) allows wave-driven enhancements to be more clearly seen. Seed electrons (270 keV) are most influential at lower relativistic energies, showing that such a population must be available for acceleration. However, they are not accelerated directly to the highest energies. Source electrons (31.7 keV) show no direct influence when other factors are controlled. Their action appears to be indirect via the chorus waves they generate. Determination of specific effects of each parameter when studied in combination will be more helpful in furthering modeling work than studying them individually.</t>
  </si>
  <si>
    <t>[Simms, Laura; Engebretson, Mark] Augsburg Univ, Dept Phys, Minneapolis, MN 55454 USA; [Clilverd, Mark] British Antarctic Survey, NERC, Cambridge, England; [Rodger, Craig] Univ Otago, Dept Phys, Dunedin, New Zealand; [Lessard, Marc] Univ New Hampshire, Dept Phys, Durham, NH 03824 USA; [Lessard, Marc] Univ New Hampshire, Space Sci Ctr EOS, Durham, NH 03824 USA; [Gjerloev, Jesper] Johns Hopkins Univ, Appl Phys Lab, Laurel, MD USA; [Reeves, Geoffrey] Los Alamos Natl Lab, Los Alamos, NM USA</t>
  </si>
  <si>
    <t>Augsburg University; UK Research &amp; Innovation (UKRI); Natural Environment Research Council (NERC); NERC British Antarctic Survey; University of Otago; University System Of New Hampshire; University of New Hampshire; University System Of New Hampshire; University of New Hampshire; Johns Hopkins University; Johns Hopkins University Applied Physics Laboratory; United States Department of Energy (DOE); Los Alamos National Laboratory</t>
  </si>
  <si>
    <t>Simms, L (corresponding author), Augsburg Univ, Dept Phys, Minneapolis, MN 55454 USA.</t>
  </si>
  <si>
    <t>simmsl@augsburg.edu</t>
  </si>
  <si>
    <t>Reeves, Geoffrey/E-8101-2011; Rodger, Craig/A-1501-2011; Gjerloev, Jesper/C-2116-2016</t>
  </si>
  <si>
    <t>Reeves, Geoffrey/0000-0002-7985-8098; Rodger, Craig J./0000-0002-6770-2707</t>
  </si>
  <si>
    <t>NSF [AGS-1264146, PLR-1341493, AGS-1651263]; NERC [NE/R016038/1, bas0100031, NE/P01738X/1] Funding Source: UKRI; Office of Polar Programs (OPP); Directorate For Geosciences [1341677, 1341493] Funding Source: National Science Foundation</t>
  </si>
  <si>
    <t>NSF(National Science Foundation (NSF)); NERC(UK Research &amp; Innovation (UKRI)Natural Environment Research Council (NERC)); Office of Polar Programs (OPP); Directorate For Geosciences(National Science Foundation (NSF)NSF - Directorate for Geosciences (GEO))</t>
  </si>
  <si>
    <t>We thank J. Bortnik, Y. Shprits, T. P. O'Brien, and an anonymous reviewer for their comments on a previous draft of this work, M. Ohnsted and N. Capman for EMIC wave identification, and R. Gamble for preparing and J.-J. Berthelier for providing DEMETER ICE data. Relativistic, seed, and source electron flux data were obtained from Los Alamos National Laboratory (LANL) geosynchronous energetic particle instruments (contact: G. D. Reeves). The ULF Pc5 index is available at http://ULF Pc5.gcras.ru/. The substorm list is available from SuperMAG (http://supermag.jhuapl.edu/, Principal Investigator Jesper Gjerloev), derived from magnetometer data from Intermagnet; USGS, Jeffrey J. Love; CARISMA, PI Ian Mann; CANMOS; the S-RAMP Database, PI K. Yumoto and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Rico Behlke; South Pole and McMurdo Magnetometer, PIs Louis J. Lanzarotti and Alan T. Weatherwax; ICESTAR; RAPIDMAG; PENGUIn; British Artarctic Survey; McMac, PI Peter Chi; BGS, PI Susan Macmillan; Pushkov Institute of Terrestrial Magnetism, Ionosphere and Radio Wave Propagation (IZMIRAN); GFZ, PI Juergen Matzka; MFGI, PI B. Heilig; IGFPAS, PI J. Reda; University of L'Aquila, PI M. Vellante. IMF Bz, Dst, and solar wind V, N, and P data are available from Goddard Space Flight Center Space Physics Data Facility at the OMNIWeb data website (http://omniweb.gsfc.nasa.gov/html/ow_data.html). Work at Augsburg University was supported by NSF grants AGS-1264146, PLR-1341493, and AGS-1651263.</t>
  </si>
  <si>
    <t>10.1029/2017JA025002</t>
  </si>
  <si>
    <t>Bronze, Green Accepted</t>
  </si>
  <si>
    <t>WOS:000435943300025</t>
  </si>
  <si>
    <t>Fritz, BA; Heavisides, J; Young, MA; Kim, H; Lessard, MR</t>
  </si>
  <si>
    <t>Fritz, Bruce A.; Heavisides, John; Young, Matthew A.; Kim, Hyomin; Lessard, Marc R.</t>
  </si>
  <si>
    <t>ELF Whistler Dependence on a Sunlit Ionosphere</t>
  </si>
  <si>
    <t>ionosphere; ELF whistler</t>
  </si>
  <si>
    <t>WAVES; PLASMA; INSTABILITY; EMISSIONS; PROPAGATION; ABSORPTION; DENSITY; TOPSIDE; MODEL</t>
  </si>
  <si>
    <t>Narrow bandwidth, whistler-like spectral features in the extremely low frequency (ELF) range were recorded at South Pole Station over the duration of 2004. A full year of observation shows a distinct lack of activity over the Antarctic winter season. A calculation of solar zenith angle at the time of detection illustrates a connection between the occurrence of ELF whistlers and a sunlit ionosphere. ELF whistlers detected at low latitude follow a similar general trend between ELF whistler occurrence rate and changing solar zenith angle, but with an additional persistence of detections after local sunset. Temporal profiles from the International Reference Ionosphere 2016 show that the peaks in ELF whistler occurrence align with times of changing ionospheric composition. Correlation with solar activity per the F-10.7 index shows no connection to daily variations in activity, and the consistency of solar flux levels throughout 2004 appears insufficient to explain the absence of events during the winter blackout. These observations place new physical constraints on the conditions necessary for detecting ELF whistlers and suggest the potential for localized generating mechanisms due to plasma instabilities in the ionosphere.</t>
  </si>
  <si>
    <t>[Fritz, Bruce A.; Heavisides, John; Young, Matthew A.; Lessard, Marc R.] Univ New Hampshire, Dept Phys, Durham, NH 03824 USA; [Young, Matthew A.] Boston Univ, Ctr Space Phys, Boston, MA 02215 USA; [Kim, Hyomin] New Jersey Inst Technol, Ctr Solar Terr Res, Newark, NJ 07102 USA</t>
  </si>
  <si>
    <t>University System Of New Hampshire; University of New Hampshire; Boston University; New Jersey Institute of Technology</t>
  </si>
  <si>
    <t>Fritz, BA (corresponding author), Univ New Hampshire, Dept Phys, Durham, NH 03824 USA.</t>
  </si>
  <si>
    <t>bruce.fritz@unh.edu</t>
  </si>
  <si>
    <t>Young, Matthew/0000-0003-2124-7814; Fritz, Bruce/0000-0003-0588-8558</t>
  </si>
  <si>
    <t>NSF [OPP-1247558]</t>
  </si>
  <si>
    <t>NSF(National Science Foundation (NSF))</t>
  </si>
  <si>
    <t>The authors wish to acknowledge the technicians at the South Pole Station Cusp Lab for keeping the ELF magnetometer system running over the years. We also thank Kaiti Wang of Taiwan for providing the list of ELF whistlers observed at Lulin Observatory. We acknowledge use of NASA/GSFC's Space Physics Data Facility's OMNIWeb service for providing F10.7 index values and for providing access to the IRI-2016 empirical model. ELF data for this work are available at the following URL: http://mirl.sr.unh.edu/ELF/. This work has been supported under NSF OPP-1247558.</t>
  </si>
  <si>
    <t>10.1029/2017JA024912</t>
  </si>
  <si>
    <t>WOS:000435943300043</t>
  </si>
  <si>
    <t>Kallistratova, MA; Petenko, IV; Kouznetsov, RD; Kulichkov, SN; Chkhetiani, OG; Chunchusov, IP; Lyulyukin, VS; Zaitseva, DV; Vazaeva, NV; Kuznetsov, DD; Perepelkin, VG; Bush, GA</t>
  </si>
  <si>
    <t>Kallistratova, M. A.; Petenko, I. V.; Kouznetsov, R. D.; Kulichkov, S. N.; Chkhetiani, O. G.; Chunchusov, I. P.; Lyulyukin, V. S.; Zaitseva, D. V.; Vazaeva, N. V.; Kuznetsov, D. D.; Perepelkin, V. G.; Bush, G. A.</t>
  </si>
  <si>
    <t>Sodar Sounding of the Atmospheric Boundary Layer: Review of Studies at the Obukhov Institute of Atmospheric Physics, Russian Academy of Sciences</t>
  </si>
  <si>
    <t>IZVESTIYA ATMOSPHERIC AND OCEANIC PHYSICS</t>
  </si>
  <si>
    <t>AM Obukhov; sound scattering by turbulence; atmospheric boundary layer; acoustic sounding; sodar; low-level jet; Kelvin-Helmholtz billows</t>
  </si>
  <si>
    <t>INTERNAL GRAVITY-WAVES; WIND-SPEED; TURBULENCE; MOSCOW; PROFILES; LIDAR</t>
  </si>
  <si>
    <t>Acoustic sounders (sodars) are the simplest and economically most effective devices for the ground-based remote sensing of the lower troposphere. Using sodars, a vast amount of knowledge about the structure and dynamics of the atmospheric boundary layer (ABL) has been obtained. The principal physics of sodar sounding was given by A. M. Obukhov in two short theoretical articles published in the Reports of the USSR Academy of Sciences in 1941: On the Scattering of Sound in a Turbulent Flow and On the Distribution of Energy in the Spectrum of a Turbulent Flow. In the late 1950s, Obukhov initiated the development of theoretical and experimental studies of sound scattering by turbulence, as well as a practical sodar sounding of the ABL at the Institute of Atmospheric Physics (IAPh). The present work is a short review of sodar applications in studies of the ABL based on results obtained at IAPh in the 1980s-2000s. The results of recent studies of low-level jets and Kelvin-Helmholtz billows in the stable stratified ABL are described in more detail.</t>
  </si>
  <si>
    <t>[Kallistratova, M. A.; Petenko, I. V.; Kouznetsov, R. D.; Kulichkov, S. N.; Chkhetiani, O. G.; Chunchusov, I. P.; Lyulyukin, V. S.; Zaitseva, D. V.; Vazaeva, N. V.; Kuznetsov, D. D.; Perepelkin, V. G.; Bush, G. A.] Russian Acad Sci, Obukhov Inst Atmospher Phys, Moscow 119017, Russia; [Petenko, I. V.] CNR, Inst Atmospher Sci &amp; Climate, I-00133 Rome, Italy; [Kouznetsov, R. D.] Finnish Meteorol Inst, FI-00101 Helsinki, Finland</t>
  </si>
  <si>
    <t>Russian Academy of Sciences; Obukhov Institute of Atmospheric Physics of Russian Academy of Sciences; Consiglio Nazionale delle Ricerche (CNR); Istituto di Scienze dell'Atmosfera e del Clima (ISAC-CNR); Finnish Meteorological Institute</t>
  </si>
  <si>
    <t>Zaitseva, DV (corresponding author), Russian Acad Sci, Obukhov Inst Atmospher Phys, Moscow 119017, Russia.</t>
  </si>
  <si>
    <t>zaycevadv@gmail.com</t>
  </si>
  <si>
    <t>Zaitseva, Daria/U-6240-2018; Перепелкин, Виталий Г/R-8541-2018; Vazaeva, Natalia/ABA-1244-2020; Kallistratova, Margarita/AAO-2840-2021; Kouznetsov, Rostislav/ABD-3737-2020; CHKHETIANI, OTTO/H-2134-2015; Lyulyukin, Vasily S/K-4364-2018</t>
  </si>
  <si>
    <t>CHKHETIANI, OTTO/0000-0002-8560-1520; Kouznetsov, Rostislav/0000-0001-5140-0037; Lyulyukin, Vasily/0000-0003-1484-8072; Vazaeva, Natalia/0000-0003-1015-0929</t>
  </si>
  <si>
    <t>State Program of the Russian Federations project [0150-2018-0047]; Russian Scientific Foundation [14-27-00134]; Russian Foundation or Basic Research [16-05-01072, 18-05-00576]; Italian National Program of Antarctic Research PNRA, project RMO Concordia; Italian National Program of Antarctic Research PNRA, project COMPASS; Finnish Academy of Sciences, project ASTREX; Finnish Academy of Sciences, project IS4FIRES</t>
  </si>
  <si>
    <t>State Program of the Russian Federations project; Russian Scientific Foundation(Russian Science Foundation (RSF)); Russian Foundation or Basic Research(Russian Foundation for Basic Research (RFBR)); Italian National Program of Antarctic Research PNRA, project RMO Concordia; Italian National Program of Antarctic Research PNRA, project COMPASS; Finnish Academy of Sciences, project ASTREX; Finnish Academy of Sciences, project IS4FIRES</t>
  </si>
  <si>
    <t>This study was supported by State Program of the Russian Federations project no. 0150-2018-0047; the Russian Scientific Foundation, project no. 14-27-00134; and the Russian Foundation or Basic Research, projects nos. 16-05-01072 and 18-05-00576. The sodar measurements in the Antarctic were supported by the Italian National Program of Antarctic Research PNRA, projects RMO Concordia and COMPASS; and the Finnish Academy of Sciences, projects ASTREX and IS4FIRES.</t>
  </si>
  <si>
    <t>0001-4338</t>
  </si>
  <si>
    <t>1555-628X</t>
  </si>
  <si>
    <t>IZV ATMOS OCEAN PHY+</t>
  </si>
  <si>
    <t>Izv. Atmos. Ocean. Phys.</t>
  </si>
  <si>
    <t>10.1134/S0001433818030088</t>
  </si>
  <si>
    <t>GJ7NZ</t>
  </si>
  <si>
    <t>WOS:000435575500004</t>
  </si>
  <si>
    <t>Vigo, MI; García-García, D; Sempere, MD; Chao, BF</t>
  </si>
  <si>
    <t>Vigo, Maria Isabel; Garcia-Garcia, David; Dolores Sempere, Maria; Chao, Ben F.</t>
  </si>
  <si>
    <t>3D Geostrophy and Volume Transport in the Southern Ocean</t>
  </si>
  <si>
    <t>ocean geostrophy; water volume transport; satellite geodesy; space gravity; altimetry; Argo; Southern Ocean; ACC</t>
  </si>
  <si>
    <t>ANTARCTIC CIRCUMPOLAR CURRENT; SATELLITE ALTIMETRY; GLOBAL OCEAN; IN-SITU; VARIABILITY; SURFACE; CIRCULATION; VELOCITY; CURRENTS; RECORD</t>
  </si>
  <si>
    <t>The 3D geostrophic currents and the associated volume transport (VT) can be estimated from the GOCE and Altimetry satellite data and in-situ temperature and salinity profiles measured by the Argo floats. We do so for the Southern Ocean between 20 degrees S and 65 degrees S with their time variability down to the depth of 1975 m (in 58 layers) over the 11-year period of 2004-2014. The results depict the Southern Ocean circulation where a zonal Antarctic Circumpolar Current (ACC) interacts with a meridional thermohaline circulation. The VT reproduces the polar front and the subantarctic front of the ACC, as well as the large scale and mesoscale currents in the Southern Ocean. Our estimates for the Agulhas current and the East Australia currents are also quantitatively comparable with results from other approaches in the literature based on in-situ data. For ACC, the estimated VT at the Drake Passage is 185 Sv for the norm of the time average VT, or 202 Sv for the mean of the norms of the monthly VT, which are larger than previous estimations (ranging from 134 to 175 Sv). The estimate is potentially reconciled when only the zonal transport is considered (181 Sv). The Drake Passage total VT appears to be quite stable during the studied period, unlike its (dominant) zonal and meridional components which show higher variability that mostly compensate each other. The spatially averaged ACC VT shows per 1 degrees width in the main stream a mean value of 29.6 Sv or 35.8 Sv (depending on the method used), an annual signal with an amplitude of 0.33 +/- 0.06 Sv that peaks in early April, with no significant semi-annual signals nor linear trend. Water transports of barotropic and baroclinic origin have been isolated in the VT series showing that 75% of transport is barotropic and the remaining 25% baroclinic, while the variability and annual signal in the ACC is fully barotropic.</t>
  </si>
  <si>
    <t>[Vigo, Maria Isabel; Garcia-Garcia, David; Dolores Sempere, Maria] Univ Alicante, Dept Appl Math, E-03080 Alicante, Spain; [Chao, Ben F.] Acad Sinica, Inst Earth Sci, Taipei 11529, Taiwan</t>
  </si>
  <si>
    <t>Universitat d'Alacant; Academia Sinica - Taiwan</t>
  </si>
  <si>
    <t>Vigo, MI (corresponding author), Univ Alicante, Dept Appl Math, E-03080 Alicante, Spain.</t>
  </si>
  <si>
    <t>vigo@ua.es; d.garcia@ua.es; m.sempere@ua.es; bfchao@earth.sinica.edu.tw</t>
  </si>
  <si>
    <t>Aguiar, Isabel Vigo/L-6267-2014; Chao, Benjamin Fong/N-6156-2013; Garcia, David/L-7535-2014</t>
  </si>
  <si>
    <t>Aguiar, Isabel Vigo/0000-0002-6102-946X; Garcia, David/0000-0002-7273-9037</t>
  </si>
  <si>
    <t>Taiwan MoST [106-2116-M-001-013]</t>
  </si>
  <si>
    <t>Taiwan MoST</t>
  </si>
  <si>
    <t>This research was funded by Taiwan MoST grant number106-2116-M-001-013.</t>
  </si>
  <si>
    <t>10.3390/rs10050715</t>
  </si>
  <si>
    <t>GJ3MA</t>
  </si>
  <si>
    <t>WOS:000435198400057</t>
  </si>
  <si>
    <t>Timokhov, LA; Ivanov, VV; Kassens, H; Lebedev, NV; Frolov, IY; Hölemann, J</t>
  </si>
  <si>
    <t>Timokhov, L. A.; Ivanov, V. V.; Kassens, H.; Lebedev, N. V.; Frolov, I. Ye; Hoelemann, J.</t>
  </si>
  <si>
    <t>Climatic Changes in the Dynamic Topography and Geostrophic Circulation of the Arctic Ocean</t>
  </si>
  <si>
    <t>DOKLADY EARTH SCIENCES</t>
  </si>
  <si>
    <t>According to historical oceanographic data, anomalies in the dynamic topography during the winter period were calculated and two climatic stages of dynamic condition of the Arctic Ocean were defined: 1949-1993 and 2007-2013. The associativity of opposition of anomalies in the dynamic topography of the Eurasian and Amerasian basins with fluctuations in the thermal condition of the Northern Atlantic and Pacific oceans, the indexes of atmospheric circulation, river runoff, and change in the area of ice in August of the Laptev, East Siberian, and Chukchi seas is established.</t>
  </si>
  <si>
    <t>[Timokhov, L. A.; Ivanov, V. V.; Lebedev, N. V.; Frolov, I. Ye] Inst Arctic &amp; Antarctic Res Inst, St Petersburg, Russia; [Ivanov, V. V.] Moscow MV Lomonosov State Univ, Moscow, Russia; [Kassens, H.] GEOMAR Helmholtz Ctr Ocean Res, Kiel, Germany; [Hoelemann, J.] Helmholtz Ctr Polar &amp; Marine Res, Alfred Wegener Inst, Bremerhaven, Germany</t>
  </si>
  <si>
    <t>Lomonosov Moscow State University; Helmholtz Association; GEOMAR Helmholtz Center for Ocean Research Kiel; Helmholtz Association; Alfred Wegener Institute, Helmholtz Centre for Polar &amp; Marine Research</t>
  </si>
  <si>
    <t>Timokhov, LA (corresponding author), Inst Arctic &amp; Antarctic Res Inst, St Petersburg, Russia.</t>
  </si>
  <si>
    <t>ltim@aari.nw.ru</t>
  </si>
  <si>
    <t>Ivanov, Vladimir/J-5979-2014; Hoelemann, Jens/N-3608-2016</t>
  </si>
  <si>
    <t>Ivanov, Vladimir/0000-0003-2569-6027; Hoelemann, Jens/0000-0001-5102-4086</t>
  </si>
  <si>
    <t>Ministry of Education and Science of the Russian Federation [RFMEFI61617X0076]</t>
  </si>
  <si>
    <t>Ministry of Education and Science of the Russian Federation(Ministry of Education and Science, Russian Federation)</t>
  </si>
  <si>
    <t>This work was funded by the Ministry of Education and Science of the Russian Federation (the unique identifier of the project is RFMEFI61617X0076).</t>
  </si>
  <si>
    <t>1028-334X</t>
  </si>
  <si>
    <t>1531-8354</t>
  </si>
  <si>
    <t>DOKL EARTH SCI</t>
  </si>
  <si>
    <t>Dokl. Earth Sci.</t>
  </si>
  <si>
    <t>10.1134/S1028334X18050318</t>
  </si>
  <si>
    <t>GJ4OU</t>
  </si>
  <si>
    <t>WOS:000435361200031</t>
  </si>
  <si>
    <t>Pedrana, J; Pütz, K; Bernad, L; Pon, JPS; Gorosabel, A; Muñoz, SD; Isacch, JP; Matus, R; Blank, O; Lüthi, B; Lunardelli, M; Rojas, P</t>
  </si>
  <si>
    <t>Pedrana, Julieta; Puetz, Klemens; Bernad, Lucia; Seco Pon, Juan Pablo; Gorosabel, Antonella; Munoz, Sebastian D.; Pablo Isacch, Juan; Matus, Ricardo; Blank, Olivia; Luthi, Benno; Lunardelli, Melina; Rojas, Pablo</t>
  </si>
  <si>
    <t>Migration routes and stopover sites of Upland Geese Chloephaga picta in South America</t>
  </si>
  <si>
    <t>AVIAN BIOLOGY RESEARCH</t>
  </si>
  <si>
    <t>Argentina; conservation; migration; Patagonia; satellite tracking; waterfowl</t>
  </si>
  <si>
    <t>SATELLITE TRACKING; GOOSE; RUBIDICEPS; CONSERVATION; SHELDGEESE; ALBATROSSES; DISTURBANCE; ATTACHMENT; MOVEMENTS; IMPACTS</t>
  </si>
  <si>
    <t>The Upland Goose (Chloephaga picta picta) is a migratory species of South America, which breeds from September to April in Patagonia (Argentina and Chile) and winters from May to September in the southern Pampas (Argentina). Despite some protection in both countries, this species is still persecuted and large numbers are killed by unregulated hunting. Therefore, precise knowledge of their migratory routes is vital to ensure protection of necessary resources and sites throughout the year. We deployed five miniaturised satellite transmitters on adult Upland Geese to gather data about breeding, wintering and stopover sites all along their migratory routes. We aimed to identify important areas in the wintering and breeding grounds through kernel density analyses, and to match these sites along the migration routes with protected areas. Tracked birds exhibited different migration routes and reached different breeding grounds. Two individuals travelled from their wintering grounds in Buenos Aires province to their presumed breeding areas in southern Patagonia. However, we also found different stopover sites from another bird in northern Patagonia, from the ones postulated before, and evidence that some Upland Geese are not large-scale migrants. Our results highlight a considerable amount of plasticity in Upland Geese migratory behaviour. This study represents an essential first step towards identifying important stopover sites along the Upland Geese flyways and it also highlights the lack of protected habitats along most of their migration routes.</t>
  </si>
  <si>
    <t>[Pedrana, Julieta] Consejo Nacl Invest Cient &amp; Tecn, Recursos Nat &amp; Gest Ambiental, INTA, Estn Expt Agr EEA Balcarce, Ruta 226 Km 73-5, RA-7620 Balcarce, Argentina; [Puetz, Klemens] Antarctic Res Trust, Oste Hamme Kanal 10, D-27432 Bremervorde, Germany; [Bernad, Lucia; Gorosabel, Antonella; Munoz, Sebastian D.] INTA, EEA Balcarce, Recursos Nat &amp; Gest Ambiental, Ruta 226 Km 73-5, RA-7620 Balcarce, Argentina; [Seco Pon, Juan Pablo; Pablo Isacch, Juan] Univ Nacl Mar del Plata, IIMyC, CONICET, Funes 3250, RA-7600 Mar Del Plata, Buenos Aires, Argentina; [Matus, Ricardo; Blank, Olivia] Ctr Rehabil Aves Lenadura, Kilometro 7 Sur, Punta Arenas, Chile; [Luthi, Benno] Antarctic Res Trust Switzerland, Gen Guisanstr 5, CH-8127 Forch, Switzerland; [Lunardelli, Melina; Rojas, Pablo] OPDS, Calle 12 &amp; 53 Torre 2 Piso 14, RA-1900 La Plata, Buenos Aires, Argentina</t>
  </si>
  <si>
    <t>Consejo Nacional de Investigaciones Cientificas y Tecnicas (CONICET); Instituto Nacional de Tecnologia Agropecuaria (INTA); Instituto Nacional de Tecnologia Agropecuaria (INTA); Consejo Nacional de Investigaciones Cientificas y Tecnicas (CONICET); National University of Mar del Plata</t>
  </si>
  <si>
    <t>Pedrana, J (corresponding author), Consejo Nacl Invest Cient &amp; Tecn, Recursos Nat &amp; Gest Ambiental, INTA, Estn Expt Agr EEA Balcarce, Ruta 226 Km 73-5, RA-7620 Balcarce, Argentina.</t>
  </si>
  <si>
    <t>pedrana.julieta@inta.gob.ar</t>
  </si>
  <si>
    <t>Seco Pon, Juan Pablo/0000-0003-2480-5455; Puetz, Klemens/0000-0003-1375-2669; pedrana, julieta/0000-0002-0908-7865</t>
  </si>
  <si>
    <t>Antarctic Research Trust; INTA [PNNAT-1128053]; National Agency for Science and Technology, Argentina [2012-0192]</t>
  </si>
  <si>
    <t>Antarctic Research Trust; INTA; National Agency for Science and Technology, Argentina</t>
  </si>
  <si>
    <t>This work was funded by the Antarctic Research Trust, INTA (PNNAT-1128053) and the National Agency for Science and Technology, Argentina (PICT No. 2012-0192). We thank P. Lertora, V. Caballero, N. Martinez Cursi, G. Castresana, A. Leiss, D. Novoa and D. MacLean for their generous help with fieldwork and logistical support.</t>
  </si>
  <si>
    <t>1758-1559</t>
  </si>
  <si>
    <t>1758-1567</t>
  </si>
  <si>
    <t>AVIAN BIOL RES</t>
  </si>
  <si>
    <t>Avian Biol. Res.</t>
  </si>
  <si>
    <t>10.3184/175815618X15179180488510</t>
  </si>
  <si>
    <t>Agriculture, Dairy &amp; Animal Science; Ornithology; Zoology</t>
  </si>
  <si>
    <t>Agriculture; Zoology</t>
  </si>
  <si>
    <t>GJ1PG</t>
  </si>
  <si>
    <t>WOS:000435029500004</t>
  </si>
  <si>
    <t>Jackson, DR; Gadian, A; Hindley, NP; Hoffmann, L; Hughes, J; King, J; Moffat-Griffin, T; Moss, AC; Ross, AN; Vosper, SB; Wright, CJ; Mitchell, NJ</t>
  </si>
  <si>
    <t>Jackson, D. R.; Gadian, A.; Hindley, N. P.; Hoffmann, L.; Hughes, J.; King, J.; Moffat-Griffin, T.; Moss, A. C.; Ross, A. N.; Vosper, S. B.; Wright, C. J.; Mitchell, N. J.</t>
  </si>
  <si>
    <t>THE SOUTH GEORGIA WAVE EXPERIMENT A Means for Improved Analysis of Gravity Waves and Low-Level Wind Impacts Generated from Mountainous Islands</t>
  </si>
  <si>
    <t>BULLETIN OF THE AMERICAN METEOROLOGICAL SOCIETY</t>
  </si>
  <si>
    <t>PAST ISOLATED TOPOGRAPHY; OROGRAPHIC DRAG; AERIAL OBSERVATIONS; AUCKLAND ISLANDS; CLIMATE MODELS; FLOW; WAKE; PARAMETRIZATION; STRATOSPHERE; PROPAGATION</t>
  </si>
  <si>
    <t>New observations at South Georgia (an extremely intense source of gravity waves) are used to evaluate model simulations of gravity waves and wakes.</t>
  </si>
  <si>
    <t>[Jackson, D. R.; Vosper, S. B.] Met Off, Exeter, Devon, England; [Jackson, D. R.; Hindley, N. P.; Moss, A. C.; Wright, C. J.; Mitchell, N. J.] Univ Bath, Bath, Avon, England; [Gadian, A.; Hindley, N. P.; Hughes, J.; Ross, A. N.; Vosper, S. B.] Univ Leeds, Leeds, W Yorkshire, England; [Hoffmann, L.] Forschungszentrum Julich, Julich, Germany; [King, J.; Moffat-Griffin, T.] British Antarctic Survey, Cambridge, England</t>
  </si>
  <si>
    <t>Met Office - UK; University of Bath; University of Leeds; Helmholtz Association; Research Center Julich; UK Research &amp; Innovation (UKRI); Natural Environment Research Council (NERC); NERC British Antarctic Survey</t>
  </si>
  <si>
    <t>Jackson, DR (corresponding author), Met Off, Exeter, Devon, England.;Jackson, DR (corresponding author), Univ Bath, Bath, Avon, England.</t>
  </si>
  <si>
    <t>david.jackson@metoffice.gov.uk</t>
  </si>
  <si>
    <t>Ross, Andrew N/D-9312-2011; Hoffmann, Lars/ABI-3746-2020; Hoffmann, Lars/A-5173-2013; Wright, Corwin/J-4598-2014</t>
  </si>
  <si>
    <t>Ross, Andrew N/0000-0002-8631-3512; Hoffmann, Lars/0000-0003-3773-4377; Hoffmann, Lars/0000-0003-3773-4377; Jackson, David/0000-0001-6387-6876; Hindley, Neil/0000-0003-4377-2038; Wright, Corwin/0000-0003-2496-953X</t>
  </si>
  <si>
    <t>Natural Environment Research Council (NERC) [NE/K015117/1, NE/K012584/1, NE/K012614/1]; NERC [NE/K012584/1, NE/K012614/1, bas0100032] Funding Source: UKRI; Natural Environment Research Council [NE/K012614/1, NE/K012584/1, bas0100032] Funding Source: researchfish</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</si>
  <si>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t>
  </si>
  <si>
    <t>The SG-WEX project was supported by the Natural Environment Research Council (NERC) under Grants NE/K015117/1, NE/K012584/1, and NE/K012614/1. We also acknowledge use of the MONSooN system, a collaborative facility supplied under the Joint Weather and Climate Research Programme, a strategic partnership between the Met Office and NERC.</t>
  </si>
  <si>
    <t>0003-0007</t>
  </si>
  <si>
    <t>1520-0477</t>
  </si>
  <si>
    <t>B AM METEOROL SOC</t>
  </si>
  <si>
    <t>Bull. Amer. Meteorol. Soc.</t>
  </si>
  <si>
    <t>10.1175/BAMS-D-16-0151.1</t>
  </si>
  <si>
    <t>GH8CF</t>
  </si>
  <si>
    <t>WOS:000433893400012</t>
  </si>
  <si>
    <t>Billups, K; York, K; Bradtmiller, LI</t>
  </si>
  <si>
    <t>Billups, Katharina; York, Kelsee; Bradtmiller, Louisa I.</t>
  </si>
  <si>
    <t>Water Column Stratification in the Antarctic Zone of the Southern Ocean During the Mid-Pleistocene Climate Transition</t>
  </si>
  <si>
    <t>PALEOCEANOGRAPHY AND PALEOCLIMATOLOGY</t>
  </si>
  <si>
    <t>MIDDLE PLEISTOCENE TRANSITION; CARBON-DIOXIDE CONCENTRATION; SEA-SURFACE TEMPERATURE; LATE QUATERNARY; BIOGENIC OPAL; EVOLUTION; INTENSIFICATION; CIRCULATION; RECORD; VIEW</t>
  </si>
  <si>
    <t>We use biogenic silica (opal) mass accumulating rates (MARs) at Ocean Drilling Program Site 745B to infer upwelling, and by extension upper water column stratification, on glacial to interglacial time scales during the mid-Pleistocene climate transition (MPT; 1.2-0.6Ma). Distinct variations in the percent biogenic silica content of the sediments parallel the global benthic foraminiferal delta O-18 stack affording the derivation of an orbital-scale age model. Opal MARs confirm that silica production/preservation was indeed at a minimum at each of the glacial maxima during the entire MPT consistent with the late Pleistocene model that links upwelling of dissolved silica with water column stratification. A unique relationship between opal MARs and benthic foraminiferal delta C-13 values in the South Atlantic suggests that during the midpoint of the MPT stratification may also be causally related to deep water circulation. However, there is no evidence that cooling during the MPT and the evolution of the 100 kyr climate cycle are linked to changes in water column stratification. Terrigenous sediment MARs, on the other hand, which can be inferred from the proportion of biogenic silica in the sediments at this particular site, provide evidence for increased glacial activity on Antarctica beginning with the onset of the MPT and culminating in a maximum during its midpoint (Marine Isotope Stage 22, 0.9Ma). Thereafter, glacial activity decreases and we speculate that the evolution of the 100 kyr cycle is associated with a thickening ice sheet after reaching maximum extent somewhat analogous to the processes proposed for Northern Hemisphere ice sheets.</t>
  </si>
  <si>
    <t>[Billups, Katharina] Univ Delaware, Sch Marine Sci &amp; Policy, Lewes, DE 19958 USA; [York, Kelsee; Bradtmiller, Louisa I.] Macalester Coll, Dept Environm Studies, St Paul, MN 55105 USA</t>
  </si>
  <si>
    <t>University of Delaware; Macalester College</t>
  </si>
  <si>
    <t>Billups, K (corresponding author), Univ Delaware, Sch Marine Sci &amp; Policy, Lewes, DE 19958 USA.</t>
  </si>
  <si>
    <t>kbillups@udel.edu</t>
  </si>
  <si>
    <t>Bradtmiller, Louisa/IYJ-9617-2023</t>
  </si>
  <si>
    <t>Bradtmiller, Louisa/0000-0001-6595-6095</t>
  </si>
  <si>
    <t>U.S. National Science Foundation (NSF); Macalester College</t>
  </si>
  <si>
    <t>U.S. National Science Foundation (NSF)(National Science Foundation (NSF)); Macalester College</t>
  </si>
  <si>
    <t>We thank the Editor, Barker, for handling the manuscript and two anonymous reviewers for their constructive feedback. This research used samples collected by the Ocean Drilling Program (ODP) and provided by the International Ocean Discovery Program (IODP). ODP and IODP are sponsored by the U.S. National Science Foundation (NSF) and participating countries. Macalester College provided student summer research funding. All data are archived electronically at the NOAA World Data Center-A for Paleoclimate (https://www.ncdc.noaa.gov/data-access/paleoclimatology-data).</t>
  </si>
  <si>
    <t>2572-4517</t>
  </si>
  <si>
    <t>2572-4525</t>
  </si>
  <si>
    <t>PALEOCEANOGR PALEOCL</t>
  </si>
  <si>
    <t>Paleoceanogr. Paleoclimatology</t>
  </si>
  <si>
    <t>10.1029/2018PA003327</t>
  </si>
  <si>
    <t>Geosciences, Multidisciplinary; Oceanography; Paleontology</t>
  </si>
  <si>
    <t>Geology; Oceanography; Paleontology</t>
  </si>
  <si>
    <t>GJ3ZW</t>
  </si>
  <si>
    <t>WOS:000435281200001</t>
  </si>
  <si>
    <t>Pöppelmeier, F; Gutjahr, M; Blaser, P; Keigwin, LD; Lippold, J</t>
  </si>
  <si>
    <t>Poeppelmeier, F.; Gutjahr, M.; Blaser, P.; Keigwin, L. D.; Lippold, J.</t>
  </si>
  <si>
    <t>Origin of Abyssal NW Atlantic Water Masses Since the Last Glacial Maximum</t>
  </si>
  <si>
    <t>WESTERN NORTH-ATLANTIC; NEODYMIUM ISOTOPIC COMPOSITION; MERIDIONAL OVERTURNING CIRCULATION; RARE-EARTH-ELEMENTS; DEEP-WATER; OCEAN CIRCULATION; LABRADOR SEA; SEDIMENTS; SEAWATER; COMPILATION</t>
  </si>
  <si>
    <t>The notion of a shallow northern sourced intermediate water mass is a well evidenced feature of the Atlantic circulation scheme of the Last Glacial Maximum (LGM). However, recent observations from stable carbon isotopes (delta C-13) at the Corner Rise in the deep northwest Atlantic suggested a significant contribution of a Northern Component Water mass to the abyssal northwest Atlantic basin that has not been described before. Here we test the hypothesis of this northern sourced water mass underlying the southern sourced glacial Antarctic Bottom Water by measuring the authigenic neodymium (Nd) isotopic composition from the same sediments from 5,010-m water depth. Neodymium isotopes act as a semiconservative water mass tracer capable of distinguishing between Northern and Southern Component Waters at the northwest Atlantic. Our new Nd isotopic record resolves various water mass changes from the LGM to the early Holocene in agreement with existing Nd-based reconstructions from across the west Atlantic Ocean. Especially pronounced are the Younger Dryas and BOlling-AllerOd with unprecedented changes in the Nd isotopic composition. For the LGM we found Nd isotopic evidence for a northern sourced water mass contributing to abyssal depths, thus being in agreement with previous C-13 data from Corner Rise. Overall, however, the deep northwest Atlantic was still dominated by southern sourced water, since we found signatures that are intermediate between northern and southern end member compositions. Furthermore, this new record indicates that C and Nd isotopes were partly decoupled, pointing to nonconservative behavior of one or more likely of both water mass proxies during the LGM.</t>
  </si>
  <si>
    <t>[Poeppelmeier, F.; Blaser, P.; Lippold, J.] Heidelberg Univ, Inst Earth Sci, Heidelberg, Germany; [Gutjahr, M.] GEOMAR Helmholtz Ctr Ocean Res Kiel, Kiel, Germany; [Keigwin, L. D.] Woods Hole Oceanog Inst, Dept Geol &amp; Geophys, Woods Hole, MA 02543 USA</t>
  </si>
  <si>
    <t>Ruprecht Karls University Heidelberg; Helmholtz Association; GEOMAR Helmholtz Center for Ocean Research Kiel; Woods Hole Oceanographic Institution</t>
  </si>
  <si>
    <t>Pöppelmeier, F (corresponding author), Heidelberg Univ, Inst Earth Sci, Heidelberg, Germany.</t>
  </si>
  <si>
    <t>frerk.poeppelmeier@geow.uni-heidelberg.de</t>
  </si>
  <si>
    <t>Blaser, Patrick/ABA-3175-2021; Gutjahr, Marcus/ABC-2674-2020; Gutjahr, Marcus/L-9158-2013</t>
  </si>
  <si>
    <t>Gutjahr, Marcus/0000-0003-2556-2619; Gutjahr, Marcus/0000-0003-2556-2619; Lippold, Jorg/0000-0003-1976-5065; Blaser, Patrick/0000-0001-8102-9777; Poppelmeier, Frerk/0000-0003-4050-2550</t>
  </si>
  <si>
    <t>Emmy-Noether Programme of the German Research Foundation (DFG) [Li1815/4]</t>
  </si>
  <si>
    <t>Emmy-Noether Programme of the German Research Foundation (DFG)(German Research Foundation (DFG))</t>
  </si>
  <si>
    <t>We thank Ilse Glass and Laura Hauck for laboratory assistance as well as Scott Lehman for providing the 14C AMS age of AII-107 22GGC. Sediment material was partly provided by the ODP/IODP core repository Bremen. Financial support for this research was provided by the Emmy-Noether Programme of the German Research Foundation (DFG) through grant Li1815/4. Figure was partly produced using the ODV software (Schlitzer, 2017. Ocean data view, http://odv.awi.de). Data from this study can be found in the supporting information (Tables S2-S5) and on Pangaea (www.pangaea.de). We further thank David Wilson and an anonymous reviewer for their detailed and constructive criticism.</t>
  </si>
  <si>
    <t>10.1029/2017PA003290</t>
  </si>
  <si>
    <t>WOS:000435281200007</t>
  </si>
  <si>
    <t>Havermans, C; Smetacek, V</t>
  </si>
  <si>
    <t>Havermans, Charlotte; Smetacek, Victor</t>
  </si>
  <si>
    <t>Bottom-up and top-down triggers of diversification: A new look at the evolutionary ecology of scavenging amphipods in the deep sea</t>
  </si>
  <si>
    <t>PROGRESS IN OCEANOGRAPHY</t>
  </si>
  <si>
    <t>Abyss; Hadal zone; Chemical detection; Size escape; Carrion; Food fall; Soft-bodied zooplankton; Lysianassoidea</t>
  </si>
  <si>
    <t>LYSIANASSID AMPHIPOD; NORTHEAST ATLANTIC; EURYTHENES-GRYLLUS; LIFE-HISTORY; AMINO-ACIDS; FOOD-WEB; PTEROPOD SEDIMENTATION; VERTICAL MIGRATION; PELAGIC TUNICATES; ORGANIC-MATTER</t>
  </si>
  <si>
    <t>The initial, anthropocentric view of the deep ocean was that of a hostile environment inhabited by organisms rendered lethargic by constant high pressure, low temperature and sparse food supply, hence evolving slowly. This conceptual framework of a spatially and temporally homogeneous, connected, strongly bottom-up controlled habitat implied a strong constraint on, or poor incentive for, speciation. Hence, the discovery in the late 1960s of high species diversity of abyssal benthic invertebrates came as a surprise. Since then, the slow-motion view of deep-sea ecology and evolution has speeded up and diversified in the light of increasing evidence accumulating from in situ visual observations complemented by molecular and other tools. The emerging picture is that of a much livelier, highly diversified and more complex deep-sea fauna than previously assumed. In this review we examine the consequences of the incoming information for developing a broader view of evolutionary ecology in the deep sea, and for scavenging amphipods in particular. We revisit the food supply to the deep-sea floor and hypothesize that the dead bodies of animals, ranging from zooplankton to large fish are likely to be a more important source of food than their friable faeces. Camera observations of baited traps indicate that amphipod carrion-feeders arrive within hours at the bait which continues to draw new individuals for days to months later, presumably by scent trails in tidal currents. We explore the different stages of food acquisition upon which natural selection may have acted, from detection to ingestion, and discuss the possibility of a broader range of food acquisition strategies, including predation and specializations. Although currently neglected in deep-sea ecology, top-down factors are likely to play a more important role in the evolution of deepsea organisms. Predation on amphipods at baits by bathyal and abyssal fishes, and large predatory crustaceans in the hadal zone, is often observed. Finally, we develop hypotheses regarding the effects of past, present and imminent anthropogenic activities on scavenger biomass and how these can be tested with the most modern tools.</t>
  </si>
  <si>
    <t>[Havermans, Charlotte] Univ Bremen, Bremen Marine Ecol BreMarE, Marine Zool, POB 330440, D-28334 Bremen, Germany; [Havermans, Charlotte; Smetacek, Victor] Helmholtz Ctr Polar &amp; Marine Res, Alfred Wegener Inst, Handelshafen 12, D-27570 Bremerhaven, Germany</t>
  </si>
  <si>
    <t>University of Bremen; Helmholtz Association; Alfred Wegener Institute, Helmholtz Centre for Polar &amp; Marine Research</t>
  </si>
  <si>
    <t>Havermans, C (corresponding author), Univ Bremen, Bremen Marine Ecol BreMarE, Marine Zool, POB 330440, D-28334 Bremen, Germany.</t>
  </si>
  <si>
    <t>Charlotte.Havermans@awi.de</t>
  </si>
  <si>
    <t>Havermans, Charlotte/0000-0002-1126-4074</t>
  </si>
  <si>
    <t>Deutsche Forschungsgemeinschaft (DFG, German Science Foundation) [HA 7627/1-1]; Hanse-Wissenschaftskolleg in Delmenhorst</t>
  </si>
  <si>
    <t>Deutsche Forschungsgemeinschaft (DFG, German Science Foundation)(German Research Foundation (DFG)); Hanse-Wissenschaftskolleg in Delmenhorst</t>
  </si>
  <si>
    <t>This work was supported by the Deutsche Forschungsgemeinschaft (DFG, German Science Foundation) in the framework of the priority program Antarctic Research with Comparative Investigations in Glaciated Areas of the Arctic with the grant HA 7627/1-1 (C. Havermans). We thank the director and staff of the Hanse-Wissenschaftskolleg in Delmenhorst for hosting the first author with a Junior Fellowship in 2015, during which this review on deep-sea amphipods was initiated. We thank the two anonymous reviewers for their valuable comments on the previous versions of the manuscript.</t>
  </si>
  <si>
    <t>0079-6611</t>
  </si>
  <si>
    <t>1873-4472</t>
  </si>
  <si>
    <t>PROG OCEANOGR</t>
  </si>
  <si>
    <t>Prog. Oceanogr.</t>
  </si>
  <si>
    <t>10.1016/j.pocean.2018.04.008</t>
  </si>
  <si>
    <t>GH7SL</t>
  </si>
  <si>
    <t>WOS:000433653600004</t>
  </si>
  <si>
    <t>Chetverikov, YO; Aruev, NN; Bulat, SA; Gruzdov, KA; Ezhov, VF; Jean-Baptiste, P; Kamenskii, IL; Lipenkov, VY; Prasolov, EM; Solovei, VA; Tyukal'tsev, RV; Fedichkin, IL</t>
  </si>
  <si>
    <t>Chetverikov, Yu. O.; Aruev, N. N.; Bulat, S. A.; Gruzdov, K. A.; Ezhov, V. F.; Jean-Baptiste, P.; Kamenskii, I. L.; Lipenkov, V. Ya.; Prasolov, E. M.; Solovei, V. A.; Tyukal'tsev, R. V.; Fedichkin, I. L.</t>
  </si>
  <si>
    <t>Content and Isotope Ratios of Noble Gases in Congelation Ice of Lake Vostok</t>
  </si>
  <si>
    <t>TECHNICAL PHYSICS</t>
  </si>
  <si>
    <t>ANTARCTIC ICE; SUBGLACIAL LAKE; HELIUM-ISOTOPES; EAST ANTARCTICA; CORE; BAIKAL; SHEET; ORIGIN; CRUST; HEAT</t>
  </si>
  <si>
    <t>Isotope ratios of noble gases (He, Ne, Ar) were studied in samples collected by degassing of cores of water frozen over a glacier of Lake Vostok. The gases were collected into glass retorts during three days of degassing of cores, which have just been extracted from the borehole. Within the error, the isotope He-3/He-4 ratios of 0.28 +/- 0.08 R (A) (R (A) = 1.38 x 10(-6) is the ratio for air) correspond to those from [1]. The He-4/Ne-20 and Ar-40/Ar-36 ratios (12.4 +/- 4.6 R (A) and 1.0074 +/- 0.0023 R (A), respectively) exceed their contents in air (He-4/Ne-20(A) = 0.29; Ar-40/Ar-36(A) = 298.6) and may indicate some contribution of terrigenous gas to the gaseous balance of the lake, as well as the high content of ancient ground waters in the lake. The He-3/He-4 ratio of 0.28 R (A) means low mantle He-3 flux typical of continental platforms far from active rift zones.</t>
  </si>
  <si>
    <t>[Chetverikov, Yu. O.; Bulat, S. A.; Ezhov, V. F.; Solovei, V. A.] Natl Res Ctr Kurchatov Inst, Konstantinov Petersburg Nucl Phys Inst, Gatchina 188300, Russia; [Jean-Baptiste, P.] CNRS Orme Merisiers, LSCE, F-91191 Gif Sur Yvette, France; [Lipenkov, V. Ya.] Arctic &amp; Antarctic Res Inst, Fed Serv Hydrometeorol &amp; Environm Monitoring, St Petersburg 199397, Russia; [Gruzdov, K. A.; Prasolov, E. M.] Karpinskii Russian Geol Res Inst, St Petersburg 199106, Russia; [Aruev, N. N.; Tyukal'tsev, R. V.; Fedichkin, I. L.] Russian Acad Sci, Ioffe Inst, St Petersburg 194021, Russia; [Kamenskii, I. L.] Russian Acad Sci, Kola Sci Ctr, Apatity 184209, Russia</t>
  </si>
  <si>
    <t>National Research Centre - Kurchatov Institute; Petersburg Nuclear Physics Institute; CEA; Centre National de la Recherche Scientifique (CNRS); Universite Paris Saclay; Arctic &amp; Antarctic Research Institute; A.P. Karpinsky Russian Geological Research Institute (VSEGEI); Russian Academy of Sciences; St. Petersburg Scientific Centre of the Russian Academy of Sciences; Ioffe Physical Technical Institute; Russian Academy of Sciences; Kola Science Centre of the Russian Academy of Sciences</t>
  </si>
  <si>
    <t>Chetverikov, YO (corresponding author), Natl Res Ctr Kurchatov Inst, Konstantinov Petersburg Nucl Phys Inst, Gatchina 188300, Russia.</t>
  </si>
  <si>
    <t>yurka@lns.pnpi.spb.ru</t>
  </si>
  <si>
    <t>Ezhov, Victor/K-3798-2019; Chetverikov, Yuriy/JOZ-2546-2023</t>
  </si>
  <si>
    <t>Chetverikov, Yuriy/0000-0003-0144-7456</t>
  </si>
  <si>
    <t>Russian Foundation for Basic Research [16-55-16021 NTsNIL_a, 16-05-00845, 15-05-08849]</t>
  </si>
  <si>
    <t>This work was partly supported by the Russian Foundation for Basic Research (projects nos. 16-55-16021 NTsNIL_a, 16-05-00845, 15-05-08849). The authors are grateful to colleagues A.A. Ekaikin (Arctic and Antarctic Research Institute) and S.N. Klyamkin and A.A. Eliseev (Moscow State University) for fruitful discussions and altruistic support of the work.</t>
  </si>
  <si>
    <t>1063-7842</t>
  </si>
  <si>
    <t>1090-6525</t>
  </si>
  <si>
    <t>TECH PHYS+</t>
  </si>
  <si>
    <t>Tech. Phys.</t>
  </si>
  <si>
    <t>10.1134/S1063784218050055</t>
  </si>
  <si>
    <t>GI7ZC</t>
  </si>
  <si>
    <t>WOS:000434721100017</t>
  </si>
  <si>
    <t>Veevers, JJ</t>
  </si>
  <si>
    <t>Veevers, J. J.</t>
  </si>
  <si>
    <t>Gamburtsev Subglacial Mountains: Age and composition from morainal clasts and U-Pb and Hf-isotopic analysis of detrital zircons in the Lambert Rift, and potential provenance of East Gondwanaland sediments</t>
  </si>
  <si>
    <t>EARTH-SCIENCE REVIEWS</t>
  </si>
  <si>
    <t>Gamburtsev Subglacial Mountains; U-Pb detrital-zircon ages; Hf-isotopes; Paleoslope indicators; East Gondwanaland; East African-Antarctic Orogen</t>
  </si>
  <si>
    <t>PRINCE-CHARLES MOUNTAINS; DRONNING-MAUD-LAND; LACHLAN FOLD BELT; T-DM AGES; CENTRAL TRANSANTARCTIC MOUNTAINS; CAMBRIAN KANMANTOO GROUP; BAINMEDART COAL MEASURES; ALBANY-FRASER OROGEN; PROTO-PACIFIC-MARGIN; HOST-ROCK AFFINITY</t>
  </si>
  <si>
    <t>The Gamburtsev Subglacial Mountains (GSM) comprise a central terrane flanked by rifts. Their ages and composition are indicated by material shed downslope in the Lambert Rift during the Ediacaran, Permian-Triassic, and Cenozoic. Direct evidence is provided by morainal clasts of undated igneous/metamorphic rock and siltstone with Glossopteris that dates the rift system as Permian and contained detrital zircons that reflect the &gt;= 300 Ma terrane; further evidence is providedby zircon-bearing detritus traced back to the upslope GSM from the ?600 Ma Sodruzhestvo Group, the Permian-Triassic Amery Group, and Cenozoic sediments in Prydz Bay. The isotopic features of the detritus downslope from the GSM screened from those of exposedbedrock indicate a core with a zircon isotopic signature of paired U-Pb ages 575-500 Ma with negative epsilon Hf and 700-575 Ma with positive eHf, older ages of 890-700 Ma,similar to 970 Ma, 1050 Ma, 2100 Ma, 2450 Ma, 2750 Ma, and 3100 Ma; TDAR of 1.6-1.1 Ga and 2.5-2.1 Ga; and host rocks of granitoids and alkaline rocks. The potential GSM provenance is connected with distant deposits by indicators of downslope (the cross-bed foreset dip azimuth in fluvial sediments, flute marks in turbidites), as in the central Transantarctic Mountains (TAM), Marie Byrd Land, Zealandia, Ellsworth-Whitmore Mountains, southern and SW Australia, Dronning Maud Land/South Africa, Lachlan and Thomson Orogens of eastern Australia, and the Mahanadi Rift of India. The formative 530-500 Ma history of the GSM is modelled after (1) the coeval intra-continental Petermann Orogen of central Australia that shed sediment into bounding foredeeps, and (2) the coeval East African Antarctic Orogen (EA-AO), with its near-identical zircon properties. The modelled intra-continental GSM orogen shed sediment on either side, and impounded sediment from the climactic EA-AO; intense concurrent deformation and igneous and metamorphic activity concluded with a 500 Ma outburst of magma. On the side opposite Africa, the orogen poured copious Early-Middle Cambrian sediment into fans across the central TAM region of Antarctica and the back-arc region of eastern Australia. During later intervals of uplift, the GSM scattered Cambrian-Ordovician, Permian-Triassic, and Cenozoic sediment across East Gondwanaland. In southern Australia, the Early-Middle Ordovician Delamerian Orogen recycled GSM-derived turbidites to the southern part of the Lachlan Orogen; and the Late Ordovician Ross Orogen in North Victoria Land sourced turbidite fans throughout eastern Australia.</t>
  </si>
  <si>
    <t>[Veevers, J. J.] Macquarie Univ, ARC Natl Key Ctr Geochem Evolut &amp; Metallogeny Con, Dept Earth &amp; Planetary Sci, Sydney, NSW 2109, Australia</t>
  </si>
  <si>
    <t>Macquarie University</t>
  </si>
  <si>
    <t>Veevers, JJ (corresponding author), Macquarie Univ, ARC Natl Key Ctr Geochem Evolut &amp; Metallogeny Con, Dept Earth &amp; Planetary Sci, Sydney, NSW 2109, Australia.</t>
  </si>
  <si>
    <t>john.veevers@mq.edu.au</t>
  </si>
  <si>
    <t>0012-8252</t>
  </si>
  <si>
    <t>1872-6828</t>
  </si>
  <si>
    <t>EARTH-SCI REV</t>
  </si>
  <si>
    <t>Earth-Sci. Rev.</t>
  </si>
  <si>
    <t>10.1016/j.earscirev.2018.03.002</t>
  </si>
  <si>
    <t>GH7PM</t>
  </si>
  <si>
    <t>WOS:000433645900011</t>
  </si>
  <si>
    <t>Changela, HG; Le Guillou, C; Bernard, S; Brearley, AJ</t>
  </si>
  <si>
    <t>Changela, Hitesh G.; Le Guillou, Corentin; Bernard, Sylvain; Brearley, Adrian J.</t>
  </si>
  <si>
    <t>Hydrothermal evolution of the morphology, molecular composition, and distribution of organic matter in CR (Renazzo-type) chondrites</t>
  </si>
  <si>
    <t>METEORITICS &amp; PLANETARY SCIENCE</t>
  </si>
  <si>
    <t>ULTRACARBONACEOUS ANTARCTIC MICROMETEORITES; EARLY SOLAR-SYSTEM; X-RAY-ABSORPTION; CARBONACEOUS CHONDRITES; AQUEOUS ALTERATION; ISOTOPIC COMPOSITION; PRIMITIVE METEORITES; AMORPHOUS SILICATES; SOLID-STATE; AMINO-ACIDS</t>
  </si>
  <si>
    <t>The morphology, molecular composition, and distribution of organic matter (OM) were investigated in a suite of CR chondrites to better constrain its hydrothermal evolution. Multiple focused ion beam sections were extracted from the matrices of seven CR chondrites. Scanning transmission X-ray microscopy and transmission electron microscopy reveal OM ubiquitously distributed across the CR matrices. OM mainly occurs as either discrete submicron rounded or irregularly shaped vein-like particles. Two spectral populations of organic particles were identified by carbon K-edge X-ray absorption near edge structure (XANES): the most abundant one, similar to insoluble organic matter (IOM) residues, contains aromatic, carbonyl, and carboxylic groups. The second population is more aromatic-rich and lacks a distinctive carbonyl peak. An additional, ubiquitous organic component occurs associated with amorphous silicates and phyllosilicates. Less aromatic but aliphatic- and carboxylic-rich, this diffuse OM is interpreted as the result of the redistribution of organic compounds by aqueous fluids. The most altered CR1 GRO 95577 contains a more mature OM and highly aliphatic- and carboxylic-rich diffuse OM. This evolution, from the CR2s to the CR1, is comparable to that of terrestrial gas shale maturation involving cracking reactions, releasing bitumen-like, aliphatic-, and carboxylic-rich compounds, and aromatic residues. Our observations support the accretion of soluble OM and its later polymerization to IOM, as well as the maturation of IOM and its partial oxidation, releasing mobile compounds. The differences in GRO 95577 are clearly attributable to the hydrothermal episode(s), but the relative role of water and temperature on the evolution of OM remains elusive.</t>
  </si>
  <si>
    <t>[Changela, Hitesh G.; Brearley, Adrian J.] Univ New Mexico, Dept Earth &amp; Planetary Sci, Albuquerque, NM 87131 USA; [Changela, Hitesh G.] Chinese Acad Sci, Inst Geol &amp; Geophys, Key Lab Earth &amp; Planetary Phys, Beijing, Peoples R China; [Le Guillou, Corentin] Univ Lille1, CNRS UMR 8207, Unite Mat &amp; Transformat UMET, F-59655 Villeneuve Dascq, France; [Le Guillou, Corentin; Bernard, Sylvain] Sorbonne Univ, IRD CNRS UMR 206, IMPMC, F-75005 Paris, France</t>
  </si>
  <si>
    <t>University of New Mexico; Chinese Academy of Sciences; Institute of Geology &amp; Geophysics, CAS; Centre National de la Recherche Scientifique (CNRS); CNRS - Institute of Chemistry (INC); Universite de Lille; Centre National de la Recherche Scientifique (CNRS); Institut de Recherche pour le Developpement (IRD); Sorbonne Universite</t>
  </si>
  <si>
    <t>Changela, HG (corresponding author), Univ New Mexico, Dept Earth &amp; Planetary Sci, Albuquerque, NM 87131 USA.;Changela, HG (corresponding author), Chinese Acad Sci, Inst Geol &amp; Geophys, Key Lab Earth &amp; Planetary Phys, Beijing, Peoples R China.</t>
  </si>
  <si>
    <t>changela@mail.iggcas.ac.cn</t>
  </si>
  <si>
    <t>Le Guillou, Corentin/D-4982-2013; IMPMC, ROCKS @/U-8478-2017; Bernard, Sylvain/B-6756-2013</t>
  </si>
  <si>
    <t>NASA Cosmochemistry Grant [NNX12AH59G]</t>
  </si>
  <si>
    <t>NASA Cosmochemistry Grant</t>
  </si>
  <si>
    <t>Beamline scientists David Kilcoyne and Jian Wang at Berkeley ALS Beamline 5.3.2.2 and Canadian CLS Beamline 10 ID-1 are gratefully acknowledged. Bradley De Gregorio and Graciela Matrajt are also thanked for their constructive reviews of this article. This research was funded by NASA Cosmochemistry Grant NNX12AH59G to A. J. Brearley (PI).</t>
  </si>
  <si>
    <t>1086-9379</t>
  </si>
  <si>
    <t>1945-5100</t>
  </si>
  <si>
    <t>METEORIT PLANET SCI</t>
  </si>
  <si>
    <t>Meteorit. Planet. Sci.</t>
  </si>
  <si>
    <t>10.1111/maps.13045</t>
  </si>
  <si>
    <t>GF1BC</t>
  </si>
  <si>
    <t>WOS:000431665400005</t>
  </si>
  <si>
    <t>Ding, LS; Zhang, S; Guo, WB; Chen, XH</t>
  </si>
  <si>
    <t>Ding, Lianshuai; Zhang, Song; Guo, Wenbin; Chen, Xinhua</t>
  </si>
  <si>
    <t>Exogenous Indole Regulates Lipopeptide Biosynthesis in Antarctic Bacillus amyloliquefaciens Pc3</t>
  </si>
  <si>
    <t>JOURNAL OF MICROBIOLOGY AND BIOTECHNOLOGY</t>
  </si>
  <si>
    <t>Bacillus amyloliquefaciens; lipopeptides; metabolomics; metabolic flux</t>
  </si>
  <si>
    <t>SUBTILIS; ITURIN; IDENTIFICATION; FENGYCIN; PURIFICATION; ANTIBIOTICS; METABOLOME; SURFACTIN; DISEASE</t>
  </si>
  <si>
    <t>Bacillus amyloliquefaciens Pc3 was isolated from Antarctic seawater with antifungal activity. In order to investigate the metabolic regulation mechanism in the biosynthesis of lipopeptides in B. amyloliquefaciens Pc3, GC/MS-based metabolomics was used when exogenous indole was added. The intracellular metabolite profiles showed decreased asparagine, aspartic acid, glutamine, glutamic acid, threonine, valine, isoleucine, hexadecanoic acid, and octadecanoic acid in the indole-treated groups, which were involved in the biosynthesis of lipopeptides. B. amyloliquefaciens Pc3 exhibited a growth promotion, bacterial total protein increase, and lipopeptide biosynthesis inhibition upon the addition of indole. Besides this, real-time PCR analysis further revealed that the transcription of lipopeptide biosynthesis genes ituD, fenA, and srfA-A were downregulated by indole with 22.4-, 21.98-, and 26.0-fold, respectively. It therefore was speculated that as the metabolic flux of most of the amino acids and fatty acids were transferred to the synthesis of proteins and biomass, lipopeptide biosynthesis was weakened owing to the lack of precursor amino acids and fatty acids.</t>
  </si>
  <si>
    <t>[Ding, Lianshuai; Guo, Wenbin; Chen, Xinhua] State Ocean Adm, Inst Oceanog 3, Key Lab Marine Biogenet Resources, Xiamen 361005, Peoples R China; [Zhang, Song] Sun Yat Sen Univ, Sch Life Sci, Ctr Prote, State Key Lab Biocontrol, Guangzhou 510275, Guangdong, Peoples R China; [Chen, Xinhua] Fujian Agr &amp; Forestry Univ, Coll Anim Sci, Fuzhou 350002, Fujian, Peoples R China; [Ding, Lianshuai; Guo, Wenbin; Chen, Xinhua] Fujian Key Lab Marine Genet Resources, Xiamen 361005, Peoples R China</t>
  </si>
  <si>
    <t>Third Institute of Oceanography, Ministry of Natural Resources; Sun Yat Sen University; Fujian Agriculture &amp; Forestry University</t>
  </si>
  <si>
    <t>Guo, WB; Chen, XH (corresponding author), State Ocean Adm, Inst Oceanog 3, Key Lab Marine Biogenet Resources, Xiamen 361005, Peoples R China.;Chen, XH (corresponding author), Fujian Agr &amp; Forestry Univ, Coll Anim Sci, Fuzhou 350002, Fujian, Peoples R China.;Guo, WB; Chen, XH (corresponding author), Fujian Key Lab Marine Genet Resources, Xiamen 361005, Peoples R China.</t>
  </si>
  <si>
    <t>guo5721@tio.org.cn; chenxinhua@tio.org.cn</t>
  </si>
  <si>
    <t>Guo, Wenbin/0000-0001-7197-6260</t>
  </si>
  <si>
    <t>National Key Basic Research Program of China [2015CB755903]; COMRA program [DY135-B-01]; Yantai Marine Economic Innovation and Development Demonstration City Industrial Chain Collaborative Innovation Project [YHCX-SW-L-201703]; China Polar Environment Comprehensive Investigation and Assessment Program [CHINARE2017-04-03, CHINARE2017-01-05]; Xiamen Ocean Economic Innovation and Development Demonstration Project [16PZP001SF16]</t>
  </si>
  <si>
    <t>National Key Basic Research Program of China(National Basic Research Program of China); COMRA program; Yantai Marine Economic Innovation and Development Demonstration City Industrial Chain Collaborative Innovation Project; China Polar Environment Comprehensive Investigation and Assessment Program; Xiamen Ocean Economic Innovation and Development Demonstration Project</t>
  </si>
  <si>
    <t>This study was financially supported by grants from the National Key Basic Research Program of China (2015CB755903), the COMRA program (DY135-B-01), Yantai Marine Economic Innovation and Development Demonstration City Industrial Chain Collaborative Innovation Project (YHCX-SW-L-201703), the China Polar Environment Comprehensive Investigation and Assessment Program (CHINARE2017-04-03 and CHINARE2017-01-05), and Xiamen Ocean Economic Innovation and Development Demonstration Project (16PZP001SF16).</t>
  </si>
  <si>
    <t>KOREAN SOC MICROBIOLOGY &amp; BIOTECHNOLOGY</t>
  </si>
  <si>
    <t>KOREA SCI TECHNOL CENTER #507, 635-4 YEOGSAM-DONG, KANGNAM-GU, SEOUL 135-703, SOUTH KOREA</t>
  </si>
  <si>
    <t>1017-7825</t>
  </si>
  <si>
    <t>1738-8872</t>
  </si>
  <si>
    <t>J MICROBIOL BIOTECHN</t>
  </si>
  <si>
    <t>J. Microbiol. Biotechnol.</t>
  </si>
  <si>
    <t>10.4014/jmb.1712.12014</t>
  </si>
  <si>
    <t>GH2IA</t>
  </si>
  <si>
    <t>WOS:000433224400014</t>
  </si>
  <si>
    <t>Parimuchová, A; Sustr, V; Devetter, M; Vosta, O; Popa, I; Kovác, L</t>
  </si>
  <si>
    <t>Parimuchova, Andrea; Sustr, Vladimir; Devetter, Miloslav; Vosta, Ondrej; Popa, Ionut; Kovac, L'ubomir</t>
  </si>
  <si>
    <t>The activity of saccharolytic enzymes in Collembola is associated with species affinity for caves</t>
  </si>
  <si>
    <t>INTERNATIONAL JOURNAL OF SPELEOLOGY</t>
  </si>
  <si>
    <t>enzymatic activity; cellulase; trehalase; chitinase; Collembola; cave guild</t>
  </si>
  <si>
    <t>FEEDING GUILDS; ANTARCTIC SPRINGTAIL; FOOD RESOURCES; HEXAPODA</t>
  </si>
  <si>
    <t>The activity of enzymes associated with digestion can reflect food availability and feeding preferences of invertebrates in a particular habitat. Caves are mostly nutrient-poor habitats lacking primary production In the present study the enzymatic activity of cellulases, trehalases and chitinases was measured in eight collembolan species differently associated with the cave environment: the troglobionts (obligate cave species) Pseudacherontides spelaeus and Protaphorura janosik; the eutroglophiles Ceratophysella denticulata, Folsomia Candida and Heteromurus mtidus; the subtroglophiles Hypogastrura aequepilosa and Orthonychiurus rectopapillatus; and the trogloxene (not associated with caves) Megaphorura arctica. Qualitative enzymatic patterns and quantitative differences in species activity were considered in terms of the taxonomic, feeding and ecological classifications of Collembola. Activity of the tested enzymes was confirmed in all species. Cellulolytic and chitinolytic activity seemed to play a crucial role for the discrimination of guilds within all categories. An increasing trend of chitinolytic activity was observed in Collembola associated with the subterranean environment and deeper soil layers, while cellulolytic activity decreased towards more adapted cave forms. Variability in enzymatic activity in cave-dwelling species indicated food specialization across sub- and eutroglophiles and troglobionts, respectively. The results of this study point out that enzymatic activity varies between groups of the cave fauna with different degrees of association to subterranean habitats (cave guilds).</t>
  </si>
  <si>
    <t>[Parimuchova, Andrea; Kovac, L'ubomir] Safarik Univ, Fac Sci, Inst Biol &amp; Ecol, Dept Zool, Moyzesova 11, Kosice 04154, Slovakia; [Sustr, Vladimir; Devetter, Miloslav] Biol Ctr AS CR, Vvi, Inst Soil Biol, Na Sadkach 7, Ceske Budejovice 37005, Czech Republic; [Devetter, Miloslav] Univ South Bohemia, Ctr Polar Ecol, Na Zlate Stoce 3, Ceske Budejovice 37005, Czech Republic; [Vosta, Ondrej] Czech English Grammar Sch, Trebizskeho 1010, Ceske Budejovice 37005, Czech Republic; [Popa, Ionut] Inst Speleol Emil Racovita, Dept Biospeleol &amp; Karst Edaphobiol, Frumoase 31, Bucharest 010986, Romania; [Sustr, Vladimir] Biol Ctr AS CR, Vvi, SOWA Res Infrastruct, Na Sadkach 7, Ceske Budejovice 37005, Czech Republic</t>
  </si>
  <si>
    <t>University of Pavol Jozef Safarik Kosice; Czech Academy of Sciences; Biology Centre of the Czech Academy of Sciences; University of South Bohemia Ceske Budejovice; Emil Racovita Institute of Speleology; Czech Academy of Sciences; Biology Centre of the Czech Academy of Sciences</t>
  </si>
  <si>
    <t>Parimuchová, A (corresponding author), Safarik Univ, Fac Sci, Inst Biol &amp; Ecol, Dept Zool, Moyzesova 11, Kosice 04154, Slovakia.</t>
  </si>
  <si>
    <t>andrea.parimuchova@upjs.sk</t>
  </si>
  <si>
    <t>Devetter, Miloslav/G-1087-2014; Šustr, Vladimír/G-1495-2014; Kováč, Ľubomír/J-5954-2015; Devetter, Miloslav/AAE-1676-2021</t>
  </si>
  <si>
    <t>Kováč, Ľubomír/0000-0001-8194-2128; Devetter, Miloslav/0000-0003-1767-4266</t>
  </si>
  <si>
    <t>program Open Science II, within the Operational Programme Education for Competitiveness; state budget of the Czech Republic; European Social Fund [CZ.1.07/2.3.00/09.0034]; Ministry of Education, Youth and Sports of the Czech Republic - MEYS [LM2015075, EF16_013/0001782]; [VEGA1/0346/18]; [VVGS-2014-224]; [GACR 17-20839S]</t>
  </si>
  <si>
    <t>program Open Science II, within the Operational Programme Education for Competitiveness; state budget of the Czech Republic; European Social Fund(European Social Fund (ESF)); Ministry of Education, Youth and Sports of the Czech Republic - MEYS(Ministry of Education, Youth &amp; Sports - Czech Republic); ; ;</t>
  </si>
  <si>
    <t>The study was supported by the grants VEGA1/0346/18, VVGS-2014-224 and GACR 17-20839S. The participation of O. Vosta in the study was supported by the program Open Science II, within the Operational Programme Education for Competitiveness, Support Area 2.3, co-financed from the state budget of the Czech Republic and the European Social Fund (project No. CZ.1.07/2.3.00/09.0034). Part of the study was supported by the Ministry of Education, Youth and Sports of the Czech Republic - MEYS (projects LM2015075, EF16_013/0001782). We are grateful to Dr. Peter Cuchta for identification of some Collembola material and Dr. Cristian-Mihai Munteanu for his help with the collecting of Collembola specimens in Romania. David McLean is acknowledged for the linguistic corrections of the manuscript draft.</t>
  </si>
  <si>
    <t>SOCIETA SPELEOLOGICA ITALIANA</t>
  </si>
  <si>
    <t>BOLOGNA</t>
  </si>
  <si>
    <t>VIA ZAMBONI 67, BOLOGNA, 40126, ITALY</t>
  </si>
  <si>
    <t>0392-6672</t>
  </si>
  <si>
    <t>1827-806X</t>
  </si>
  <si>
    <t>INT J SPELEOL</t>
  </si>
  <si>
    <t>Int. J. Speleol.</t>
  </si>
  <si>
    <t>10.5038/1827-806X.47.2.2150</t>
  </si>
  <si>
    <t>Geology; Geosciences, Multidisciplinary</t>
  </si>
  <si>
    <t>GG9UQ</t>
  </si>
  <si>
    <t>WOS:000433047000005</t>
  </si>
  <si>
    <t>Koneshov, VN; Nepoklonov, VB</t>
  </si>
  <si>
    <t>Koneshov, V. N.; Nepoklonov, V. B.</t>
  </si>
  <si>
    <t>Studying the Representation Accuracy of the Earth's Gravity Field in the Polar Regions Based on the Global Geopotential Models</t>
  </si>
  <si>
    <t>IZVESTIYA-PHYSICS OF THE SOLID EARTH</t>
  </si>
  <si>
    <t>Arctic; Antarctic; Earth's gravity field; model; spherical harmonics; quasi-geoid height; gravity anomaly; comparative analysis; accuracy</t>
  </si>
  <si>
    <t>The development of studies on estimating the accuracy of the Earth's modern global gravity models in terms of the spherical harmonics of the geopotential in the problematic regions of the world is discussed. The comparative analysis of the results of reconstructing quasi-geoid heights and gravity anomalies from the different models is carried out for two polar regions selected within a radius of 1000 km from the North and South poles. The analysis covers nine recently developed models, including six high-resolution models and three lower order models, including the Russian GAOP2012 model. It is shown that the modern models determine the quasi-geoid heights and gravity anomalies in the polar regions with errors of 5 to 10 to a few dozen cm and from 3 to 5 to a few dozen mGal, respectively, depending on the resolution. The accuracy of the models in the Arctic is several times higher than in the Antarctic. This is associated with the peculiarities of gravity anomalies in every particular region and with the fact that the polar part of the Antarctic has been comparatively less explored by the gravity methods than the polar Arctic.</t>
  </si>
  <si>
    <t>[Koneshov, V. N.; Nepoklonov, V. B.] Russian Acad Sci, Schmidt Inst Phys Earth, Moscow 123242, Russia; [Nepoklonov, V. B.] Moscow State Univ Geodesy &amp; Cartog, Moscow 105064, Russia</t>
  </si>
  <si>
    <t>Russian Academy of Sciences; Schmidt Institute of Physics of the Earth of the Russian Academy of Sciences</t>
  </si>
  <si>
    <t>Koneshov, VN (corresponding author), Russian Acad Sci, Schmidt Inst Phys Earth, Moscow 123242, Russia.</t>
  </si>
  <si>
    <t>slavakoneshov@hotmsil.com</t>
  </si>
  <si>
    <t>Koneshov, Vyacheslav Nikolaevich/K-7698-2018; Stepanova, Inna/AAZ-4710-2021</t>
  </si>
  <si>
    <t>Stepanova, Inna/0000-0001-6497-3117</t>
  </si>
  <si>
    <t>1069-3513</t>
  </si>
  <si>
    <t>1555-6506</t>
  </si>
  <si>
    <t>IZV-PHYS SOLID EART+</t>
  </si>
  <si>
    <t>Izv.-Phys. Solid Earth</t>
  </si>
  <si>
    <t>10.1134/S1069351318030047</t>
  </si>
  <si>
    <t>GG9SM</t>
  </si>
  <si>
    <t>WOS:000433041400009</t>
  </si>
  <si>
    <t>Kim, J; Malyutina, M; Lee, W; Karanovic, I</t>
  </si>
  <si>
    <t>Kim, Jeongho; Malyutina, Marina; Lee, Wonchoel; Karanovic, Ivana</t>
  </si>
  <si>
    <t>Incongruence between morphological and molecular diversity in Coxicerberus fukudai (Ito, 1974) (Isopoda: Microcerberidea) from East Asia</t>
  </si>
  <si>
    <t>JOURNAL OF CRUSTACEAN BIOLOGY</t>
  </si>
  <si>
    <t>cryptic species; haplotype network; marine interstitial; phylogeny; Wolbachia</t>
  </si>
  <si>
    <t>BAYESIAN PHYLOGENETIC INFERENCE; WIDESPREAD WOLBACHIA INFECTION; MITOCHONDRIAL-DNA; INTERTIDAL ISOPOD; CRUSTACEA ISOPODA; DEEP-SEA; EVOLUTIONARY; POPULATION; RATES; CLASSIFICATION</t>
  </si>
  <si>
    <t>Coxicerberus fukudai (Ito, 1974) (Isopoda) is redescribed from Korean and Japanese localities. Molecular analysis based on two mitochondrial markers (mtCOI and Cytb) of the studied populations shows two diverged lineages, reflected in high (10.5% and 9.5%) pairwise differences and high haplotype diversity. One of the clades is shared by Korean and Japanese populations with little divergence rate (0.02% and 0.03%), and another is only found in Korea. We failed to find any consistent morphological differences across the examined populations, probably indicating the existence of cryptic species. We also examined the possible influence of the endosymbiotic bacterium Wolbachia on the haplotype diversity. Infection with the bacterium shows a distinct distribution pattern, with all the southern Korea populations being infected, whereas the northern populations are not.</t>
  </si>
  <si>
    <t>[Kim, Jeongho; Lee, Wonchoel; Karanovic, Ivana] Hanyang Univ, Dept Life sci, Seoul, South Korea; [Karanovic, Ivana] Univ Tasmania, Inst Marine &amp; Antarctic Studies, Hobart, Tas 7001, Australia; [Malyutina, Marina] Russian Acad Sci, Far Eastern Branch, Inst Marine Biol, Vladivostok, Russia</t>
  </si>
  <si>
    <t>Hanyang University; University of Tasmania; Russian Academy of Sciences; National Scientific Center of Marine Biology, Far East Branch of the Russian Academy of Sciences</t>
  </si>
  <si>
    <t>Lee, W (corresponding author), Hanyang Univ, Dept Life sci, Seoul, South Korea.</t>
  </si>
  <si>
    <t>wlee@hanyang.ac.kr</t>
  </si>
  <si>
    <t>Malyutina, Marina/JAC-6506-2023; Malyutina, Marina/A-6839-2014; Lee, Wonchoel/L-9822-2018</t>
  </si>
  <si>
    <t>Malyutina, Marina/0000-0003-2161-3917; Lee, Wonchoel/0000-0002-9873-1033</t>
  </si>
  <si>
    <t>BK21 Plus Program (Eco-Bio Fusion Research Team) - Ministry of Education (MOE, Korea) [22A20130012352]; National Research Foundation of Korea (NRF) [NIBR201601201]; National Institute of Biological Resource (NIBR) - Ministry of Environment (MOE), Republic of Korea</t>
  </si>
  <si>
    <t>BK21 Plus Program (Eco-Bio Fusion Research Team) - Ministry of Education (MOE, Korea)(Ministry of Education (MOE), Republic of Korea); National Research Foundation of Korea (NRF)(National Research Foundation of Korea); National Institute of Biological Resource (NIBR) - Ministry of Environment (MOE), Republic of Korea(Ministry of Environment (ME), Republic of Korea)</t>
  </si>
  <si>
    <t>We are grateful to S.F. Hiruta (Hokkaido University) for collecting the material from type locality of C. fukudai in Japan. Thanks to S. Kim and R. Jeong (Hanyang University, Korea) for sampling and useful comments on the research. We also thank two anonymous reviewers for their kind and helpful comments. This study was supported by the BK21 Plus Program (Eco-Bio Fusion Research Team, 22A20130012352) funded by the Ministry of Education (MOE, Korea). This study was also supported by grant NIBR201601201 from the National Research Foundation of Korea (NRF) and National Institute of Biological Resource (NIBR) funded by the Ministry of Environment (MOE), Republic of Korea.</t>
  </si>
  <si>
    <t>0278-0372</t>
  </si>
  <si>
    <t>1937-240X</t>
  </si>
  <si>
    <t>J CRUSTACEAN BIOL</t>
  </si>
  <si>
    <t>J. Crustac. Biol.</t>
  </si>
  <si>
    <t>10.1093/jcbiol/ruy002</t>
  </si>
  <si>
    <t>Marine &amp; Freshwater Biology; Zoology</t>
  </si>
  <si>
    <t>GG3NA</t>
  </si>
  <si>
    <t>WOS:000432597300007</t>
  </si>
  <si>
    <t>Süssenberger, A; Schmidt, ST; Wemmer, K; Baumgartner, LP; Grobéty, B</t>
  </si>
  <si>
    <t>Suessenberger, Annette; Schmidt, Susanne T.; Wemmer, Klaus; Baumgartner, Lukas P.; Grobety, Bernard</t>
  </si>
  <si>
    <t>Timing and thermal evolution of fold-and-thrust belt formation in the Ultima Esperanza District, 51°S Chile: Constraints from K-Ar dating and illite characterization</t>
  </si>
  <si>
    <t>GEOLOGICAL SOCIETY OF AMERICA BULLETIN</t>
  </si>
  <si>
    <t>TORRES-DEL-PAINE; CERRO-TORO FORMATION; SARMIENTO OPHIOLITIC COMPLEX; CRETACEOUS MAGALLANES BASIN; TRES PASOS FORMATION; PATAGONIAN-ANDES; FORELAND BASIN; BACK-ARC; CORDILLERA DARWIN; STRATIGRAPHIC RECORD</t>
  </si>
  <si>
    <t>K-Ar dating on synkinematically formed illite in low-grade metamorphic pelites was used to set new time constraints on the development of the Patagonian retroarc fold-and-thrust belt caused by the subduction of the Antarctic plate beneath the South American plate. The combined use of illite crystallinity (Kiibler index), polytype quantification, and K-Ar dating of illite fractions (&lt;0.2, &lt;2, and 2-6 mu m) is a powerful tool in constraining the missing time gap between the emergent fold-and-thrust belt formation and early Miocene uplift of the Magallanes Basin. Four distinct periods of illite growth were identified based on their K-Ar ages and degree of regional metamorphism: (1) early Cenomanian (98 Ma) illite crystallization, (2) widespread early Campanian (ca. 80 Ma) long-lasting burial illitization processes under anchizonal metamorphic conditions, (3) a significant period of illite formation in the early Paleocene (ca. 60 Ma), and (4) a late stage of illite growth in the early Eocene (55-46 Ma) under epizonal conditions. Based on K-Ar fine fraction ages and Kiibler index values, we propose to subdivide the internal domain along the Rio Nutria and Rio Rincon thrust into a thrust zone with maximum rock uplift in the west and a foreland-vergent imbricate thrust zone in the east. The earliest indication for the emergent fold-and-thrust belt formation in the hinterland is documented in a metapelitic clast (sample 14-9, &lt;2 mu m) within the Upper Cretaceous Cerro Toro conglomerate, which yielded a K-Ar cooling age of 98.3 +/- 1.2 Ma and an epizonal Kiibler index value of 0.24 Delta degrees 2 circle minus. After a certain period of geological quiescence, an interval of major thrusting and rock uplift occurred between ca. 60 and 46 Ma. The west-dipping Rio Nutria and Rio Rincon thrusts record the onset of fold-and-thrust belt activity, which can be placed close to 60 Ma. In the western part of the internal domain, thrusts remained active, and associated structural uplift is recorded until 46 Ma by K-Ar illite cooling ages. Flexural subsidence driven by thrust sheet loading in the internal domain was responsible for the eastward migration of the foreland depocenter and a rapid increase in sedimentation rate along the monoclinal belt. Our results prove a synchronous onset of thick-skinned thrusting between 49 degrees S and 55 degrees S and suggest constant convergence rates of the Patagonian arc against the adjacent South American continental margin. Time-averaged exhumation rates along the Rio Rincon anticline (54.6-22 Ma) and along the Rio Nutria thrust (46.5-22 Ma) suggest rather low exhumation rates of 1.6-1.2 mm/yr (maximum). The low exhumation rates link back to constantly low subduction rates, resulting in a period of geological quiescence between 46.5 and 22 Ma.</t>
  </si>
  <si>
    <t>[Suessenberger, Annette; Schmidt, Susanne T.] Univ Geneva, Dept Earth Sci, 13 Rue Maraichers, CH-1205 Geneva, Switzerland; [Wemmer, Klaus] Univ Gottingen, Geosci Ctr, Goldschmidtstr 3, D-37077 Gottingen, Germany; [Baumgartner, Lukas P.] Univ Lausanne, Inst Earth Sci, CH-1015 Lausanne, Switzerland; [Grobety, Bernard] Univ Fribourg, Dept Geosci, Chemin Musee, CH-1700 Fribourg, Switzerland</t>
  </si>
  <si>
    <t>University of Geneva; University of Gottingen; University of Lausanne; University of Fribourg</t>
  </si>
  <si>
    <t>Süssenberger, A (corresponding author), Univ Geneva, Dept Earth Sci, 13 Rue Maraichers, CH-1205 Geneva, Switzerland.</t>
  </si>
  <si>
    <t>annette.suessenberger@unige.ch; susanne.schmidt@unige.ch; kwemmer@gwdg.de; lukas.baumgartner@unil.ch; bernard.grobety@unifr.ch</t>
  </si>
  <si>
    <t>Swiss National Science Foundation [200021-149232]; Ernst et Lucie Schmidheiny Foundation at the University of Geneva; August Lombard Foundation at the University of Geneva; Swiss National Science Foundation (SNF) [200021_149232] Funding Source: Swiss National Science Foundation (SNF)</t>
  </si>
  <si>
    <t>Swiss National Science Foundation(Swiss National Science Foundation (SNSF)); Ernst et Lucie Schmidheiny Foundation at the University of Geneva; August Lombard Foundation at the University of Geneva; Swiss National Science Foundation (SNF)(Swiss National Science Foundation (SNSF))</t>
  </si>
  <si>
    <t>This project was funded by the Swiss National Science Foundation (grant no. 200021-149232 to Susanne T. Schmidt) and is part of the Ph.D. work of Annette Sussenberger. We thank Agathe Martignier for secondary electron microscope support (University of Geneva), Markus Schaffer for access to the transmission electron microscope facility at the Swiss Accident Insurance Fund (SUVA), Lucerne, Switzerland, Willem B. Stern (University of Basel) for discussion on measuring clays by X- ray diffraction, and Richard Spikings (University of Geneva) as well as Jean- Luc Epard (University of Lausanne) for fruitful discussions. We are thankful to Sam Carmalt for reviewing the English of the manuscript. The student research assistants and Sabrina Neumann of the K-Ar laboratory (University of Gottingen) are thanked for their help with sample analysis. We are grateful to the administration of CONAF (Corporacion Nacional Forestal de Chile) for park access and sampling permission, as well as for local logistic support. Annette Sussenberger is thankful for the financial support of the Ernst et Lucie Schmidheiny Foundation and the August Lombard Foundation at the University of Geneva. We are grateful for the thorough and constructive review by Julie Fosdick, which broadened our understanding on the Patagonian fold-and-thrust belt. We thank Chris Hall for his review and the suggestion to include the density probability plot. We also thank the editors Brad Singer and Luca Ferrari for handling our manuscript.</t>
  </si>
  <si>
    <t>GEOLOGICAL SOC AMER, INC</t>
  </si>
  <si>
    <t>PO BOX 9140, BOULDER, CO 80301-9140 USA</t>
  </si>
  <si>
    <t>0016-7606</t>
  </si>
  <si>
    <t>1943-2674</t>
  </si>
  <si>
    <t>GEOL SOC AM BULL</t>
  </si>
  <si>
    <t>Geol. Soc. Am. Bull.</t>
  </si>
  <si>
    <t>10.1130/B31766.1</t>
  </si>
  <si>
    <t>GG3JS</t>
  </si>
  <si>
    <t>WOS:000432588700015</t>
  </si>
  <si>
    <t>Zamora-Silva, A; Malaquias, MAE</t>
  </si>
  <si>
    <t>Zamora-Silva, Andrea; Malaquias, Manuel Antonio E.</t>
  </si>
  <si>
    <t>Molecular phylogeny of the Aglajidae head-shield sea slugs (Heterobranchia: Cephalaspidea): new evolutionary lineages revealed and proposal of a new classification</t>
  </si>
  <si>
    <t>ZOOLOGICAL JOURNAL OF THE LINNEAN SOCIETY</t>
  </si>
  <si>
    <t>Aglajids; biodiversity; morphology; systematics</t>
  </si>
  <si>
    <t>OPISTHOBRANCHIA MOLLUSCA; FAMILY AGLAJIDAE; BULLOMORPHA OPISTHOBRANCHIA; REPRODUCTIVE MORPHOLOGY; SEQUENCE ALIGNMENT; MATING-BEHAVIOR; GASTROPODA; GENUS; CHELIDONURA; PLATYHELMINTHES</t>
  </si>
  <si>
    <t>Aglajidae is a family of predominantly colourful shallow water marine slugs widely distributed in coral, rocky and sandy habitats of tropical and temperate waters worldwide. The monophyly of the group is supported by morphological traits, but recent molecular phylogenetic studies questioned not only the monophyletic status of the family but also the definition of its traditional genera and relationships. Therefore, in order to test the monophyly of the family and of its genera and to elucidate internal sister relationships, we here present a new multilocus phylogenetic study based on Bayesian inference and maximum likelihood analyses of the largest ever assembled taxon and gene data sets of Aglajidae including 412 specimens from 63 species (74% of the global diversity) with representatives of type species of all genera and 835 DNA sequences of the gene markers COI, 16S rRNA, 28S rRNA and Histone-3. The genera Aglaja, Chelidonura, Odontoglaja and Philinopsis were confirmed as not monophyletic. Fifteen evolutionary lineages of generic status were recovered and seven are here described as new, namely Biuve, Camachoaglaja, Mannesia, Mariaglaja, Niparaya, Spinophallus and Tubulophilinopsis. The valid taxonomic status of Spinoaglaja is confirmed and Migaya is considered to be a junior synonym of Nakamigawaia. Our results support the hypothesis that events of radula loss or gain have happened independently at least twice in the evolutionary history of Aglajidae, but lack of node support in the deeper parts of our tree obscured inference on the sister relationships of genera. A new classification for Aglajidae is proposed and diagnostic features for all 15 genera are given.</t>
  </si>
  <si>
    <t>[Zamora-Silva, Andrea; Malaquias, Manuel Antonio E.] Univ Bergen, Univ Museum Bergen, Phylogenet Systemat &amp; Evolut Res Grp, Sect Taxon &amp; Evolut,Dept Nat Hist, PB 7800, N-5020 Bergen, Norway</t>
  </si>
  <si>
    <t>University of Bergen</t>
  </si>
  <si>
    <t>Zamora-Silva, A (corresponding author), Univ Bergen, Univ Museum Bergen, Phylogenet Systemat &amp; Evolut Res Grp, Sect Taxon &amp; Evolut,Dept Nat Hist, PB 7800, N-5020 Bergen, Norway.</t>
  </si>
  <si>
    <t>andrea.zamora@uib.no</t>
  </si>
  <si>
    <t>Malaquias, Manuel/N-2450-2019</t>
  </si>
  <si>
    <t>Malaquias, Manuel/0000-0002-9668-945X</t>
  </si>
  <si>
    <t>Consejo Nacional de Ciencia y Tecnologia (Mexico) [CONACYT/BAZS/188890]; SYNTHESYS Project - European Community Research Infrastructure Action under the FP7 'Capacities' Programme</t>
  </si>
  <si>
    <t>Consejo Nacional de Ciencia y Tecnologia (Mexico)(Consejo Nacional de Ciencia y Tecnologia (CONACyT)); SYNTHESYS Project - European Community Research Infrastructure Action under the FP7 'Capacities' Programme</t>
  </si>
  <si>
    <t>This project would not have been possible without the invaluable help of friends and colleagues who have contributed with specimens and advice. Those who generously sent material were Nils Anthes (Universitat Tubingen, Germany), Aaron Cosgrove-Wilke (Western Australian Museum), Alexei Chernyshev (Institute of Marine Biology, Russia), Bella Galil (Israel Oceanographic and Limnological Research Institute), Clay Carlson and Patty Jo Hoff (University of Guam, USA), Cory Pittman (Hawaii), David Reid (Natural History Museum, London, UK), Edna Naranjo-Garcia (Coleccion Nacional de Moluscos, Universidad Nacional Autonoma de Mexico), Jesus Ortea (University of Oviedo, Spain), John Chuk (Museum Victoria, Australia), John Scott and Jeanette Johnson (Marshall Islands), Jose Espinosa (Oceanology Institute, la Habana, Cuba), Julio Magana (Mexico), Kathe Jensen and Ole Tendal (Natural History Museum of Denmark), Leopoldo Moro (Biodiversity Service, Canary Islands Government, Spain), Lucas Cervera (University of Cadiz, Spain), Manuel Caballer (National Museum of Natural History, Paris, France; Oceanology and Antarctic Studies Centre, Venezuela), Matthias Glaubrecht (Natural History Museum of Berlin, Germany), Patrick Krug (California State University, Los Angeles, USA), Peter Wirtz (Madeira Is, Portugal), Rose Sablon and Thierry Backeljau (Royal Belgian Institute of Natural Sciences, Belgium), Tyjuana Nichens (Smithsonian Institution, National Museum of Natural History, USA), Arie W. Janssen [National Museum of Natural History (Naturalis), Leiden, The Netherlands] and Bernhard Hausdorf (Zoology Institute and University Museum of Hamburg, Germny). Fieldwork and visits to malacological collections were kindly facilitated by Ana Maria Rivera and Eunice Echeverria (Natural History Museum of El Salvador); Enrique Barraza (Natural Resources and Environment Ministry, Government of El Salvador); Erika Estrada, Cecilia Gonzalez, Tania Islas, Jesus Iglesias, Jazmin Ortigosa, Irene Martinez, Benjamin Hernandez, Daniel Santos, Teresa Gomez and Nabor Lozada (Mexico); Flavia Horing (Germany); Hiroshi Saito (Natural Museum of Nature and Science, Japan); Makiko Yorifuji (Tropical Biosphere Research Center, University of the Ryukyus, Japan); Rie Nakano (University of Tokyo, Japan); and Somsak Panha (University of Chulalongkorn, Thailand). We also thank Louise Lindblom and Kenneth Meland (University of Bergen, Norway) for their valuable advice about molecular techniques and Egil Erichsen (University of Bergen, Norway) for help with SEM. Trond R. Oskars, Lena Ohnheiser and Nina T. Mikkelsen enriched some of the ideas here presented with valuable conversations. Some of the live images in Figures 3, 4 are courtesy of Jim Anderson, Arthur de Bock, Simon Franicevic, Linda Ianniello, Jun Imamoto, Douglas Mason, Sven Kahlbrock, Philibert Bidgrain, Nick Chaloklum, Marisa Agarwal, Nick Hobgood and Brian Francisco and are shared under the Creative Commons Attribution 4.0 International Public License. We sincerely thank Kathe Jensen for her valuable comments on this publication and Marsha Ostroff for editing the English style of this paper. Fieldwork, visits to biological collections, molecular work and monthly stipend of this research were funded by the Consejo Nacional de Ciencia y Tecnologia (Mexico) attributed to the first author (doctoral fellowship CONACYT/BAZS/188890).; This work also benefited from visits of the second author to European natural history museums funded by the SYNTHESYS Project, which is financed by the European Community Research Infrastructure Action under the FP7 'Capacities' Programme.</t>
  </si>
  <si>
    <t>0024-4082</t>
  </si>
  <si>
    <t>1096-3642</t>
  </si>
  <si>
    <t>ZOOL J LINN SOC-LOND</t>
  </si>
  <si>
    <t>Zool. J. Linn. Soc.</t>
  </si>
  <si>
    <t>GF9MZ</t>
  </si>
  <si>
    <t>WOS:000432303500001</t>
  </si>
  <si>
    <t>Truzzi, C; Annibaldi, A; Illuminati, S; Mantini, C; Scarponi, G</t>
  </si>
  <si>
    <t>Truzzi, C.; Annibaldi, A.; Illuminati, S.; Mantini, C.; Scarponi, G.</t>
  </si>
  <si>
    <t>Chemical fractionation by sequential extraction of Cd, Pb, and Cu in Antarctic atmospheric particulate for the characterization of aerosol composition, sources, and summer evolution at Terra Nova Bay, Victoria Land (vol 10, pg 783, 2018)</t>
  </si>
  <si>
    <t>AIR QUALITY ATMOSPHERE AND HEALTH</t>
  </si>
  <si>
    <t>[Truzzi, C.; Annibaldi, A.; Illuminati, S.; Mantini, C.; Scarponi, G.] Univ Politecn Marche, Dipartimento Sci Vita &amp; Ambiente, I-60131 Ancona, Italy</t>
  </si>
  <si>
    <t>Marche Polytechnic University</t>
  </si>
  <si>
    <t>Annibaldi, A; Illuminati, S (corresponding author), Univ Politecn Marche, Dipartimento Sci Vita &amp; Ambiente, I-60131 Ancona, Italy.</t>
  </si>
  <si>
    <t>a.annibaldi@univpm.it; s.illuminati@univpm.it</t>
  </si>
  <si>
    <t>Illuminati, Silvia/GXZ-5038-2022; Scarponi, Giuseppe/AAQ-6394-2021</t>
  </si>
  <si>
    <t>Scarponi, Giuseppe/0000-0003-2932-0596</t>
  </si>
  <si>
    <t>1873-9318</t>
  </si>
  <si>
    <t>1873-9326</t>
  </si>
  <si>
    <t>AIR QUAL ATMOS HLTH</t>
  </si>
  <si>
    <t>Air Qual. Atmos. Health</t>
  </si>
  <si>
    <t>10.1007/s11869-017-0540-6</t>
  </si>
  <si>
    <t>GG0FL</t>
  </si>
  <si>
    <t>WOS:000432353800011</t>
  </si>
  <si>
    <t>Hosking, JS; MacLeod, D; Phillips, T; Holmes, CR; Watson, P; Shuckburgh, EF; Mitchell, D</t>
  </si>
  <si>
    <t>Hosking, J. Scott; MacLeod, D.; Phillips, T.; Holmes, C. R.; Watson, P.; Shuckburgh, E. F.; Mitchell, D.</t>
  </si>
  <si>
    <t>Changes in European wind energy generation potential within a 1.5 °C warmer world</t>
  </si>
  <si>
    <t>wind energy; load factor; Europe; 1.5 degrees C warming world</t>
  </si>
  <si>
    <t>REGIONAL CLIMATE MODEL; PROJECTED IMPACTS; POWER-GENERATION; CIRCULATION; UNCERTAINTY; RESOURCES; ENSEMBLE; STATES</t>
  </si>
  <si>
    <t>Global climate model simulations from the 'Half a degree Additional warming, Prognosis and Projected Impacts' (HAPPI) project were used to assess how wind power generation over Europe would change in a future world where global temperatures reach 1.5 degrees C above pre-industrial levels. Comparing recent historical (2006-2015) and future 1.5 degrees C forcing experiments highlights that the climate models demonstrate a northward shift in the Atlantic jet, leading to a significant (p &lt; 0.01) increase in surface winds over the UK and Northern Europe and a significant (p &lt; 0.05) reduction over Southern Europe. We use a wind turbine power model to transform daily near-surface (10 m) wind speeds into daily wind power output, accounting for sub-daily variability, the height of the turbine, and power losses due to transmission and distribution of electricity. To reduce regional model biases we use bias-corrected 10 m wind speeds. We see an increase in power generation potential over much of Europe, with the greatest increase in load factor over the UK of around four percentage points. Increases in variability are seen over much of central and northern Europe with the largest seasonal change in summer. Focusing on the UK, we find that wind energy production during spring and autumn under 1.5 degrees C forcing would become as productive as it is currently during the peak winter season. Similarly, summer winds would increase driving up wind generation to resemble levels currently seen in spring and autumn. We conclude that the potential for wind energy in Northern Europe may be greater than has been previously assumed, with likely increases even in a 1.5 degrees C warmer world. While there is the potential for Southern Europe to see a reduction in their wind resource, these decreases are likely to be negligible.</t>
  </si>
  <si>
    <t>[Hosking, J. Scott; Phillips, T.; Holmes, C. R.; Shuckburgh, E. F.] British Antarctic Survey, NERC, Madingley Rd, Cambridge CB3 0ET, England; [MacLeod, D.; Watson, P.] Univ Oxford, Dept Phys, Atmospher Ocean &amp; Planetary Phys, Oxford OX1 3PU, England; [Mitchell, D.] Univ Bristol, Sch Geog Sci, Bristol BS8 1SS, Avon, England</t>
  </si>
  <si>
    <t>UK Research &amp; Innovation (UKRI); Natural Environment Research Council (NERC); NERC British Antarctic Survey; University of Oxford; University of Bristol</t>
  </si>
  <si>
    <t>Hosking, JS (corresponding author), British Antarctic Survey, NERC, Madingley Rd, Cambridge CB3 0ET, England.</t>
  </si>
  <si>
    <t>jask@bas.ac.uk</t>
  </si>
  <si>
    <t>Hosking, Scott/D-3437-2013; Mitchell, Daniel/U-6509-2018</t>
  </si>
  <si>
    <t>Hosking, Scott/0000-0002-3646-3504; Mitchell, Daniel/0000-0002-0117-3486; Shuckburgh, Emily/0000-0001-9206-3444; MacLeod, Dave/0000-0001-5504-6450; Watson, Peter/0000-0001-5173-9903</t>
  </si>
  <si>
    <t>British Antarctic Survey, Natural Environment Research Council (NERC) National Capability funding; Office of Science of the US Department of Energy [DE-AC02-05CH11231]; NERC [NE/P002099/1, bas0100032, NE/N014057/1, bas0100033] Funding Source: UKRI</t>
  </si>
  <si>
    <t>British Antarctic Survey, Natural Environment Research Council (NERC) National Capability funding; Office of Science of the US Department of Energy(United States Department of Energy (DOE)); NERC(UK Research &amp; Innovation (UKRI)Natural Environment Research Council (NERC))</t>
  </si>
  <si>
    <t>This work was supported by the British Antarctic Survey, Natural Environment Research Council (NERC) National Capability funding. This research used science gateway resources of the National Energy Research Scientific Computing Center, a DOE Office of Science User Facility supported by the Office of Science of the US Department of Energy under Contract No. DE-AC02-05CH11231. The Iris python software package (version 1.13) was used for data analysis (http://scitools.org.uk/iris/).</t>
  </si>
  <si>
    <t>10.1088/1748-9326/aabf78</t>
  </si>
  <si>
    <t>GG1HT</t>
  </si>
  <si>
    <t>Green Published, Green Accepted, gold, Green Submitted</t>
  </si>
  <si>
    <t>WOS:000432438700001</t>
  </si>
  <si>
    <t>Rimondino, GN; Pepino, AJ; Manetti, MD; Olcese, L; Argüello, GA</t>
  </si>
  <si>
    <t>Noe Rimondino, Guido; Julieta Pepino, Ana; Diego Manetti, Martin; Olcese, Luis; Alejandro Arguello, Gustavo</t>
  </si>
  <si>
    <t>Latitudinal distribution of OCPs in the open ocean atmosphere between the Argentinian coast and Antarctic Peninsula</t>
  </si>
  <si>
    <t>ENVIRONMENTAL SCIENCE AND POLLUTION RESEARCH</t>
  </si>
  <si>
    <t>Antarctica; OCPs; Endosulfan; HCHs; HCB; Atmosphere</t>
  </si>
  <si>
    <t>PERSISTENT ORGANIC POLLUTANTS; ORGANOCHLORINE PESTICIDES; POLYCHLORINATED-BIPHENYLS; SOUTHERN-OCEAN; POLYURETHANE FOAM; SURFACE SEAWATER; POLAR-REGIONS; AIR; TRANSPORT; FATE</t>
  </si>
  <si>
    <t>Long-range atmospheric transport is one of the most important ways in which persistent organic pollutants can be transported from their source to remote and pristine regions. Here, we report the results of the first Argentinian measurements of organochlorine pesticides in the Antarctic region. During a 9665-km track onboard OV ARA Puerto Deseado, within the framework of Argentinian Antarctic Expeditions, air samples were taken using high-volume samplers and analyzed using GC-mu ECD. HCB, HCHs, and endosulfans were the major organic pollutants found, and a north-south gradient in their concentrations was evident by comparing data from the Argentinian offshore zone to the South Scotia Sea.</t>
  </si>
  <si>
    <t>[Noe Rimondino, Guido; Julieta Pepino, Ana; Diego Manetti, Martin; Olcese, Luis; Alejandro Arguello, Gustavo] Univ Nacl Cordoba, Inst Invest Fis Quim INFIQC, CONICET, Fac Ciencias Quim,Dept Fis Quim, Cordoba, Argentina</t>
  </si>
  <si>
    <t>Consejo Nacional de Investigaciones Cientificas y Tecnicas (CONICET); National University of Cordoba</t>
  </si>
  <si>
    <t>Argüello, GA (corresponding author), Univ Nacl Cordoba, Inst Invest Fis Quim INFIQC, CONICET, Fac Ciencias Quim,Dept Fis Quim, Cordoba, Argentina.</t>
  </si>
  <si>
    <t>gaac@fcq.unc.edu.ar</t>
  </si>
  <si>
    <t>Rimondino, Guido Noe/0000-0003-4064-126X</t>
  </si>
  <si>
    <t>Consejo Nacional de Investigaciones Cientificas y Tecnicas (CONICET); Secretaria de Ciencia y Tecnica - Universidad Nacional de Cordoba (SeCyT-UNC)</t>
  </si>
  <si>
    <t>Consejo Nacional de Investigaciones Cientificas y Tecnicas (CONICET)(Consejo Nacional de Investigaciones Cientificas y Tecnicas (CONICET)); Secretaria de Ciencia y Tecnica - Universidad Nacional de Cordoba (SeCyT-UNC)(Secretaria de Ciencia y Tecnologia (SECYT))</t>
  </si>
  <si>
    <t>We wish to thank to the crew of OV ARA Puerto Deseado and participants of the Summer Antarctic Campaign that collaborated during sampling procedures. We also acknowledge the partial financial support from the Consejo Nacional de Investigaciones Cientificas y Tecnicas (CONICET) and from Secretaria de Ciencia y Tecnica - Universidad Nacional de Cordoba (SeCyT-UNC). The authors gratefully acknowledge the NOAA Air Resources Laboratory (ARL) for the provision of the HYSPLIT transport and dispersion model and/or READY website (http://www.ready.noaa.gov) used in this publication.</t>
  </si>
  <si>
    <t>0944-1344</t>
  </si>
  <si>
    <t>1614-7499</t>
  </si>
  <si>
    <t>ENVIRON SCI POLLUT R</t>
  </si>
  <si>
    <t>Environ. Sci. Pollut. Res.</t>
  </si>
  <si>
    <t>10.1007/s11356-018-1572-7</t>
  </si>
  <si>
    <t>GF3UZ</t>
  </si>
  <si>
    <t>WOS:000431883500072</t>
  </si>
  <si>
    <t>D'Alessandro, G; Paiella, A; Coppolecchia, A; Castellano, MG; Colantoni, I; de Bernardis, P; Lamagna, L; Masi, S</t>
  </si>
  <si>
    <t>D'Alessandro, G.; Paiella, A.; Coppolecchia, A.; Castellano, M. G.; Colantoni, I.; de Bernardis, P.; Lamagna, L.; Masi, S.</t>
  </si>
  <si>
    <t>Ultra high molecular weight polyethylene: Optical features at millimeter wavelengths</t>
  </si>
  <si>
    <t>INFRARED PHYSICS &amp; TECHNOLOGY</t>
  </si>
  <si>
    <t>Far infrared and millimeter wavelengths; Polymer material; Optical features; Astronomy and astrophysics</t>
  </si>
  <si>
    <t>ASTRONOMICAL OBSERVATIONS; MECHANICAL-PROPERTIES; SUBMILLIMETER; EMISSIVITY</t>
  </si>
  <si>
    <t>The next generation of experiments for the measurement of the Cosmic Microwave Background (CMB) requires more and more the use of advanced materials, with specific physical and structural properties. An example is the material used for receiver's cryostat windows and internal lenses. The large throughput of current CMB experiments requires a large diameter (of the order of 0.5 m) of these parts, resulting in heavy structural and optical requirements on the material to be used. Ultra High Molecular Weight (UHMW) polyethylene (PE) features high resistance to traction and good transmissivity in the frequency range of interest. In this paper, we discuss the possibility of using UHMW PE for windows and lenses in experiments working at millimeter wavelengths, by measuring its optical properties: emissivity, transmission and refraction index. Our measurements show that the material is well suited to this purpose. (C) 2018 Elsevier B.V. All rights reserved.</t>
  </si>
  <si>
    <t>[D'Alessandro, G.; Paiella, A.; Coppolecchia, A.; de Bernardis, P.; Lamagna, L.; Masi, S.] Univ Roma La Sapienza, Dipartimento Fis, Ple A Moro 2, I-00185 Rome, Italy; [Castellano, M. G.; Colantoni, I.] CNR, Ist Foton &amp; Nanotecnol, Via Cineto Romano 42, I-00156 Rome, Italy; [Colantoni, I.] Dublin Inst Adv Studies, Sch Cosm Phys, Astron &amp; Astrophys Sect, 31 Fitzwilliam Pl, Dublin D02 XF86, Ireland</t>
  </si>
  <si>
    <t>Sapienza University Rome; Consiglio Nazionale delle Ricerche (CNR); Dublin Institute for Advanced Studies</t>
  </si>
  <si>
    <t>D'Alessandro, G (corresponding author), Univ Roma La Sapienza, Dipartimento Fis, Ple A Moro 2, I-00185 Rome, Italy.</t>
  </si>
  <si>
    <t>giu.dalessandro@gmail.com</t>
  </si>
  <si>
    <t>Colantoni, Ivan/N-3739-2017; Castellano, Maria Gabriella/C-4509-2009; Paiella, Alessandro/ISU-4472-2023; Dalessandro, Giuseppe/AAN-4438-2020</t>
  </si>
  <si>
    <t>Colantoni, Ivan/0000-0002-0300-247X; Paiella, Alessandro/0000-0002-8388-3480; Dalessandro, Giuseppe/0000-0001-8717-0843; Coppolecchia, Alessandro/0000-0003-4522-5214; D'Alessandro, Giuseppe/0000-0002-2580-043X</t>
  </si>
  <si>
    <t>ASI (Agenzia Spaziale Italiana); PNRA (Italian National Antarctic Research Program); Sapienza University of Rome research-startup funds; OLIMPO; Millimetron</t>
  </si>
  <si>
    <t>ASI (Agenzia Spaziale Italiana)(Agenzia Spaziale Italiana (ASI)); PNRA (Italian National Antarctic Research Program); Sapienza University of Rome research-startup funds; OLIMPO; Millimetron</t>
  </si>
  <si>
    <t>This work has been supported by ASI (Agenzia Spaziale Italiana), grants OLIMPO and Millimetron, by PNRA (Italian National Antarctic Research Program), and by Sapienza University of Rome research-startup funds.</t>
  </si>
  <si>
    <t>1350-4495</t>
  </si>
  <si>
    <t>1879-0275</t>
  </si>
  <si>
    <t>INFRARED PHYS TECHN</t>
  </si>
  <si>
    <t>Infrared Phys. Technol.</t>
  </si>
  <si>
    <t>10.1016/j.infrared.2018.02.008</t>
  </si>
  <si>
    <t>Instruments &amp; Instrumentation; Optics; Physics, Applied</t>
  </si>
  <si>
    <t>Instruments &amp; Instrumentation; Optics; Physics</t>
  </si>
  <si>
    <t>GF4LX</t>
  </si>
  <si>
    <t>WOS:000431935500008</t>
  </si>
  <si>
    <t>Spigel, RH; Priscu, JC; Obryk, MK; Stone, W; Doran, PT</t>
  </si>
  <si>
    <t>Spigel, Robert H.; Priscu, John C.; Obryk, Maciej K.; Stone, William; Doran, Peter T.</t>
  </si>
  <si>
    <t>The physical limnology of a permanently ice-covered and chemically stratified Antarctic lake using high resolution spatial data from an autonomous underwater vehicle</t>
  </si>
  <si>
    <t>MCMURDO DRY VALLEYS; TAYLOR VALLEY; BLOOD FALLS; WATER; GLACIER; BONNEY; SEAWATER; FLOW; TEMPERATURE; INTRUSIONS</t>
  </si>
  <si>
    <t>We used an Environmentally Non-Disturbing Under-ice Robotic ANtarctic Explorer to make measurements of conductivity and temperature in Lake Bonney, a chemically stratified, permanently ice-covered Antarctic lake that abuts Taylor Glacier, an outlet glacier from the Polar Plateau. The lake is divided into two lobes - East Lobe Bonney (ELB) and West Lobe Bonney (WLB), each with unique temperature and salinity profiles. Most of our data were collected in November 2009 from WLB to examine the influence of the Taylor Glacier on the structure of the water column. Temperatures adjacent to the glacier face between 20 m and 22 m were 3 degrees C colder than in the rest of WLB, due to latent heat transfer associated with melting of the submerged glacier face and inflow of cold brines that originate beneath the glacier. Melting of the glacier face into the salinity gradient below the chemocline generates a series of nearly horizontal intrusions into WLB that were previously documented in profiles measured with 3 cm vertical resolution in 1990-1991. WLB and ELB are connected by a narrow channel through which water can be exchanged over a shallow sill that controls the position of the chemocline in WLB. A complex exchange flow appears to exist through the narrows, driven by horizontal density gradients and melting at the glacier face. Superimposed on the exchange is a net west-to-east flow generated by the higher volume of meltwater inflows to WLB. Both of these processes can be expected to be enhanced in the future as more meltwater is produced.</t>
  </si>
  <si>
    <t>[Spigel, Robert H.] Natl Inst Water &amp; Atmospher Res, Christchurch, New Zealand; [Priscu, John C.] Montana State Univ, Dept Land Resources &amp; Environm Sci, Bozeman, MT 59717 USA; [Obryk, Maciej K.; Doran, Peter T.] Louisiana State Univ, Dept Geol &amp; Geophys, Baton Rouge, LA 70803 USA; [Stone, William] Stone Aerosp, Del Valle, TX USA</t>
  </si>
  <si>
    <t>National Institute of Water &amp; Atmospheric Research (NIWA) - New Zealand; Montana State University System; Montana State University Bozeman; Louisiana State University System; Louisiana State University</t>
  </si>
  <si>
    <t>Doran, PT (corresponding author), Louisiana State Univ, Dept Geol &amp; Geophys, Baton Rouge, LA 70803 USA.</t>
  </si>
  <si>
    <t>pdoran@lsu.edu</t>
  </si>
  <si>
    <t>Obryk, Maciej/0000-0002-8182-8656</t>
  </si>
  <si>
    <t>NASA Astrobiology Science and Technology for Exploring Planets (ASTEP) program [NNX07AM88G]; National Science Foundation, Office of Polar Programs [9810219, 0096250, 0832755, 1041742, 1115245]; Directorate For Geosciences; Office of Polar Programs (OPP) [9810219, 1115245] Funding Source: National Science Foundation; Directorate For Geosciences; Office of Polar Programs (OPP) [0096250] Funding Source: National Science Foundation</t>
  </si>
  <si>
    <t>NASA Astrobiology Science and Technology for Exploring Planets (ASTEP) program; National Science Foundation, Office of Polar Programs(National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</si>
  <si>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would like to thank everyone in the ENDURANCE teams and the LTER lake teams for making this project successful. This project was largely supported by a grant from the NASA Astrobiology Science and Technology for Exploring Planets (ASTEP) program (#NNX07AM88G). The National Science Foundation, Office of Polar Programs, provided logistical support in the field, and funding for the McMurdo Long Term Ecological Research (LTER) site which supplied contextual and long term data to this project (grant numbers 9810219, 0096250, 0832755, 1041742, and 1115245).</t>
  </si>
  <si>
    <t>10.1002/lno.10768</t>
  </si>
  <si>
    <t>WOS:000432019600014</t>
  </si>
  <si>
    <t>Martin, P; Lauro, FM; Sarkar, A; Goodkin, N; Prakash, S; Vinayachandran, PN</t>
  </si>
  <si>
    <t>Martin, Patrick; Lauro, Federico M.; Sarkar, Amit; Goodkin, Nathalie; Prakash, Satya; Vinayachandran, P. N.</t>
  </si>
  <si>
    <t>Particulate polyphosphate and alkaline phosphatase activity across a latitudinal transect in the tropical Indian Ocean</t>
  </si>
  <si>
    <t>DISSOLVED ORGANIC PHOSPHORUS; NORTH PACIFIC; FLUOROMETRIC QUANTIFICATION; INORGANIC POLYPHOSPHATE; HETEROTROPHIC BACTERIA; COMMUNITY STRUCTURE; MARINE; DYNAMICS; PROCHLOROCOCCUS; ATLANTIC</t>
  </si>
  <si>
    <t>Polyphosphate (polyP) is an essential chemical constituent of microbial cells, and is hypothesized to play important roles in the marine biogeochemistry of phosphorus. However, polyP has only rarely been measured in the oceans. Here, we present data on the distribution of polyP across a latitudinal transect in the tropical Indian Ocean. PolyP concentrations (quantified as molar equivalents of a synthetic polyP standard) and ratios of polyP to total particulate phosphorus (TPP) along the transect ranged between 3-7 nmol eq. L-1 (polyP concentration) and 0.2-0.4 nmol eq. nmol(-1) (polyP : TPP ratio), which is very similar to values reported from the North Pacific Subtropical Gyre. Yet unlike in the North Pacific, soluble reactive phosphorus was depleted to low concentrations (&lt;= 0.03 mu mol L-1), and alkaline phosphatase activity was relatively high (1-4 nmol P L-1 h(-1)) along our cruise track. We attribute these results to the unique seasonal changes in iron and macronutrient supply in the Indian Ocean, which are caused by the monsoonal reversal in ocean currents. PolyP concentrations and polyP : TPP ratios decreased sharply with depth down to 150 m, suggesting that polyP was preferentially recycled relative to TPP, unlike in the North Pacific Subtropical Gyre. We hypothesize that alkaline phosphatase exerts a significant control over marine polyP biogeochemistry.</t>
  </si>
  <si>
    <t>[Martin, Patrick; Lauro, Federico M.; Goodkin, Nathalie] Nanyang Technol Univ, Asian Sch Environm, Singapore, Singapore; [Lauro, Federico M.] Nanyang Technol Univ, Singapore Ctr Environm Life Sci Engn, Singapore, Singapore; [Lauro, Federico M.] Indigo V Expedit, ONE 15 Marina, Sentosa Cove, Singapore; [Sarkar, Amit] Natl Ctr Antarctic &amp; Ocean Res, Vasco Da Gama, Goa, India; [Goodkin, Nathalie] Earth Observ Singapore, Singapore, Singapore; [Prakash, Satya] Indian Natl Ctr Ocean Informat Serv, Hyderabad, Telangana, India; [Vinayachandran, P. N.] Indian Inst Sci, Ctr Atmospher &amp; Ocean Sci, Bangalore, Karnataka, India</t>
  </si>
  <si>
    <t>Nanyang Technological University; Nanyang Technological University; Ministry of Earth Sciences (MoES) - India; National Centre for Polar and Ocean Research (NCPOR); Nanyang Technological University; Ministry of Earth Sciences (MoES) - India; Indian National Centre for Ocean Information Services (INCOIS); Indian Institute of Science (IISC) - Bangalore</t>
  </si>
  <si>
    <t>Martin, P (corresponding author), Nanyang Technol Univ, Asian Sch Environm, Singapore, Singapore.</t>
  </si>
  <si>
    <t>pmartin@ntu.edu.sg</t>
  </si>
  <si>
    <t>Martin, Patrick/F-6263-2017; Lauro, Federico/X-2420-2019; Prakash, Satya/HNS-9397-2023</t>
  </si>
  <si>
    <t>Martin, Patrick/0000-0001-8008-5558; Lauro, Federico/0000-0002-8373-1014; Goodkin, Nathalie/0000-0001-9697-5520</t>
  </si>
  <si>
    <t>Indian National Centre for Ocean Information Services (INCOIS), Ministry of Earth Sciences, Government of India; Nanyang Technological University; National Research Foundation Singapore under its Singapore NRF Fellowship scheme [NRF-RF2012-03]; Singapore Ministry of Education under the Research Centres of Excellence initiative; National Research Foundation Singapore; Ministry of Education; National University of Singapore, under its Research Centre of Excellence Programme</t>
  </si>
  <si>
    <t>Indian National Centre for Ocean Information Services (INCOIS), Ministry of Earth Sciences, Government of India; Nanyang Technological University(Nanyang Technological University); National Research Foundation Singapore under its Singapore NRF Fellowship scheme(National Research Foundation, Singapore); Singapore Ministry of Education under the Research Centres of Excellence initiative(Ministry of Education, Singapore); National Research Foundation Singapore(National Research Foundation, Singapore); Ministry of Education; National University of Singapore, under its Research Centre of Excellence Programme(National University of Singapore)</t>
  </si>
  <si>
    <t>We thank Aneesh Lotliker for sharing chlorophyll data with us, and Daniela Drautz-Moses, Caroline Chenard and Wenshu Yap for technical assistance during genetic sequence data processing and analysis. The cruise on board RV Sagar Nidhi was funded by the Indian National Centre for Ocean Information Services (INCOIS), Ministry of Earth Sciences, Government of India, as the first research cruise under the International Indian Ocean Expedition 2, and we are grateful to the captain and crew of RV Sagar Nidhi. We thank two anonymous reviewers for helping to improve the manuscript. This work was supported by a Start-Up Grant from Nanyang Technological University to P.M. N.F.G. was funded by the National Research Foundation Singapore under its Singapore NRF Fellowship scheme awarded to N.F.G. (National Research Fellow award NRF-RF2012-03), as administered by the Earth Observatory of Singapore and the Singapore Ministry of Education under the Research Centres of Excellence initiative. The research at the Singapore Centre for Environmental Life Sciences Engineering (SCELSE) is supported by the National Research Foundation Singapore, Ministry of Education to Nanyang Technological University and National University of Singapore, under its Research Centre of Excellence Programme.</t>
  </si>
  <si>
    <t>10.1002/lno.10780</t>
  </si>
  <si>
    <t>hybrid, Green Published</t>
  </si>
  <si>
    <t>WOS:000432019600025</t>
  </si>
  <si>
    <t>Strobel, A; Mark, FC; Segner, H; Burkhardt-Holm, P</t>
  </si>
  <si>
    <t>Strobel, Anneli; Mark, Felix C.; Segner, Helmut; Burkhardt-Holm, Patricia</t>
  </si>
  <si>
    <t>Expression of Aryl Hydrocarbon Receptor-Regulated Genes and Superoxide Dismutase in the Antarctic Eelpout Pachycara brachycephalum Exposed to Benzo[a]pyrene</t>
  </si>
  <si>
    <t>ENVIRONMENTAL TOXICOLOGY AND CHEMISTRY</t>
  </si>
  <si>
    <t>Quantitative polymerase chain reaction; Cytochrome-P450; Polycyclic aromatic hydrocarbons; Biomarker; Zoarcidae</t>
  </si>
  <si>
    <t>POLYCYCLIC AROMATIC-HYDROCARBONS; PERSISTENT ORGANIC POLLUTANTS; TROUT ONCORHYNCHUS-MYKISS; RAINBOW-TROUT; OXIDATIVE STRESS; TREMATOMUS-BERNACCHII; CYTOCHROME-P450 1A; FISH; INDUCTION; CYP1A</t>
  </si>
  <si>
    <t>The aryl hydrocarbon receptor (AhR) pathway mediates many, if not all, responses of fish to dioxin-like compounds. The Southern Ocean is progressively exposed to increasing concentrations of anthropogenic pollutants. Antarctic fish are known to accumulate those pollutants, yet nothing is known about their capability to induce chemical biotransformation via the AhR pathway. The objective of the present study was to investigate whether Antarctic eelpout, Pachycara brachycephalum, respond to anthropogenic pollutants by activation of the AhR and its target gene cytochrome P4501A (CYP1A), and of superoxide dismutase (SOD), which served as a representative for oxidative stress. We exposed P. brachycephalum to 10 and 100 mg benzo[a]pyrene (BaP)/kg body weight for 10 d and measured the expression of AhR, CYP1A, and SOD in liver tissue via quantitative polymerase chain reaction. We identified two distinct AhR isoforms in the liver of P. brachycephalum. Antarctic eelpout responded to both BaP exposures by an up-regulation of AhR and SOD, and by a particularly strong induction of CYP1A expression, which remained high until day 10 of the exposure time. Our data suggest that P. brachycephalum possesses the potential to up-regulate xenobiotic biotransformation pathways, at least at the gene expression level. The time course of the AhR and CYP1A response points to an efficient but slow xenobiotics metabolism. Moreover, BaP exposure could include adverse effects such as oxidative stress. (C) 2018 SETAC</t>
  </si>
  <si>
    <t>[Strobel, Anneli; Burkhardt-Holm, Patricia] Univ Basel, Dept Environm Sci, Man Soc Environm, Basel, Switzerland; [Mark, Felix C.] Helmholtz Ctr Polar &amp; Marine Res, Alfred Wegener Inst, Integrat Ecophysiol, Bremerhaven, Germany; [Segner, Helmut] Univ Bern, Vetsuisse Fac, Ctr Fish &amp; Wildlife Hlth, Bern, Switzerland</t>
  </si>
  <si>
    <t>University of Basel; Helmholtz Association; Alfred Wegener Institute, Helmholtz Centre for Polar &amp; Marine Research; University of Bern</t>
  </si>
  <si>
    <t>Strobel, A (corresponding author), Univ Basel, Dept Environm Sci, Man Soc Environm, Basel, Switzerland.</t>
  </si>
  <si>
    <t>anneli.strobel@unibas.ch</t>
  </si>
  <si>
    <t>Mark, Felix Christopher/P-4759-2016; Strobel, Anneli/S-5853-2016</t>
  </si>
  <si>
    <t>Mark, Felix Christopher/0000-0002-5586-6704;</t>
  </si>
  <si>
    <t>Swiss National Science Foundation [SNSF 31003A_149964/1]; Freiwillige Akademische Gesellschaft Basel</t>
  </si>
  <si>
    <t>Swiss National Science Foundation(Swiss National Science Foundation (SNSF)); Freiwillige Akademische Gesellschaft Basel(General Electric)</t>
  </si>
  <si>
    <t>The present study was funded by the Swiss National Science Foundation (SNSF 31003A_149964/1) and the Freiwillige Akademische Gesellschaft Basel. We thank H.O. Portner, head of the section Integrative Ecophysiology of the Alfred Wegener Institute Helmholtz Centre for Polar and Marine Research for providing us the Antarctic eelpout and laboratory facilities. We also thank M. Lucassen and N. Koschnick of the section Integrative Ecophysiology for the acquisition of the fish. We are particularly grateful to H. Schiffer (University of Basel) for her valuable assistance in the laboratory.</t>
  </si>
  <si>
    <t>0730-7268</t>
  </si>
  <si>
    <t>1552-8618</t>
  </si>
  <si>
    <t>ENVIRON TOXICOL CHEM</t>
  </si>
  <si>
    <t>Environ. Toxicol. Chem.</t>
  </si>
  <si>
    <t>10.1002/etc.4075</t>
  </si>
  <si>
    <t>GE0OZ</t>
  </si>
  <si>
    <t>WOS:000430916000024</t>
  </si>
  <si>
    <t>Helten, C; Naguib, D; Dannenberg, L; Poehl, M; Ayhan, A; Hohlfeld, T; Levkau, B; Kelm, M; Zeus, T; Polzin, A</t>
  </si>
  <si>
    <t>Helten, C.; Naguib, D.; Dannenberg, L.; Poehl, M.; Ayhan, A.; Hohlfeld, T.; Levkau, B.; Kelm, M.; Zeus, T.; Polzin, A.</t>
  </si>
  <si>
    <t>Platelet function testing: dead or alive</t>
  </si>
  <si>
    <t>JOURNAL OF THROMBOSIS AND HAEMOSTASIS</t>
  </si>
  <si>
    <t>bleeding; ischemia; P2Y(12) receptor antagonists; pharmacodynamics; platelet function tests</t>
  </si>
  <si>
    <t>PERCUTANEOUS CORONARY INTERVENTION; ADJUST ANTIPLATELET THERAPY; ADENOSINE-DIPHOSPHATE; RANDOMIZED-TRIAL; OPEN-LABEL; CLOPIDOGREL; REACTIVITY; ASPIRIN; IMPLANTATION; AGGREGATION</t>
  </si>
  <si>
    <t>Background: High on-treatment platelet reactivity (HTPR) to antiplatelet medication leads to ischemic events, whereas low on-treatment platelet reactivity (LTPR) increases bleeding risk. However, various trials have failed to demonstrate superiority of tailored antiplatelet regimens (ARCTIC, ANTARCTIC, Trigger-PCI, and GRAVITAS). TROPICAL-ACS was the first study that demonstrated the benefit of tailoring antiplatelet medication according to platelet function analysis. A potential reason may be that different platelet function assays were used in these trials. Objectives: To evaluate whether the results of platelet function tests are comparable. Patients/Methods: We tested three commonly used assays - light transmission aggregometry (LTA), (Multi-plate impedance aggregometry [MP]), and vasodilator-stimulated phosphoprotein phosphorylation assay (VASP) - in 23 patients receiving dual antiplatelet therapy with aspirin and clopidogrel. Results: With LTA, HTPR occurred in 57% of patients; with VASP, it occurred in 43% of patients; and with MP, it occurred in 13% of patients. According to LTA, only 35% of patients were in the therapeutic window; according to VASP, 57% of patients were in the therapeutic window; and according to MP, 48% of patients were in the therapeutic window. With LTA, LTPR occurred in 9% of patients; with VASP, it occurred in 0% of patients; and with MP, it occurred in 39% of patients. Therefore, the prevalences of HTPR and LTPR differed significantly between assays. Remarkably, in 17% of patients, one assay showed HTPR whereas another showed LTPR. Conclusions: The results of different platelet function assays differ substantially. Up to now, only TROPICAL-ACS had demonstrated a benefit of tailoring antiplatelet medication according to platelet function analysis. Future trials are needed to evaluate whether the platelet function assay used in TROPICAL-ACS is the 'correct' one and revives platelet function testing.</t>
  </si>
  <si>
    <t>[Helten, C.; Naguib, D.; Dannenberg, L.; Poehl, M.; Ayhan, A.; Kelm, M.; Zeus, T.; Polzin, A.] Heinrich Heine Univ Dusseldorf, Univ Hosp Dusseldorf, Med Fac, Cardiovasc Res Inst Dusseldorf CARID,Dept Cardiol, Dusseldorf, Germany; [Hohlfeld, T.] Heinrich Heine Univ Dusseldorf, Inst Pharmacol &amp; Clin Pharmacol, Dusseldorf, Germany; [Levkau, B.] Univ Duisburg Essen, Univ Hosp Essen, West German Heart &amp; Vasc Ctr, Inst Pathophysiol, Essen, Germany</t>
  </si>
  <si>
    <t>Heinrich Heine University Dusseldorf; Heinrich Heine University Dusseldorf Hospital; Heinrich Heine University Dusseldorf; University of Duisburg Essen</t>
  </si>
  <si>
    <t>Polzin, A (corresponding author), Klin Kardiol Pneumol &amp; Angiol, Moorenstr 5, D-40225 Dusseldorf, Germany.</t>
  </si>
  <si>
    <t>Amin.Polzin@med.uni-duesseldorf.de</t>
  </si>
  <si>
    <t>Kelm, Malte/0000-0003-0060-1052</t>
  </si>
  <si>
    <t>Forschungskommission of the Medical Faculty of the Heinrich Heine University [46-2016]</t>
  </si>
  <si>
    <t>Forschungskommission of the Medical Faculty of the Heinrich Heine University</t>
  </si>
  <si>
    <t>Part of this work was supported by the Forschungskommission of the Medical Faculty of the Heinrich Heine University (No. 46-2016) (to L. Dannenberg).</t>
  </si>
  <si>
    <t>1538-7933</t>
  </si>
  <si>
    <t>1538-7836</t>
  </si>
  <si>
    <t>J THROMB HAEMOST</t>
  </si>
  <si>
    <t>J. Thromb. Haemost.</t>
  </si>
  <si>
    <t>10.1111/jth.13997</t>
  </si>
  <si>
    <t>Hematology; Peripheral Vascular Disease</t>
  </si>
  <si>
    <t>Hematology; Cardiovascular System &amp; Cardiology</t>
  </si>
  <si>
    <t>GF1AJ</t>
  </si>
  <si>
    <t>WOS:000431663100019</t>
  </si>
  <si>
    <t>Richter, S; Gerum, RC; Schneider, W; Fabry, B; Le Bohec, C; Zitterbart, DP</t>
  </si>
  <si>
    <t>Richter, Sebastian; Gerum, Richard C.; Schneider, Werner; Fabry, Ben; Le Bohec, Celine; Zitterbart, Daniel P.</t>
  </si>
  <si>
    <t>A remote-controlled observatory for behavioural and ecological research: A case study on emperor penguins</t>
  </si>
  <si>
    <t>animal colony; Antarctica; behaviour; emperor penguin; remote-controlled observatory; time-lapse imaging</t>
  </si>
  <si>
    <t>CAMERA SYSTEM; DYNAMICS</t>
  </si>
  <si>
    <t>1. Long-term photographic recordings of animal populations provide unique insights into ecological and evolutionary processes. However, image acquisition at remote locations under harsh climatic conditions is highly challenging. 2. We present a robust, energetically self-sufficient and remote-controlled observatory designed to operate year-round in the Antarctic at temperatures below -50 degrees C and wind speeds above 150 km/h. The observatory is equipped with multiple overview cameras and a high resolution steerable camera with a telephoto lens for capturing images with high spatial and temporal resolution. 3. Our observatory has been in operation since 2013 to investigate an emperor penguin (Aptenodytes forsteri) colony at Atka Bay near the German Neumayer III research station. Data recorded by this observatory give novel biological insights in animal life cycle and demographic trends, but also in collective and individual behaviour. As an example, we present data showing how wind speed and direction influence movements of the entire colony and of individual penguins. We also estimate daily fluctuations in the total number of individuals present at the breeding site. 4. Our results demonstrate that remote-controlled observation systems can bridge the gap between remote sensing, simple time-lapse recording setups, and on-site observations by human investigators to collect unique biological datasets of undisturbed animal populations.</t>
  </si>
  <si>
    <t>[Richter, Sebastian; Gerum, Richard C.; Schneider, Werner; Fabry, Ben; Zitterbart, Daniel P.] Friedrich Alexander Univ, Biophys Grp, Erlangen, Germany; [Le Bohec, Celine] Ctr Sci Monaco, Dept Biol Polaire, Monaco, Monaco; [Le Bohec, Celine] Univ Strasbourg, CNRS, IPHC, Strasbourg, France; [Zitterbart, Daniel P.] Woods Hole Oceanog Inst, Appl Ocean Phys &amp; Engn, Woods Hole, MA 02543 USA; [Zitterbart, Daniel P.] Alfred Wegener Inst Polar &amp; Marine Res, Bremerhaven, Germany</t>
  </si>
  <si>
    <t>University of Erlangen Nuremberg; Centre National de la Recherche Scientifique (CNRS); Universites de Strasbourg Etablissements Associes; Universite de Strasbourg; Woods Hole Oceanographic Institution; Helmholtz Association; Alfred Wegener Institute, Helmholtz Centre for Polar &amp; Marine Research</t>
  </si>
  <si>
    <t>Richter, S; Zitterbart, DP (corresponding author), Friedrich Alexander Univ, Biophys Grp, Erlangen, Germany.;Zitterbart, DP (corresponding author), Woods Hole Oceanog Inst, Appl Ocean Phys &amp; Engn, Woods Hole, MA 02543 USA.;Zitterbart, DP (corresponding author), Alfred Wegener Inst Polar &amp; Marine Res, Bremerhaven, Germany.</t>
  </si>
  <si>
    <t>sebastian.sr.richter@gmail.com; dpz@whoi.edu</t>
  </si>
  <si>
    <t>LE BOHEC, CELINE/AAD-3589-2022; Zitterbart, Daniel P/N-7489-2013; Fabry, Ben/C-5496-2013; Gerum, Richard Carl/AAW-8732-2021</t>
  </si>
  <si>
    <t>Fabry, Ben/0000-0003-1737-0465; Gerum, Richard Carl/0000-0001-5893-2650; LE BOHEC, Celine/0000-0003-0149-6477; Zitterbart, Daniel/0000-0001-9429-4350; Richter, Sebastian/0000-0002-1948-7088</t>
  </si>
  <si>
    <t>Deutsche Forschungsgemeinschaft [FA336/5-1, ZI1525/3-1]</t>
  </si>
  <si>
    <t>Deutsche Forschungsgemeinschaft(German Research Foundation (DFG))</t>
  </si>
  <si>
    <t>Deutsche Forschungsgemeinschaft, Grant/Award Number: FA336/5-1 and ZI1525/3-1</t>
  </si>
  <si>
    <t>10.1111/2041-210X.12971</t>
  </si>
  <si>
    <t>WOS:000431666300002</t>
  </si>
  <si>
    <t>Guillemin, ML; Dubrasquet, H; Reyes, J; Valero, M</t>
  </si>
  <si>
    <t>Guillemin, Marie-Laure; Dubrasquet, Helene; Reyes, Janette; Valero, Myriam</t>
  </si>
  <si>
    <t>Comparative phylogeography of six red algae along the Antarctic Peninsula: extreme genetic depletion linked to historical bottlenecks and recent expansion</t>
  </si>
  <si>
    <t>Antarctic Peninsula; South Shetland; COI; Rhodophyta; Glaciation; Pleistocene; Refugia</t>
  </si>
  <si>
    <t>SOUTH SHETLAND ISLANDS; POPULATION-GROWTH; HIGH-LATITUDES; CLIMATE-CHANGE; ICE-SHEET; MARINE; DIVERSITY; OCEAN; SPECIATION; DIVERSIFICATION</t>
  </si>
  <si>
    <t>In the Southern Ocean, rapid climatic fluctuations during the Quaternary are thought to have induced range contractions and bottlenecks, thereby instigating genetic divergence and potentially even speciation of marine species. Specifically, ice scouring during glacial events may have had drastic impacts on seaweed communities, thus leading to genetic diversification between algal populations that persisted on the Antarctic shelf in small isolated refugia. Using the mitochondrial Cytochrome c Oxidase I (COI) gene and 279 individual macroalgal specimens collected from five geographic areas along the coasts of the Antarctic Peninsula and the South Shetland Islands, we studied the genetic diversity of six commonly encountered species of red algae. All six algae were characterized by very low genetic diversity, and we found a significant signature of recent population expansion of a single haplotype encountered over more than 450 km. These results reflect the drastic impact of historical perturbations on populations of Antarctic seaweeds. We propose that genetic drift during a glacial bottleneck had a strong effect and could have been amplified by gene surfing effects during spatial expansion after ice sheet retreat. This led to the rapid spread of a single haplotype in the recolonized region. Unfortunately, the very low level of genetic diversity encountered did not allow us to precisely pinpoint the putative location of the glacial refugium inhabited by Antarctic seaweeds. Despite this, we propose that future studies should test the role of active volcanic areas, such as Deception Island, as long-term refugia in the region.</t>
  </si>
  <si>
    <t>[Guillemin, Marie-Laure; Dubrasquet, Helene; Reyes, Janette] Univ Austral Chile, Inst Ciencias Ambientales &amp; Evolut, Fac Ciencias, Casilla 567, Valdivia, Chile; [Guillemin, Marie-Laure; Dubrasquet, Helene; Valero, Myriam] UPMC Univ Paris VI, Evolutionary Biol &amp; Ecol Algae, Sorbonne Univ, CNRS,PUC,UACH,Stn Biol Roscoff,UMI 3614, CS 90074,Pl G Teissier, F-29680 Roscoff, France; [Guillemin, Marie-Laure] Ctr FONDAP Invest Dinam Ecosistemas Marinos Altas, Valdivia, Chile</t>
  </si>
  <si>
    <t>Universidad Austral de Chile; Centre National de la Recherche Scientifique (CNRS); CNRS - Institute of Ecology &amp; Environment (INEE); Sorbonne Universite</t>
  </si>
  <si>
    <t>Guillemin, ML (corresponding author), Univ Austral Chile, Inst Ciencias Ambientales &amp; Evolut, Fac Ciencias, Casilla 567, Valdivia, Chile.;Guillemin, ML (corresponding author), UPMC Univ Paris VI, Evolutionary Biol &amp; Ecol Algae, Sorbonne Univ, CNRS,PUC,UACH,Stn Biol Roscoff,UMI 3614, CS 90074,Pl G Teissier, F-29680 Roscoff, France.;Guillemin, ML (corresponding author), Ctr FONDAP Invest Dinam Ecosistemas Marinos Altas, Valdivia, Chile.</t>
  </si>
  <si>
    <t>marielaure.guillemin@gmail.com</t>
  </si>
  <si>
    <t>Valero, Myriam/M-6052-2019</t>
  </si>
  <si>
    <t>Valero, Myriam/0000-0002-9000-1423; Guillemin, Marie-Laure/0000-0001-5703-7662</t>
  </si>
  <si>
    <t>Instituto Antartico Chileno (INACH) [T_16-11, RG_15-16]; Project Anillo from the Comision Nacional de Investigacion Cientifica y Tecnologica [ART1101]; International Research Network Diversity, Evolution, and Biotechnology of Marine Algae (GDRI) [0803]; Centro FONDAP IDEAL [15150003]</t>
  </si>
  <si>
    <t>Instituto Antartico Chileno (INACH); Project Anillo from the Comision Nacional de Investigacion Cientifica y Tecnologica; International Research Network Diversity, Evolution, and Biotechnology of Marine Algae (GDRI); Centro FONDAP IDEAL</t>
  </si>
  <si>
    <t>This research was supported by the Instituto Antartico Chileno (INACH) T_16-11 and RG_15-16 projects, and sampling in King George Island was funded by the Project Anillo ART1101 from the Comision Nacional de Investigacion Cientifica y Tecnologica. Additional support came from the International Research Network Diversity, Evolution, and Biotechnology of Marine Algae (GDRI No. 0803) and from the Centro FONDAP IDEAL No. 15150003. The authors thank P. Brunning, J. L. Kappes, T. Heran, Y. Henriquez, and L. Vallejos for their help in the field. The authors would also like to thank the Chilean Navy (especially the captain and crew of the ships, Almirante Oscar Viel and Lautaro), the staff from the Chilean Army in the O'Higgins base and the Air Force of Chile (FACh) for the logistic support of our fieldwork in sub-Antarctica and Antarctica.</t>
  </si>
  <si>
    <t>10.1007/s00300-017-2244-7</t>
  </si>
  <si>
    <t>GF2RH</t>
  </si>
  <si>
    <t>WOS:000431786900001</t>
  </si>
  <si>
    <t>Nowak, P; Haranczyk, H; Kijak, P; Marzec, M; Fitas, J; Lisowska, M; Baran, E; Olech, M</t>
  </si>
  <si>
    <t>Nowak, P.; Haranczyk, H.; Kijak, P.; Marzec, M.; Fitas, J.; Lisowska, M.; Baran, E.; Olech, M. A.</t>
  </si>
  <si>
    <t>Bound water behavior in Cetraria aculeata thalli during freezing</t>
  </si>
  <si>
    <t>Lichens; Cetraria; Freezing resistance; Phase growth; NMR; DSC</t>
  </si>
  <si>
    <t>UMBILICARIA-APRINA; CLADONIA-MITIS; PHOTOSYNTHETIC MEMBRANES; DEEP DEHYDRATION; COLD RESISTANCE; LICHEN THALLUS; TIME-DOMAIN; NMR; MECHANISMS; ICE</t>
  </si>
  <si>
    <t>Lichens are extremophilic organisms surviving in extremely low temperature and dehydration; however, the molecular mechanism of frost and dehydration resistance is not yet fully understood. Low temperature behavior of Cetraria aculeata thalli at the hydration level between Delta m/m(0) = 0.039 and Delta m/m(0) = 0.964, defined as a ratio of mass of water adsorbed to the thalli, Delta m, to dry mass of the thalli, m(0), and interpreted as water content, %WC, in a fractional form (Delta m/m(0) = % WC/100) was investigated using nuclear magnetic resonance (NMR) and differential scanning calorimetry (DSC). Proton free induction decays were decomposed into components: coming from solid matrix of thallus and exponentially decaying from loosely bound and from tightly bound water. At low hydration levels the loosely bound water fraction (cooperatively freezing water) is detected down to -15.6 degrees C. With the decreasing temperature loosely bound water fraction is gradually transferred to the tightly bound water pool (non-freezing water) which could play significant role in freezing resistance mechanism. At higher hydration levels DSC scans show the presence of cooperative water freezing in thallus. The lowest hydration level at which the cooperative freezing of water bound in C. aculeata thallus is detected by DSC is equal to 0.453. DSC courses recorded after 120 min incubation of C. aculeata thallus in -20 degrees C suggest the lowest hydration level in which ice formation could be observed is decreased to 0.167, as a result of water molecule diffusion to places where ice microcrystallites were formed. Supercooled water behavior in C. aculeata thalli reveals a composed behavior. Two processes take place: supercooled liquid water mobility gradually decrease with the decreased temperature and the diffusion of supercooled water molecules to ice microcrystallites and, thus the solid phase growth.</t>
  </si>
  <si>
    <t>[Nowak, P.] AGH Univ Sci &amp; Technol, Fac Comp Sci Elect &amp; Telecommun, Al Mickiewicza 30, PL-30059 Krakow, Poland; [Nowak, P.; Haranczyk, H.; Kijak, P.; Marzec, M.; Fitas, J.; Baran, E.] Jagiellonian Univ, Inst Phys, Ul Lojasiewicza 11, PL-30348 Krakow, Poland; [Lisowska, M.; Olech, M. A.] Jagiellonian Univ, Inst Bot, Krakow, Poland</t>
  </si>
  <si>
    <t>AGH University of Krakow; Jagiellonian University; Jagiellonian University</t>
  </si>
  <si>
    <t>Nowak, P (corresponding author), AGH Univ Sci &amp; Technol, Fac Comp Sci Elect &amp; Telecommun, Al Mickiewicza 30, PL-30059 Krakow, Poland.;Nowak, P (corresponding author), Jagiellonian Univ, Inst Phys, Ul Lojasiewicza 11, PL-30348 Krakow, Poland.</t>
  </si>
  <si>
    <t>piotrus.nowak@gmail.com</t>
  </si>
  <si>
    <t>Nowak, Piotr/AAU-2296-2020; Lisowska, Maja/F-9773-2012; Baran, Ewelina/HHC-3779-2022</t>
  </si>
  <si>
    <t>Fitas, Jakub/0000-0002-4681-4945; Baran, Ewelina/0000-0002-9959-8596; Kijak, Paulina/0000-0001-7332-977X; Marzec, Monika/0000-0002-4854-9567; Lisowska, Maja/0000-0003-1056-1779</t>
  </si>
  <si>
    <t>European Regional Development Fund [POIG.02.01.00-12-023/08]; Polish Ministry of Science and Higher Education (MNiSW) [7150/E-338/M/2015, 7150/E-338/M/2016]</t>
  </si>
  <si>
    <t>European Regional Development Fund(European Union (EU)); Polish Ministry of Science and Higher Education (MNiSW)(Ministry of Science and Higher Education, Poland)</t>
  </si>
  <si>
    <t>The research was carried out with the equipment purchased thanks to the financial support of the European Regional Development Fund in the framework of the Polish Innovation Economy Operational Program (Contract No. POIG.02.01.00-12-023/08) and also financed by the Polish Ministry of Science and Higher Education (MNiSW, contract no. 7150/E-338/M/2015 and 7150/E-338/M/2016). We are thankful to colleagues from Maitri Station and participants of the 23rd Indian Antarctic Expedition for their help during the field studies.</t>
  </si>
  <si>
    <t>10.1007/s00300-017-2249-2</t>
  </si>
  <si>
    <t>WOS:000431786900004</t>
  </si>
  <si>
    <t>Souster, TA; Morley, SA; Peck, LS</t>
  </si>
  <si>
    <t>Souster, Terri A.; Morley, Simon A.; Peck, Lloyd S.</t>
  </si>
  <si>
    <t>Seasonality of oxygen consumption in five common Antarctic benthic marine invertebrates</t>
  </si>
  <si>
    <t>Metabolism; Polar Benthos; Secondary consumer; Primary consumer; MCA</t>
  </si>
  <si>
    <t>METABOLIC COLD ADAPTATION; LATITUDINAL COMPENSATION; GAMETOGENIC ECOLOGY; YOLDIA-EIGHTSI; SIGNY ISLAND; GROWTH; TEMPERATURE; CYCLES; PHYSIOLOGY; REPRODUCTION</t>
  </si>
  <si>
    <t>The waters of the Southern Ocean exhibit extreme seasonality in primary production, with marine life living below 0 degrees C for much of the year. The metabolic cold adaptation (MCA) hypothesis suggests that polar species need elevated basal metabolic rates to enable activity in such cold which should result in higher metabolic rates, or at least rates similar to temperate species. This study aimed to test whether any of the five common marine invertebrates around Adelaide Island (Western Antarctic Peninsula) displayed MCA: the suspension-feeding holothurian Heterocucumis steineni, the grazing limpet Nacella concinna, and the omnivorous brittle star, cushion star and sea-urchin Ophionotus victoriae, Odontaster validus and Sterechinus neumayeri, respectively. We also tested a second hypothesis that secondary consumers will exhibit less seasonal variation of metabolic rate than primary consumers. Routine oxygen consumption was measured in both the austral summer and winter using closed circuit respirometry techniques. Metabolic rates for all the species studied were low compared with temperate species, in a fashion consistent with expected temperature effects on biological systems and, therefore, the data do not support MCA. All the species studied showed significant seasonal differences for a standard mass animal except N. concinna. In two species N. concinna and H. steineni, size affected the seasonality of metabolism. There was no difference in seasonality of metabolism between primary and secondary consumers. Thus, for secondary consumers seasonal factors, most likely food availability and quality, vary enough to impact metabolic rates, and produce seasonal metabolic signals at all trophic levels. Other factors such as reproductive status that are linked to seasonal signals may also have contributed to the metabolic variation across trophic levels.</t>
  </si>
  <si>
    <t>[Souster, Terri A.; Morley, Simon A.; Peck, Lloyd S.] British Antarctic Survey, Nat Environm Res Council, Madingley Rd, Cambridge CB3 0ET, England</t>
  </si>
  <si>
    <t>UK Research &amp; Innovation (UKRI); Natural Environment Research Council (NERC); NERC British Antarctic Survey</t>
  </si>
  <si>
    <t>Souster, TA (corresponding author), British Antarctic Survey, Nat Environm Res Council, Madingley Rd, Cambridge CB3 0ET, England.</t>
  </si>
  <si>
    <t>sousterterri@gmail.com</t>
  </si>
  <si>
    <t>Souster, Terri/HJY-6034-2023</t>
  </si>
  <si>
    <t>Souster, Terri/0000-0002-7585-1999</t>
  </si>
  <si>
    <t>NERC National Facility for Scientific Diving at Oban; Natural Environment Research Council; NERC [dml011000, bas0100036] Funding Source: UKRI</t>
  </si>
  <si>
    <t>NERC National Facility for Scientific Diving at Oban(UK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</si>
  <si>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thank all members of the Rothera Research Station dive, boating and support teams from 2014 to 2016 for their help with collecting and maintaining animals. BAS diving is supported by the NERC National Facility for Scientific Diving at Oban. This project was funded by the Natural Environment Research Council. The authors confirm that sampling of all species and use of animals in experiments was in accordance with relevant guidelines and permits. Terri A Souster would particularly like to thank Jonathan Yates for help with animal sorting and in general for all his support and patience. Thanks to Melody Clark for critical reading of the manuscript. Thanks also to MAGIC for production of the map used in Fig. 1. The author would also like to acknowledge the anonymous referees who provided comments that led to a much improved manuscript.</t>
  </si>
  <si>
    <t>10.1007/s00300-018-2251-3</t>
  </si>
  <si>
    <t>WOS:000431786900006</t>
  </si>
  <si>
    <t>Daneri, GA; Negri, A; Coria, NR; Negrete, J; Libertelli, MM; Corbalán, A</t>
  </si>
  <si>
    <t>Daneri, G. A.; Negri, A.; Coria, N. R.; Negrete, J.; Libertelli, M. M.; Corbalan, A.</t>
  </si>
  <si>
    <t>Fish prey of Weddell seals, Leptonychotes weddellii, at Hope Bay, Antarctic Peninsula, during the late summer</t>
  </si>
  <si>
    <t>Leptonychotes; Fish; Diet; Pleuragramma; Antarctic Peninsula; ENSO</t>
  </si>
  <si>
    <t>CLIMATE-CHANGE; ROSS SEA; DIET; FOOD; BEHAVIOR; EASTERN</t>
  </si>
  <si>
    <t>The study of the feeding habits of Weddell seals, Leptonychotes weddellii, in the area of west Antarctic Peninsula is essential to understand the role they play in the marine food webs, especially considering that this is one of the regions most affected by climate change. With the aim of detecting temporal changes in the fish predation pattern of seals, a total of 217 scats were collected at Hope Bay, during three consecutive summers (2003, 2004 and 2005). The family Nototheniidae comprised over 80% in numbers of fish preyed by seals. The Antarctic silverfish, Pleuragramma antarctica, was, by far, the most frequent and abundant prey species with a mean percentage frequency of occurrence of 48.7% and representing in average 52.1% in numbers of the fish consumed by seals. Other fish species of lesser importance were the nototheniids Trematomus newnesi, Lepidonotothen larseni, Gobionotothen gibberifrons and the channichthyid Chionodraco rastrospinosus. Temporal variation was observed not only in the relative proportions of the different fish prey taxa but also in the sizes of the dominant prey, P. antarctica. Given the high trophic vulnerability of this species to changes in abiotic factors and food web structure and dynamics, a possible influence of El Nio Southern Oscillation events of 2002-2003 and 2004-2005 should not be discarded. Moreover, special attention should be addressed to its population status, distribution and spatial/temporal availability as prey resource of upper trophic level consumers such as L. weddellii which largely depend on P. antarctica.</t>
  </si>
  <si>
    <t>[Daneri, G. A.; Negri, A.] Consejo Nacl Invest Cient &amp; Tecn, Museo Argentino Ciencias Nat Bernardino Rivadav, Div Mastozool, Ave Angel Gallardo 470 C1405DJR, Buenos Aires, DF, Argentina; [Negri, A.; Coria, N. R.; Negrete, J.; Libertelli, M. M.; Corbalan, A.] Inst Antartico Argentino, Dept Biol Predadores Tope, Ave 25 Mayo 1143 1650, Gen San Martin, Buenos Aires, Argentina; [Negrete, J.] Univ Nacl La Plata, Fac Ciencias Nat &amp; Museo, Labs Anexos, Calle 64 3,B1904AMA, La Plata, Buenos Aires, Argentina</t>
  </si>
  <si>
    <t>Consejo Nacional de Investigaciones Cientificas y Tecnicas (CONICET); Museo Argentino de Ciencias Naturales Bernardino Rivadavia (MACN); Instituto Antartico Argentino; National University of La Plata; Museo La Plata</t>
  </si>
  <si>
    <t>Daneri, GA (corresponding author), Consejo Nacl Invest Cient &amp; Tecn, Museo Argentino Ciencias Nat Bernardino Rivadav, Div Mastozool, Ave Angel Gallardo 470 C1405DJR, Buenos Aires, DF, Argentina.</t>
  </si>
  <si>
    <t>gdaneri@macn.gov.ar</t>
  </si>
  <si>
    <t>Negrete, Javier/0000-0001-6853-8307</t>
  </si>
  <si>
    <t>Agencia Nacional de Promocion Cientifica y Tecnologica [36054]; Direccion Nacional del Antartico [PICTA 2010-01]; Direccion Nacional del Antartico (Environmental Office), Argentina</t>
  </si>
  <si>
    <t>Agencia Nacional de Promocion Cientifica y Tecnologica(ANPCyTSpanish Government); Direccion Nacional del Antartico; Direccion Nacional del Antartico (Environmental Office), Argentina</t>
  </si>
  <si>
    <t>We wish to thank Dr. E.R. Marschoff for statistical advice and three anonymous reviewers for their helpful comments on the manuscript. We are also grateful to Mr. Campbell McMillan for improvement of the English language in text. This work was funded by the Agencia Nacional de Promocion Cientifica y Tecnologica (Grant: PICTO No. 36054) and Direccion Nacional del Antartico (Grant: PICTA 2010-01). The permit for this work was granted by the Direccion Nacional del Antartico (Environmental Office), Argentina.</t>
  </si>
  <si>
    <t>10.1007/s00300-018-2255-z</t>
  </si>
  <si>
    <t>WOS:000431786900017</t>
  </si>
  <si>
    <t>Clements, CF; Blanchard, JL; Nash, KL; Hindell, MA; Ozgul, A</t>
  </si>
  <si>
    <t>Clements, Christopher F.; Blanchard, Julia L.; Nash, Kirsty L.; Hindell, Mark A.; Ozgul, Arpat</t>
  </si>
  <si>
    <t>Reply to 'Whaling catch data are not reliable for analyses of body size shifts'</t>
  </si>
  <si>
    <t>NATURE ECOLOGY &amp; EVOLUTION</t>
  </si>
  <si>
    <t>Letter</t>
  </si>
  <si>
    <t>[Clements, Christopher F.] Univ Melbourne, Sch BioSci, Parkville, Vic, Australia; [Blanchard, Julia L.; Nash, Kirsty L.; Hindell, Mark A.] Univ Tasmania, Inst Marine &amp; Antarctic Studies, Hobart, Tas, Australia; [Blanchard, Julia L.; Nash, Kirsty L.] Ctr Marine Socioecol, Hobart, Tas, Australia; [Hindell, Mark A.] Univ Tasmania, Antarctic Climate &amp; Ecosyst Cooperat Res Ctr, Hobart, Tas, Australia; [Ozgul, Arpat] Univ Zurich, Dept Evolutionary Biol &amp; Environm Studies, Zurich, Switzerland</t>
  </si>
  <si>
    <t>University of Melbourne; University of Tasmania; Antarctic Climate &amp; Ecosystems Cooperative Research Centre (ACE CRC); University of Tasmania; University of Zurich</t>
  </si>
  <si>
    <t>Clements, CF (corresponding author), Univ Melbourne, Sch BioSci, Parkville, Vic, Australia.</t>
  </si>
  <si>
    <t>chrisclementsresearch@gmail.com</t>
  </si>
  <si>
    <t>Ozgul, Arpat/K-2032-2012; Blanchard, Julia L/E-4919-2010; Hindell, Mark A/K-1131-2013; Nash, Kirsty L/B-5456-2015</t>
  </si>
  <si>
    <t>Nash, Kirsty L/0000-0003-0976-3197; Blanchard, Julia/0000-0003-0532-4824; Clements, Christopher/0000-0001-5677-5401; Ozgul, Arpat/0000-0001-7477-2642; Hindell, Mark/0000-0002-7823-7185</t>
  </si>
  <si>
    <t>2397-334X</t>
  </si>
  <si>
    <t>NAT ECOL EVOL</t>
  </si>
  <si>
    <t>Nat. Ecol. Evol.</t>
  </si>
  <si>
    <t>10.1038/s41559-018-0537-z</t>
  </si>
  <si>
    <t>GF0IK</t>
  </si>
  <si>
    <t>WOS:000431613500005</t>
  </si>
  <si>
    <t>Müntener, O; Ewing, T; Baumgartner, LP; Manzini, M; Roux, T; Pellaud, P; Allemann, L</t>
  </si>
  <si>
    <t>Muntener, Othmar; Ewing, Tanya; Baumgartner, Lukas P.; Manzini, Melina; Roux, Thibaud; Pellaud, Pierre; Allemann, Luc</t>
  </si>
  <si>
    <t>Source and fractionation controls on subduction-related plutons and dike swarms in southern Patagonia (Torres del Paine area) and the low Nb/Ta of upper crustal igneous rocks</t>
  </si>
  <si>
    <t>CONTRIBUTIONS TO MINERALOGY AND PETROLOGY</t>
  </si>
  <si>
    <t>Calc-alkaline magmatism; Arc migration; Nb/Ta ratio; Torres del Paine; Zircon; Geochronology</t>
  </si>
  <si>
    <t>U-TH-PB; TRACE-ELEMENT; CHEMICAL CLASSIFICATION; CONTINENTAL-CRUST; MANTLE WEDGE; ARC BASALT; CONSTRAINTS; MAGMAS; CHILE; SLAB</t>
  </si>
  <si>
    <t>The subduction system in southern Patagonia provides direct evidence for the variability of the position of an active continental arc with respect to the subducting plate through time, but the consequences on the arc magmatic record are less well studied. Here we present a geochemical and geochronological study on small plutons and dykes from the upper crust of the southern Patagonian Andes at similar to 51 degrees S, which formed as a result of the subduction of the Nazca and Antarctic plates beneath the South American continent. In situ U-Pb geochronology on zircons and bulk rock geochemical data of plutonic and dyke rocks are used to constrain the magmatic evolution of the retro-arc over the last 30 Ma. We demonstrate that these combined U-Pb and geochemical data for magmatic rocks track the temporal and spatial migration of the active arc, and associated retro-arc magmatism. Our dataset indicates that the rear-arc area is characterized by small volumes of alkaline basaltic magmas at 29-30 Ma that are characterized by low La/Nb and Th/Nb ratios with negligible arc signatures. Subsequent progressive eastward migration of the active arc culminated with the emplacement of calc-alkaline plutons and dikes similar to 17-16 Ma with elevated La/Nb and Th/Nb ratios and typical subduction signatures constraining the easternmost position of the southern Patagonian batholith at that time. Geochemical data on the post-16 Ma igneous rocks including the Torres del Paine laccolith indicate an evolution to transitional K-rich calc-alkaline magmatism at 12.5 +/- 0.2 Ma. We show that trace element ratios such as Nb/Ta and Dy/Yb systematically decrease with increasing SiO2, for both the 17-16 Ma calc-alkaline and the 12-13 Ma K-rich transitional magmatism. In contrast, Th/Nb and La/Nb monitor the changes in the source composition of these magmas. We suggest that the transition from the common calc-alkaline to K-rich transitional magmatism involves a change in the source component, while the trace element ratios, such as Nb/Ta and Dy/Yb, of derivative higher silica content liquids are controlled by similar fractionating mineral assemblages. Analysis of a global compilation of Nb/Ta ratios of arc magmatic rocks and simple geochemical models indicate that amphibole and variable amounts of biotite exert a major control on the low Dy/Yb and Nb/Ta of derivative granitic liquids. Lastly, we suggest that the low Nb/Ta ratio of silica-rich magmas is a natural consequence of biotite fractionation and that alternative models such as amphibolite melting in subduction zones and diffusive fractionation are not required to explain the Nb/Ta ratio of the upper continental crust.</t>
  </si>
  <si>
    <t>[Muntener, Othmar; Ewing, Tanya; Baumgartner, Lukas P.; Manzini, Melina; Roux, Thibaud; Pellaud, Pierre; Allemann, Luc] Univ Lausanne, Inst Earth Sci, CH-1015 Lausanne, Switzerland; [Ewing, Tanya] Univ Bern, Inst Geol Sci, Baltzerstr 1 3, CH-3012 Bern, Switzerland</t>
  </si>
  <si>
    <t>University of Lausanne; University of Bern</t>
  </si>
  <si>
    <t>Müntener, O (corresponding author), Univ Lausanne, Inst Earth Sci, CH-1015 Lausanne, Switzerland.</t>
  </si>
  <si>
    <t>othmar.muntener@unil.ch</t>
  </si>
  <si>
    <t>Ewing, Tanya/0000-0001-7353-1134; Baumgartner, Lukas P./0000-0003-2304-1772</t>
  </si>
  <si>
    <t>Herbette Foundation; Swiss National Science foundation [200020-156421, 200020-120120]; Swiss National Science Foundation (SNF) [200020_156421, 200020-120120] Funding Source: Swiss National Science Foundation (SNF)</t>
  </si>
  <si>
    <t>Herbette Foundation; Swiss National Science foundation(Swiss National Science Foundation (SNSF)); Swiss National Science Foundation (SNF)(Swiss National Science Foundation (SNSF))</t>
  </si>
  <si>
    <t>We thank the authorities of the Torres del Paine National Park and the CONAF for permission and support for our work in the area. We thank Benita Putlitz for sample preparation and discussion, Alexey Ulianov for help with LA-ICP-MS, Pierre Vonlanthen for help with the SEM, and X. Ping for providing a spreadsheet with compiled arc magma compositions. This work was supported through funding of the Herbette Foundation and the Swiss National Science foundation (Grant 200020-156421 to OM and 200020-120120 to LPB). We appreciate the constructive reviews of Susan Mahlburg Kay and an anonymous reviewer, which helped to improve the final presentation.</t>
  </si>
  <si>
    <t>0010-7999</t>
  </si>
  <si>
    <t>1432-0967</t>
  </si>
  <si>
    <t>CONTRIB MINERAL PETR</t>
  </si>
  <si>
    <t>Contrib. Mineral. Petrol.</t>
  </si>
  <si>
    <t>10.1007/s00410-018-1467-0</t>
  </si>
  <si>
    <t>Geochemistry &amp; Geophysics; Mineralogy</t>
  </si>
  <si>
    <t>GE7VI</t>
  </si>
  <si>
    <t>WOS:000431440800007</t>
  </si>
  <si>
    <t>Hagan, RW; Didion, EM; Rosselot, AE; Holmes, CJ; Siler, SC; Rosendale, AJ; Hendershot, JM; Elliot, KSB; Jennings, EC; Nine, GA; Perez, PL; Rizlallah, AE; Watanabe, M; Romick-Rosendale, LE; Xiao, YY; Rasgon, JL; Benoit, JB</t>
  </si>
  <si>
    <t>Hagan, Richard W.; Didion, Elise M.; Rosselot, Andrew E.; Holmes, Christopher J.; Siler, Samantha C.; Rosendale, Andrew J.; Hendershot, Jacob M.; Elliot, Kiaira S. B.; Jennings, Emily C.; Nine, Gabriela A.; Perez, Paula L.; Rizlallah, Alexandre E.; Watanabe, Miki; Romick-Rosendale, Lindsey E.; Xiao, Yanyu; Rasgon, Jason L.; Benoit, Joshua B.</t>
  </si>
  <si>
    <t>Dehydration prompts increased activity and blood feeding by mosquitoes</t>
  </si>
  <si>
    <t>WEST-NILE-VIRUS; AEDES-AEGYPTI DIPTERA; ANOPHELES-GAMBIAE; RAPID-DETERMINATION; STRESS-ADAPTATION; PIPIENS MOSQUITOS; ANTARCTIC MIDGE; GENE-EXPRESSION; FLIGHT ACTIVITY; DRY-SEASON</t>
  </si>
  <si>
    <t>Current insights into the mosquito dehydration response rely on studies that examine specific responses but ultimately fail to provide an encompassing view of mosquito biology. Here, we examined underlying changes in the biology of mosquitoes associated with dehydration. Specifically, we show that dehydration increases blood feeding in the northern house mosquito, Culex pipiens, which was the result of both higher activity and a greater tendency to land on a host. Similar observations were noted for Aedes aegypti and Anopheles quadrimaculatus. RNA-seq and metabolome analyses in C. pipiens following dehydration revealed that factors associated with carbohydrate metabolism are altered, specifically the breakdown of trehalose. Suppression of trehalose breakdown in C. pipiens by RNA interference reduced phenotypes associated with lower hydration levels. Lastly, mesocosm studies for C. pipiens confirmed that dehydrated mosquitoes were more likely to host feed under ecologically relevant conditions. Disease modeling indicates dehydration bouts will likely enhance viral transmission. This dehydration-induced increase in blood feeding is therefore likely to occur regularly and intensify during periods when availability of water is low.</t>
  </si>
  <si>
    <t>[Hagan, Richard W.; Didion, Elise M.; Rosselot, Andrew E.; Holmes, Christopher J.; Siler, Samantha C.; Rosendale, Andrew J.; Hendershot, Jacob M.; Elliot, Kiaira S. B.; Jennings, Emily C.; Nine, Gabriela A.; Perez, Paula L.; Rizlallah, Alexandre E.; Benoit, Joshua B.] Univ Cincinnati, Dept Biol Sci, Cincinnati, OH 45221 USA; [Xiao, Yanyu] Univ Cincinnati, Dept Math Sci, Cincinnati, OH 45221 USA; [Watanabe, Miki; Romick-Rosendale, Lindsey E.] Cincinnati Childrens Hosp Med Ctr, Div Pathol, Cincinnati, OH 45229 USA; [Rasgon, Jason L.] Penn State Univ, Dept Entomol, Ctr Infect Dis Dynam, University Pk, PA 16802 USA; [Rasgon, Jason L.] Penn State Univ, Huck Inst Life Sci, University Pk, PA 16802 USA</t>
  </si>
  <si>
    <t>University System of Ohio; University of Cincinnati; University System of Ohio; University of Cincinnati; Cincinnati Children's Hospital Medical Center; 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</si>
  <si>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Benoit, JB (corresponding author), Univ Cincinnati, Dept Biol Sci, Cincinnati, OH 45221 USA.</t>
  </si>
  <si>
    <t>joshua.benoit@uc.edu</t>
  </si>
  <si>
    <t>Hagan, Richard/0000-0003-1270-100X; Romick-Rosendale, Lindsey/0000-0002-7252-1193; Holmes, Christopher/0000-0001-9612-366X; Jennings, Emily/0000-0002-7687-5319; Didion, Elise/0000-0002-4987-8901</t>
  </si>
  <si>
    <t>University of Cincinnati; Ohio Supercomputer Center; United States Department of Agriculture's National Institute of Food and Agricultural Grant [2016-67012-24652]; NSF [DEB-165441]; NMR-Based Metabolomics Core at the Cincinnati Children's Hospital Medical Center; National Institutes of Health [R01AI116636, R21AI128918]; NIFA [2016-67012-24652, 810683] Funding Source: Federal RePORTER</t>
  </si>
  <si>
    <t>University of Cincinnati; Ohio Supercomputer Center; United States Department of Agriculture's National Institute of Food and Agricultural Grant; NSF(National Science Foundation (NSF)); NMR-Based Metabolomics Core at the Cincinnati Children's Hospital Medical Center; National Institutes of Health(United States Department of Health &amp; Human ServicesNational Institutes of Health (NIH) - USA); NIFA(United States Department of Agriculture (USDA)National Institute of Food and Agriculture)</t>
  </si>
  <si>
    <t>We appreciate the helpful comments on early versions of the manuscript from David L. Denlinger (Ohio State University) and Brian L. Weiss (Yale University) and comments provided by the two anonymous reviewers. This work was supported in part by a Faculty Development Grant from the University of Cincinnati (J.B.B.), Ohio Supercomputer Center (J.B.B.), United States Department of Agriculture's National Institute of Food and Agricultural Grant (2016-67012-24652, A.J.R.), partially supported by the NSF grant DEB-165441 (J.B.B.), NMR-Based Metabolomics Core at the Cincinnati Children's Hospital Medical Center, and National Institutes of Health (R01AI116636 and R21AI128918, J.L.R.).</t>
  </si>
  <si>
    <t>10.1038/s41598-018-24893-z</t>
  </si>
  <si>
    <t>GE3KV</t>
  </si>
  <si>
    <t>WOS:000431113100002</t>
  </si>
  <si>
    <t>Crame, JA; McGowan, AJ; Bell, MA</t>
  </si>
  <si>
    <t>Crame, J. Alistair; McGowan, Alistair J.; Bell, Mark A.</t>
  </si>
  <si>
    <t>Differentiation of high-latitude and polar marine faunas in a greenhouse world</t>
  </si>
  <si>
    <t>GLOBAL ECOLOGY AND BIOGEOGRAPHY</t>
  </si>
  <si>
    <t>dominance in faunas; faunal differentiation; greenhouse world; Neogastropoda; rank abundance models; relative diversity distributions; seasonality in productivity; trophic generalists</t>
  </si>
  <si>
    <t>CRETACEOUS-TERTIARY BOUNDARY; EOCENE GOSPORT SAND; LA-MESETA FORMATION; GULF COASTAL-PLAIN; SEYMOUR ISLAND; PHYLOGENETIC-RELATIONSHIPS; DIVERSITY GRADIENT; PARIS BASIN; MOLLUSCAN EXTINCTION; OLIGOCENE TRANSITION</t>
  </si>
  <si>
    <t>Aim: The aim was to investigate those factors that influenced the differentiation of high-latitude and polar marine faunas on both ecological and evolutionary time-scales. Can a focus on a green-house world provide some important clues? Location: World-wide, but with particular emphasis on the evolution of Antarctic marine faunas. Time period: Early Cenozoic era and present day. Major taxa studied: Mollusca, especially Neogastropoda. Methods: The Early Cenozoic global radiation of one of the largest extant marine clades, Neogastropoda, was examined, and detailed comparisons were made between two tropical localities and Antarctica. High- to low-latitude faunal differentiation was assessed using SOrensen's dissimilarity index, and component species in each of the three faunas were assigned to 29 families and family groups. Relative diversity distributions were fitted to these three faunas and two modern ones to assess the contrast in evenness between high- and low-latitude assemblages. Results: By the Middle Eocene, a distinct high-latitude neogastropod fauna had evolved in Antarctica. In addition, the distribution of species within families in this fauna is statistically significantly less even than that in the tropics. Indeed, there is no detectable difference in the scale of this separation from that seen today. Exactly as in the modern fauna, Middle Eocene Antarctic neogastropods are dominated by a small number of trophic generalist groups. Main conclusions: As the hyperdiverse Neogastropoda clade radiated globally through the Early Cenozoic, it differentiated into distinct high- and low-latitude components. The fact that it did so in a greenhouse world strongly suggests that something else besides temperature was involved in this process. The predominance of generalist feeding types in the Antarctic fossil faunas is linked to the phenomenon of a seasonally pulsed food supply, exactly as it is today. Seasonality in primary productivity may act as a fundamental control on the evolution of large-scale biodiversity patterns.</t>
  </si>
  <si>
    <t>[Crame, J. Alistair] British Antarctic Survey, Madingley Rd, Cambridge CB3 0ET, England; [McGowan, Alistair J.] BioGeoD, Edinburgh, Midlothian, Scotland; [Bell, Mark A.] UCL, Dept Earth Sci, London, England</t>
  </si>
  <si>
    <t>UK Research &amp; Innovation (UKRI); Natural Environment Research Council (NERC); NERC British Antarctic Survey; University of London; University College London</t>
  </si>
  <si>
    <t>Crame, JA (corresponding author), British Antarctic Survey, Madingley Rd, Cambridge CB3 0ET, England.</t>
  </si>
  <si>
    <t>jacr@bas.ac.uk</t>
  </si>
  <si>
    <t>Natural Environment Research Council [NE/I005803/1]; Natural Environment Research Council [NE/I005803/1, bas0100036, NE/I00582X/2] Funding Source: researchfish; NERC [bas0100036, NE/I00582X/2, NE/I005803/1] Funding Source: UKRI</t>
  </si>
  <si>
    <t>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</si>
  <si>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Natural Environment Research Council, Grant/Award Number: NE/I005803/1</t>
  </si>
  <si>
    <t>1466-822X</t>
  </si>
  <si>
    <t>1466-8238</t>
  </si>
  <si>
    <t>GLOBAL ECOL BIOGEOGR</t>
  </si>
  <si>
    <t>Glob. Ecol. Biogeogr.</t>
  </si>
  <si>
    <t>10.1111/geb.12714</t>
  </si>
  <si>
    <t>Ecology; Geography, Physical</t>
  </si>
  <si>
    <t>GE0PF</t>
  </si>
  <si>
    <t>WOS:000430916700003</t>
  </si>
  <si>
    <t>Malmros, JK; Mernild, SH; Wilson, R; Tagesson, T; Fensholt, R</t>
  </si>
  <si>
    <t>Malmros, Jeppe K.; Mernild, Sebastian H.; Wilson, Ryan; Tagesson, Torbern; Fensholt, Rasmus</t>
  </si>
  <si>
    <t>Snow cover and snow-albedo changes in the central Andes of Chile and Argentina from daily MODIS observations (2000-2016)</t>
  </si>
  <si>
    <t>Andes; Argentina; Chile; Climate change; ENSO; MOD10A1; MODIS; Snow albedo; Snow cover extent; Time series analysis</t>
  </si>
  <si>
    <t>GREENLAND ICE-SHEET; IMAGING SPECTRORADIOMETER MODIS; SATELLITE SENSOR DATA; ANNUAL MASS-BALANCE; CORDILLERA BLANCA; GLACIER RECESSION; RAINFALL VARIABILITY; SPECTRAL ALBEDO; ENERGY-BALANCE; CLIMATE-CHANGE</t>
  </si>
  <si>
    <t>The variables of snow cover extent (SCE), snow cover duration (SCD), and snow albedo (SAL) are primary factors determining the surface energy balance and hydrological response of the cryosphere, influencing snow pack and glacier mass-balance, melt, and runoff conditions. This study examines spatiotemporal patterns and trends in SCE, SCD, and SAL (2000-2016; 16 years) for central Chilean and Argentinean Andes using the MODIS MOD10A1 C6 daily snow product. Observed changes in these variables are analyzed in relation to climatic variability by using ground truth observations (meteorological data from the El Yeso Embalse and Valle Nevado weather stations) and the Multivariate El Nino index (MEI) data. We identified significant downward trends in both SCE and SAL, especially during the onset and offset of snow seasons. SCE and SAL showed high inter-annual variability which correlate significantly with MEI applied with a one-month time-lag. SCE and SCD decreased by an average of similar to 13 +/- 2% and 43 +/- 20 days respectively, over the study period. Analysis of spatial pattern of SCE indicates a slightly greater reduction on the eastern side (similar to 14 +/- 2%) of the Andes Cordillera compared to the western side (similar to 12 +/- 3%). The downward SCE, SAL, and SCD trends identified in this study are likely to have adverse impacts on downstream water resource availability to agricultural and densely populated regions in central Chile and Argentina.</t>
  </si>
  <si>
    <t>[Malmros, Jeppe K.; Tagesson, Torbern; Fensholt, Rasmus] Univ Copenhagen, Dept Geosci &amp; Nat Resource Management, Oster Voldgade 10, DK-1350 Copenhagen, Denmark; [Mernild, Sebastian H.] Nansen Environm &amp; Remote Sensing Ctr, Bergen, Norway; [Mernild, Sebastian H.] Univ Magallanes, Direct Antarctic &amp; Subantarctic Programs, Punta Arenas, Chile; [Mernild, Sebastian H.] Western Norway Univ Appl Sci, Fac Sci &amp; Engn, Sogndal, Norway; [Wilson, Ryan] Aberystwyth Univ, Dept Geog &amp; Earth Sci, Aberystwyth, Dyfed, Wales</t>
  </si>
  <si>
    <t>University of Copenhagen; Nansen Environmental &amp; Remote Sensing Center (NERSC); Universidad de Magallanes; Western Norway University of Applied Sciences; Aberystwyth University</t>
  </si>
  <si>
    <t>Malmros, JK (corresponding author), Univ Copenhagen, Dept Geosci &amp; Nat Resource Management, Oster Voldgade 10, DK-1350 Copenhagen, Denmark.</t>
  </si>
  <si>
    <t>vwh636@alumni.ku.dk</t>
  </si>
  <si>
    <t>Tagesson, Torbern/AGG-5627-2022; Malmros, Jeppe/E-2638-2015; Mernild, Sebastian H./M-5516-2013; Tagesson, Torbern/E-5429-2015; Fensholt, Rasmus/L-7951-2014</t>
  </si>
  <si>
    <t>Malmros, Jeppe/0000-0002-1175-3660; Wilson, Ryan/0000-0001-9063-8021; Mernild, Sebastian H./0000-0003-0797-3975; Tagesson, Torbern/0000-0003-3011-1775; Fensholt, Rasmus/0000-0003-3067-4527</t>
  </si>
  <si>
    <t>Chilean Fondecyt Regular Competition [1140172]</t>
  </si>
  <si>
    <t>Chilean Fondecyt Regular Competition</t>
  </si>
  <si>
    <t>We extend a special thanks to the editor and the reviewers for their insightful critique of this article. This work was supported by the Chilean Fondecyt Regular Competition under grant agreement #1140172. All data requests should be addressed to the first author. The authors have no conflict of interest.</t>
  </si>
  <si>
    <t>10.1016/j.rse.2018.02.072</t>
  </si>
  <si>
    <t>WOS:000430897300018</t>
  </si>
  <si>
    <t>Kuttippurath, J; Kumar, P; Nair, PJ; Chakraborty, A</t>
  </si>
  <si>
    <t>Kuttippurath, J.; Kumar, P.; Nair, P. J.; Chakraborty, A.</t>
  </si>
  <si>
    <t>Accuracy of satellite total column ozone measurements in polar vortex conditions: Comparison with ground-based observations in 1979-2013</t>
  </si>
  <si>
    <t>Ozone recovery; Satellite measurements; Polar vortex; Ground-based measurements; Solar zenith angle; TOMS; OMI; SAOZ; DOAZ; Dobson; Brewer</t>
  </si>
  <si>
    <t>ZENITH-SKY UV; DOBSON NETWORK; VISIBLE SPECTROMETERS; POTENTIAL VORTICITY; NO2; TOMS; GOME; OMI; SPECTROPHOTOMETERS; VALIDATION</t>
  </si>
  <si>
    <t>This study presents the first detailed long-term analysis of satellite and ground-based Dobson, Brewer, SAOZ (Systeme D'Analyse par Observations Zenithales) and DOAS (Differential Optical Absorption Spectrometer) measurements inside the Antarctic vortex for the 1979-2013 period. In general, the satellite measurements show a good agreement with ground-based measurements at all stations (correlation coefficient &gt; 0.95). The average relative difference between ground-based and satellite measurements is about +/- 1-3% and the mean bias error (MBE) is within +/- 4 DU, depending on the satellite instrument and ground-based station. The satellite measurements show good stability over their operational period, for which the estimated drifts are about +/- 0.1-5%/decade and are statistically insignificant for most instruments. The Nimbus TOMS (Total Ozone Monitoring Spectrometer) and OMI (Ozone Monitoring Instrument) measurements are stable over the period, but the Earth Probe-TOMS measurements show deterioration after 2000. Also, most satellite instruments show no dependency on satellite solar zenith angle (SZA), but reveal significant dependency on stratospheric temperature. In addition, the mean relative difference shows larger variation with lower total column ozone (TCO). This long-term and multi-instrument comparison exercise would help both ground-based and satellite measurement community to better analyse accuracy of the TCO measurements from the instruments and examine the stability of their long-term measurements. In addition, the SZA and temperature dependency assessment would also help the ozone observation community to use better absorption cross-sections for TCO retrievals.</t>
  </si>
  <si>
    <t>[Kuttippurath, J.; Kumar, P.; Nair, P. J.; Chakraborty, A.] Indian Inst Technol Kharagpur, CORAL, Kharagpur 721302, W Bengal, India</t>
  </si>
  <si>
    <t>Kuttippurath, J (corresponding author), Indian Inst Technol Kharagpur, CORAL, Kharagpur 721302, W Bengal, India.</t>
  </si>
  <si>
    <t>jayan@coral.iitkgp.ernet.in</t>
  </si>
  <si>
    <t>Kuttippurath, Jayanarayanan/M-2878-2019; G., Prijitha R./AGH-9999-2022</t>
  </si>
  <si>
    <t>Kuttippurath, Jayanarayanan/0000-0003-4073-8918; G., Prijitha R./0000-0002-7768-5154</t>
  </si>
  <si>
    <t>10.1016/j.rse.2018.02.054</t>
  </si>
  <si>
    <t>WOS:000430897300046</t>
  </si>
  <si>
    <t>Latham, T; White, CJ; Remenyi, TA</t>
  </si>
  <si>
    <t>Latham, Tom; White, Christopher J.; Remenyi, Tomas A.</t>
  </si>
  <si>
    <t>The relationship between irrigation-induced electrical loads and antecedent weather conditions in Tasmania, Australia</t>
  </si>
  <si>
    <t>IRRIGATION SCIENCE</t>
  </si>
  <si>
    <t>WATER ALLOCATION; CLIMATE-CHANGE; MODEL; OPTIMIZATION; DEMANDS</t>
  </si>
  <si>
    <t>Over the past decade in Australia, there has been a general trend towards the introduction of electrical motors to operate irrigation pumps. While electrical motors provide many advantages over the alternatives, electrical loads can aggregate in some areas to become large peaks, which challenge the existing electrical distribution networks. This is especially true during extreme hot or dry periods, when irrigators collectively demand significant electrical resources at the same time. While there is an inherent link between weather conditions and the amount of electricity used for irrigation, this relationship is poorly understood. Previous studies have either focused on localised data related to concurrent temperature, rainfall and soil moisture, or they have annualised summaries over large areas. In this study, we compare intensive irrigation periods with the drought factor at a case study irrigation scheme in Tasmania, Australia, finding a strong relationship between electrical load and periods when the drought factor is &gt; 6. This relatively simple relationship may be useful for managers of electricity supply and distribution, managers of water resources, and irrigators, as it may be used to minimise the risk of exceeding the capacity of the electricity network, improve water availability and optimise irrigation scheduling.</t>
  </si>
  <si>
    <t>[Latham, Tom; White, Christopher J.] Univ Tasmania, Sch Engn, Hobart, Tas, Australia; [White, Christopher J.; Remenyi, Tomas A.] Antarctic Climate &amp; Ecosyst Cooperat Res Ctr, Hobart, Tas, Australia; [White, Christopher J.] Univ Strathclyde, Dept Civil &amp; Environm Engn, Glasgow, Lanark, Scotland</t>
  </si>
  <si>
    <t>University of Tasmania; Antarctic Climate &amp; Ecosystems Cooperative Research Centre (ACE CRC); University of Strathclyde</t>
  </si>
  <si>
    <t>White, CJ (corresponding author), Univ Tasmania, Sch Engn, Hobart, Tas, Australia.;White, CJ (corresponding author), Antarctic Climate &amp; Ecosyst Cooperat Res Ctr, Hobart, Tas, Australia.;White, CJ (corresponding author), Univ Strathclyde, Dept Civil &amp; Environm Engn, Glasgow, Lanark, Scotland.</t>
  </si>
  <si>
    <t>chris.white@utas.edu.au</t>
  </si>
  <si>
    <t>Remenyi, Tomas/0000-0002-4145-9323</t>
  </si>
  <si>
    <t>Faculty of Science, Engineering and Technology at the University of Tasmania; Paul Fox-Hughes; Bureau of Meteorology; Mike O'Shea; Tasmanian Irrigation; Chong Ong; TasNetworks</t>
  </si>
  <si>
    <t>Faculty of Science, Engineering and Technology at the University of Tasmania; Paul Fox-Hughes; Bureau of Meteorology(Bureau of Meteorology - Australia); Mike O'Shea; Tasmanian Irrigation; Chong Ong; TasNetworks</t>
  </si>
  <si>
    <t>This study was supported by a Dean's Summer Research Scholarship from the Faculty of Science, Engineering and Technology at the University of Tasmania. The authors wish to acknowledge the generous support of Paul Fox-Hughes, Bureau of Meteorology, Mike O'Shea, Tasmanian Irrigation, and Chong Ong, TasNetworks, for the provision of data and comments during the preparation of the manuscript.</t>
  </si>
  <si>
    <t>0342-7188</t>
  </si>
  <si>
    <t>1432-1319</t>
  </si>
  <si>
    <t>IRRIGATION SCI</t>
  </si>
  <si>
    <t>Irrig. Sci.</t>
  </si>
  <si>
    <t>10.1007/s00271-018-0573-0</t>
  </si>
  <si>
    <t>Agronomy; Water Resources</t>
  </si>
  <si>
    <t>Agriculture; Water Resources</t>
  </si>
  <si>
    <t>GD5JY</t>
  </si>
  <si>
    <t>WOS:000430544500004</t>
  </si>
  <si>
    <t>Fogt, RL; Clark, LN; Nicolas, JP</t>
  </si>
  <si>
    <t>Fogt, Ryan L.; Clark, Logan N.; Nicolas, Julien P.</t>
  </si>
  <si>
    <t>A New Monthly Pressure Dataset Poleward of 60°S since 1957</t>
  </si>
  <si>
    <t>Antarctica; Climate variability; Interpolation schemes; Model evaluation; performance; Reanalysis data</t>
  </si>
  <si>
    <t>AMUNDSEN SEA LOW; INTERNATIONAL GEOPHYSICAL YEAR; STRATOSPHERIC OZONE DEPLETION; SURFACE TEMPERATURES; REANALYSIS PROJECT; TRENDS; VARIABILITY; CLIMATE; RECONSTRUCTIONS; ANTARCTICA</t>
  </si>
  <si>
    <t>This study presents a new monthly pressure dataset poleward of 60 degrees S, from 1957 to 2016, based on a kriging interpolation from observed pressure anomalies across the Antarctic continent. Overall, the reconstruction performs well when evaluated against ERA-Interim. In comparison to other reanalyses, the reconstruction has interannual variability after 1970 similar to products that span the entire twentieth century and is a marked improvement on the first-generation reanalysis products. The reconstruction also produces weaker pressure trends than the reanalysis products evaluated here, which are consistent with observations. However, the skill of the reconstruction is weaker in the South Pacific and therefore does not improve the understanding of long-term pressure variability and trends in this region, where circulation changes have been key drivers of climate variability in West Antarctica and the Antarctic Peninsula.</t>
  </si>
  <si>
    <t>[Fogt, Ryan L.; Clark, Logan N.] Ohio Univ, Dept Geog, Athens, OH 45701 USA; [Fogt, Ryan L.; Clark, Logan N.] Ohio Univ, Scalia Lab Atmospher Anal, Athens, OH 45701 USA; [Nicolas, Julien P.] Ohio State Univ, Polar Meteorol Grp, Byrd Polar &amp; Climate Res Ctr, Columbus, OH 43210 USA</t>
  </si>
  <si>
    <t>University System of Ohio; Ohio University; University System of Ohio; Ohio University; University System of Ohio; Ohio State University</t>
  </si>
  <si>
    <t>Fogt, RL (corresponding author), Ohio Univ, Dept Geog, Athens, OH 45701 USA.;Fogt, RL (corresponding author), Ohio Univ, Scalia Lab Atmospher Anal, Athens, OH 45701 USA.</t>
  </si>
  <si>
    <t>fogtr@ohio.edu</t>
  </si>
  <si>
    <t>Fogt, Ryan L/B-6989-2008</t>
  </si>
  <si>
    <t>Fogt, Ryan L/0000-0002-5398-3990</t>
  </si>
  <si>
    <t>National Science Foundation (NSF) [PLR-1341621]; Office of Polar Programs (OPP); Directorate For Geosciences [1341621] Funding Source: National Science Foundation</t>
  </si>
  <si>
    <t>National Science Foundation (NSF)(National Science Foundation (NSF)); Office of Polar Programs (OPP); Directorate For Geosciences(National Science Foundation (NSF)NSF - Directorate for Geosciences (GEO))</t>
  </si>
  <si>
    <t>RLF and LNC acknowledge support from National Science Foundation (NSF) Grant PLR-1341621. All data used in this study are publically available: The CERA-20C, ERA-20C, ERA20CM, and ERA-Interim datasets were obtained from the ECMWF data center (available online at https://www.ecmwf.int/en/research/climate-reanalysis/browse-reanalysis-datasets), while 20CR, version 2c, was obtained from NOAA's Earth System Research Laboratory (available online at https://www.esrl.noaa.gov/psd/data/gridded/data.20thC_ReanV2c.html). The reconstruction is available on figshare (online at https://doi.org/10.6084/m9.figshare.5716270.v1).</t>
  </si>
  <si>
    <t>10.1175/JCLI-D-17-0879.1</t>
  </si>
  <si>
    <t>GD5II</t>
  </si>
  <si>
    <t>WOS:000430540200005</t>
  </si>
  <si>
    <t>Yu, LJ; Zhong, SY; Zhou, MY; Sun, B; Lenschow, DH</t>
  </si>
  <si>
    <t>Yu, Lejiang; Zhong, Shiyuan; Zhou, Mingyu; Sun, Bo; Lenschow, Donald H.</t>
  </si>
  <si>
    <t>Antarctic Summer Sea Ice Trend in the Context of High-Latitude Atmospheric Circulation Changes</t>
  </si>
  <si>
    <t>Atmosphere-ocean interaction; Sea state; Climate change; Climate variability; Ice loss; growth</t>
  </si>
  <si>
    <t>SELF-ORGANIZING MAPS; SOUTHERN-OCEAN; LONG-TERM; CLIMATE; IMPACTS; TELECONNECTION; VARIABILITY; PERFORMANCE; EXTRACTION; EXPANSION</t>
  </si>
  <si>
    <t>The potential mechanisms underlying the observed increasing trend in Antarctic summertime sea ice cover for the 1979-2017 period have been investigated using a relatively novel method called the self-organizing map (SOM). Among the nine nodes generated to explain the variability of Antarctic sea ice cover, two (nodes 3 and 7) exhibit a statistically significant linear trend in the time series of the frequency of the SOM pattern occurrence that together explain 40% of the total trend in the sea ice cover. These two nodes have completely opposite spatial patterns and directions of trend and are associated with different atmospheric circulation patterns. Node 3, which represents an increase in sea ice over the Weddell Sea and the eastern Ross Sea and a decrease over the other coastal seas of West Antarctica, appears to be related to the positive phase of the southern annular mode (SAM) linked with the La Nina pattern of sea surface temperature (SST) over the tropical Pacific Ocean. The opposite spatial pattern and trend represented by node 7 is associated with a wave train originating over northern Australia. The anomalous wind field, surface downward longwave radiation, and surface air temperature generated by these circulation patterns are consistent with the spatial pattern and overall trends in the Antarctic sea ice cover.</t>
  </si>
  <si>
    <t>[Yu, Lejiang; Zhou, Mingyu; Sun, Bo] Polar Res Inst China, State Ocean Adm Key Lab Polar Sci, Shanghai, Peoples R China; [Yu, Lejiang; Zhong, Shiyuan] Michigan State Univ, Dept Geog Environm &amp; Spatial Sci, E Lansing, MI 48824 USA; [Zhou, Mingyu] Natl Marine Environm Predict Ctr, Beijing, Peoples R China; [Lenschow, Donald H.] Natl Ctr Atmospher Res, POB 3000, Boulder, CO 80307 USA</t>
  </si>
  <si>
    <t>Polar Research Institute of China; Michigan State University; National Center Atmospheric Research (NCAR) - USA</t>
  </si>
  <si>
    <t>Yu, LJ (corresponding author), Polar Res Inst China, State Ocean Adm Key Lab Polar Sci, Shanghai, Peoples R China.;Yu, LJ (corresponding author), Michigan State Univ, Dept Geog Environm &amp; Spatial Sci, E Lansing, MI 48824 USA.</t>
  </si>
  <si>
    <t>yulejiang@sina.com.cn</t>
  </si>
  <si>
    <t>sun, bo/JFA-9978-2023; Li, Zexi/KFA-6939-2024</t>
  </si>
  <si>
    <t>Shanghai Pujiang Program [17PJ1409800]</t>
  </si>
  <si>
    <t>Shanghai Pujiang Program(Shanghai Pujiang Program)</t>
  </si>
  <si>
    <t>This study is sponsored by the Shanghai Pujiang Program (17PJ1409800).</t>
  </si>
  <si>
    <t>10.1175/JCLI-D-17-0739.1</t>
  </si>
  <si>
    <t>WOS:000430540200008</t>
  </si>
  <si>
    <t>Nalam, A; Bala, G; Modak, A</t>
  </si>
  <si>
    <t>Nalam, Aditya; Bala, Govindasamy; Modak, Angshuman</t>
  </si>
  <si>
    <t>Effects of Arctic geoengineering on precipitation in the tropical monsoon regions</t>
  </si>
  <si>
    <t>CLIMATE DYNAMICS</t>
  </si>
  <si>
    <t>Arctic geoengineering; Stratospheric sulfate aerosols; ITCZ shift; Global monsoon regions; Stratospheric climate change</t>
  </si>
  <si>
    <t>EARTHS RADIATION BALANCE; CLIMATE-CHANGE; SULFATE; REDUCTION; RESPONSES; AEROSOLS; SCHEMES; MODEL; CYCLE; ITCZ</t>
  </si>
  <si>
    <t>Arctic geoengineering wherein sunlight absorption is reduced only in the Arctic has been suggested as a remedial measure to counteract the on-going rapid climate change in the Arctic. Several modeling studies have shown that Arctic geoengineering can minimize Arctic warming but will shift the Inter-tropical Convergence Zone (ITCZ) southward, unless offset by comparable geoengineering in the Southern Hemisphere. In this study, we investigate and quantify the implications of this ITCZ shift due to Arctic geoengineering for the global monsoon regions using the Community Atmosphere Model version 4 coupled to a slab ocean model. A doubling of CO2 from pre-industrial levels leads to a warming of similar to 6 K in the Arctic region and precipitation in the monsoon regions increases by up to similar to 15%. In our Arctic geoengineering simulation which illustrates a plausible latitudinal distribution of the reduction in sunlight, an addition of sulfate aerosols (11 Mt) in the Arctic stratosphere nearly offsets the Arctic warming due to CO2 doubling but this shifts the ITCZ southward by similar to 1.5A degrees relative to the pre-industrial climate. The combined effect from this shift and the residual CO2-induced climate change in the tropics is a decrease/increase in annual mean precipitation in the Northern Hemisphere/Southern Hemisphere monsoon regions by up to -12/+17%. Polar geoengineering where sulfate aerosols are prescribed in both the Arctic (10 Mt) and Antarctic (8 Mt) nearly offsets the ITCZ shift due to Arctic geoengineering, but there is still a residual precipitation increase (up to 7%) in most monsoon regions associated with the residual CO2 induced warming in the tropics. The ITCZ shift due to our Global geoengineering simulation, where aerosols (20 Mt) are prescribed uniformly around the globe, is much smaller and the precipitation changes in most monsoon regions are within +/- 2% as the residual CO2-induced warming in the tropics is also much less than in Arctic and Polar geoengineering. Further, global geoengineering nearly offsets the Arctic warming. Based on our results we infer that Arctic geoengineering leads to ITCZ shift and leaves residual CO2 induced warming in the tropics resulting in substantial precipitation decreases (increases) in the Northern (Southern) hemisphere monsoon regions.</t>
  </si>
  <si>
    <t>[Nalam, Aditya; Bala, Govindasamy; Modak, Angshuman] Indian Inst Sci, Ctr Atmospher &amp; Ocean Sci, Bangalore 560012, Karnataka, India</t>
  </si>
  <si>
    <t>Indian Institute of Science (IISC) - Bangalore</t>
  </si>
  <si>
    <t>Nalam, A (corresponding author), Indian Inst Sci, Ctr Atmospher &amp; Ocean Sci, Bangalore 560012, Karnataka, India.</t>
  </si>
  <si>
    <t>aditya.nalam@gmail.com</t>
  </si>
  <si>
    <t>Modak, Angshuman/ITU-7670-2023; Bala, Govindasamy/ABF-3255-2020; Modak, Angshuman/AAD-5266-2021</t>
  </si>
  <si>
    <t>Modak, Angshuman/0000-0002-4406-7288; Bala, Govindasamy/0000-0002-3079-0600; Modak, Angshuman/0000-0002-4406-7288</t>
  </si>
  <si>
    <t>Department of Science and Technology (DST), Government of India; Indian Institute of Science; Fund for Improvement of S&amp;T infrastructure (FIST) by DST; Divecha Centre for Climate Change</t>
  </si>
  <si>
    <t>Department of Science and Technology (DST), Government of India(Department of Science &amp; Technology (India)); Indian Institute of Science; Fund for Improvement of S&amp;T infrastructure (FIST) by DST; Divecha Centre for Climate Change</t>
  </si>
  <si>
    <t>We acknowledge the financial support given by the Department of Science and Technology (DST), Government of India for enhancing the climate change related research activities. The first and third authors acknowledge the scholarships provided by the Indian Institute of Science. We also thank the two anonymous reviewers for their valuable comments that helped us to improve our manuscript. Simulations were performed on the supercomputer at the Centre for Atmospheric and Oceanic Sciences which was funded by the Fund for Improvement of S&amp;T infrastructure (FIST) by DST and the Divecha Centre for Climate Change.</t>
  </si>
  <si>
    <t>0930-7575</t>
  </si>
  <si>
    <t>1432-0894</t>
  </si>
  <si>
    <t>CLIM DYNAM</t>
  </si>
  <si>
    <t>Clim. Dyn.</t>
  </si>
  <si>
    <t>9-10</t>
  </si>
  <si>
    <t>10.1007/s00382-017-3810-y</t>
  </si>
  <si>
    <t>GC2YM</t>
  </si>
  <si>
    <t>WOS:000429650700014</t>
  </si>
  <si>
    <t>Bhardwaj, L; Chauhan, A; Ranjan, A; Jindal, T</t>
  </si>
  <si>
    <t>Bhardwaj, Laxmikant; Chauhan, Abhishek; Ranjan, Anuj; Jindal, Tanu</t>
  </si>
  <si>
    <t>Persistent Organic Pollutants in Biotic and Abiotic Components of Antarctic Pristine Environment</t>
  </si>
  <si>
    <t>EARTH SYSTEMS AND ENVIRONMENT</t>
  </si>
  <si>
    <t>Persistent organic pollutants (POPs); Biotic and abiotic compounds; Ecotoxicology and Antarctic pristine environment</t>
  </si>
  <si>
    <t>KING-GEORGE ISLAND; POLYCYCLIC AROMATIC-HYDROCARBONS; POLYBROMINATED DIPHENYL ETHERS; GLOBAL CLIMATE-CHANGE; POLYCHLORINATED-BIPHENYLS PCBS; WINTER QUARTERS BAY; ORGANOCHLORINE PESTICIDES; MCMURDO STATION; ADMIRALTY BAY; CHLORINATED PESTICIDES</t>
  </si>
  <si>
    <t>Over the past decades, research in Antarctica has built a new understanding of Antarctica, its past, present and future. Human activities and long-range pollutants are increasing on the Antarctic continent. Research on persistent organic pollutants (POPs) has been carried out internationally by several countries having their permanent research stations to explain the impact of an ever increasing range of POPs in Antarctic ecosystem. POPs have been detected in Antarctica despite its geographical isolation and almost complete absence of human settlements. The presence of POPs in different abiotic (atmosphere, water bodies, sediments, soil, sea ice) and biotic components (mosses, lichens, krill, penguins, skua, etc.) in Antarctica has been studied and documented around for decades and has either been banned or strictly regulated but is still found in the environment. This review focuses on recent research pertaining to sources and occurrence of POPs in Antarctic lake water, soil, sediment, lichen, mosses and other Antarctic marine community. This review also proposes to summarize the current state of research on POPs in Antarctica environment and draw the earliest conclusions on possible significance of POPs in Antarctica based on presently available information from related Antarctic environment.</t>
  </si>
  <si>
    <t>[Bhardwaj, Laxmikant; Chauhan, Abhishek; Ranjan, Anuj; Jindal, Tanu] Amity Univ, AIETSM, Amity Ctr Antarctic Res &amp; Studies, J-1,G-20,Sect 125, Noida, Uttar Pradesh, India</t>
  </si>
  <si>
    <t>Amity University Noida</t>
  </si>
  <si>
    <t>Chauhan, A (corresponding author), Amity Univ, AIETSM, Amity Ctr Antarctic Res &amp; Studies, J-1,G-20,Sect 125, Noida, Uttar Pradesh, India.</t>
  </si>
  <si>
    <t>lkbhardwaj@amity.edu; abhimicro19@rediffmail.com; aranjan@amity.edu; tjindal@amity.edu</t>
  </si>
  <si>
    <t>Chauhan, Abhishek/ABI-3432-2020; Rajput, Vishnu D./I-7824-2017; Ranjan, Anuj/I-9768-2018; Bhardwaj, Dr. Laxmi Kant/ABH-3230-2021</t>
  </si>
  <si>
    <t>Chauhan, Abhishek/0000-0001-6475-1266; Rajput, Vishnu D./0000-0002-6802-4805; Ranjan, Anuj/0000-0003-2592-9716; Bhardwaj, Dr. Laxmi Kant/0000-0001-7518-4199</t>
  </si>
  <si>
    <t>2509-9426</t>
  </si>
  <si>
    <t>2509-9434</t>
  </si>
  <si>
    <t>EARTH SYST ENVIRON</t>
  </si>
  <si>
    <t>Earth Syst. Environ.</t>
  </si>
  <si>
    <t>10.1007/s41748-017-0032-8</t>
  </si>
  <si>
    <t>LE1DB</t>
  </si>
  <si>
    <t>WOS:000526462300004</t>
  </si>
  <si>
    <t>Ferreira, GVB; Barletta, M; Lima, ARA; Morley, SA; Justino, AKS; Costa, MF</t>
  </si>
  <si>
    <t>Ferreira, Guilherme V. B.; Barletta, Mario; Lima, Andre R. A.; Morley, Simon A.; Justino, Anne K. S.; Costa, Monica F.</t>
  </si>
  <si>
    <t>High intake rates of microplastics in a Western Atlantic predatory fish, and insights of a direct fishery effect</t>
  </si>
  <si>
    <t>Marine debris; Microplastic filaments; Seafood contamination; Fishery resource; Trophic transfer</t>
  </si>
  <si>
    <t>PLASTIC DEBRIS; DEMERSAL FISH; GASTROINTESTINAL-TRACT; MARINE-ENVIRONMENT; INGESTION; ASSEMBLAGES; ESTUARINE; SEA; PATTERNS; ACCUMULATION</t>
  </si>
  <si>
    <t>Microplastic contamination was investigated in the gut contents of an economically important estuarine top predator, Cynoscion acoupa, according to spatiotemporal and ontogenetic use of a tropical estuary. Microplastic contamination was found in more than half of the analysed fish. Ingested microplastics were classified by type, colour and length with most of the particles consisting of filaments (&lt;5 mm). Longer filaments were more frequently ingested in the upper estuary and smaller filaments in the lower estuary, as a result of differences in hydrodynamic forces and proximity to the probable input sources. The river is likely an important source of filaments to the estuary and filaments ingested in the upper estuary showed little sign of weathering, when compared with those from the lower estuary, which are subject to intense weathering and consequent break-up of particles to smaller sizes. Most filaments, of all colours, accumulated in adults of C acoupa, which are more susceptible to contamination through both direct ingestion and trophic transference as they shift their feeding mode to piscivory. Moreover, the highest ingestion of filaments in adults occurred in the lower estuary, during the late rainy season, likely associated with the intense fishing activities in this habitat, which results in a greater input of filaments from fishing gear, which are mainly blue in colour. Overall, 44% of the ingested filaments were blue, 20% purple, 13% black, 10% red and 12% white. The next most common colour, the purple filaments, are most likely blue filaments whose colour has weathered to purple. Red filaments were proportionally more ingested in the lower estuary, indicating a coastal/oceanic source. White and black filaments were more commonly ingested in the inner estuary, suggesting that they have a riverine origin and/or were actively ingested by juveniles and sub-adults, which inhabit the inner estuary and have zooplankton as an important food resource. (C) 2018 Elsevier Ltd. All rights reserved.</t>
  </si>
  <si>
    <t>[Ferreira, Guilherme V. B.; Barletta, Mario; Lima, Andre R. A.; Justino, Anne K. S.; Costa, Monica F.] Fed Univ Pernambuco UFPE, Dept Oceanog, Lab Ecol &amp; Management Coastal &amp; Estuarine Ecosyst, Av Arquitetura S-N,Cidade Univ, BR-50740550 Recife N, Pe, Brazil; [Morley, Simon A.] British Antarctic Survey, Nat Environm Res Council, Madingley Rd, Cambridge CB3 0ET, England</t>
  </si>
  <si>
    <t>Universidade Federal de Pernambuco; UK Research &amp; Innovation (UKRI); Natural Environment Research Council (NERC); NERC British Antarctic Survey</t>
  </si>
  <si>
    <t>Barletta, M (corresponding author), Fed Univ Pernambuco UFPE, Dept Oceanog, Lab Ecol &amp; Management Coastal &amp; Estuarine Ecosyst, Av Arquitetura S-N,Cidade Univ, BR-50740550 Recife N, Pe, Brazil.</t>
  </si>
  <si>
    <t>barletta@ufpe.br</t>
  </si>
  <si>
    <t>Ferreira, Guilherme V. B./E-5984-2019; Ferreira, Guilherme/HNC-4634-2023; Justino, Anne K. S./AHE-2312-2022; Lima, André R A/C-4931-2019; Barletta, Mario/D-3233-2011; Costa, Monica F./J-9879-2012</t>
  </si>
  <si>
    <t>Ferreira, Guilherme V. B./0000-0002-9153-7617; Justino, Anne K. S./0000-0001-7287-3677; Lima, André R A/0000-0002-9698-8302; Barletta, Mario/0000-0001-5139-1628; Costa, Monica F./0000-0002-7673-3089; Morley, Simon/0000-0002-7761-660X</t>
  </si>
  <si>
    <t>Conselho Nacional de Desenvolvimento Cientifico e Tecnologico (CNPq) [405818/2012-2/COAGR/PESCA, 404931/2016-2]; Fundacao de Amparo a Ciencia e Tecnologia do Estado de Pernambuco (FACEPE) [c.AQP0911-1.08/12, FACEPE/BFP-0130-1.08/15]; NERC [bas0100036] Funding Source: UKRI</t>
  </si>
  <si>
    <t>Conselho Nacional de Desenvolvimento Cientifico e Tecnologico (CNPq)(Conselho Nacional de Desenvolvimento Cientifico e Tecnologico (CNPQ)); Fundacao de Amparo a Ciencia e Tecnologia do Estado de Pernambuco (FACEPE)(Fundacao de Amparo a Ciencia e Tecnologia do Estado de Pernambuco (FACEPE)); NERC(UK Research &amp; Innovation (UKRI)Natural Environment Research Council (NERC))</t>
  </si>
  <si>
    <t>Authors acknowledge financial support from Conselho Nacional de Desenvolvimento Cientifico e Tecnologico through grants (CNPq Grant number: 405818/2012-2/COAGR/PESCA and. 404931/2016-2), Fundacao de Amparo a Ciencia e Tecnologia do Estado de Pernambuco through grants (FACEPE Grant number: c.AQP0911-1.08/12) and scholarship (Grant number: FACEPE/BFP-0130-1.08/15). MB and MFC are CNPq fellows.</t>
  </si>
  <si>
    <t>10.1016/j.envpol.2018.01.095</t>
  </si>
  <si>
    <t>GB6OC</t>
  </si>
  <si>
    <t>WOS:000429187500074</t>
  </si>
  <si>
    <t>Gomes, ECQ; Godinho, VM; Silva, DAS; de Paula, MTR; Vitoreli, GA; Zani, CL; Alves, TMA; Junior, PAS; Murta, SMF; Barbosa, EC; Oliveira, JG; Oliveira, FS; Carvalho, CR; Ferreira, MC; Rosa, CA; Rosa, LH</t>
  </si>
  <si>
    <t>Gomes, Eldon C. Q.; Godinho, Valeria M.; Silva, Debora A. S.; de Paula, Maria T. R.; Vitoreli, Gislaine A.; Zani, Carlos L.; Alves, Tania M. A.; Junior, Policarpo A. S.; Murta, Silvane M. F.; Barbosa, Emerson C.; Oliveira, Jaquelline G.; Oliveira, Fabio S.; Carvalho, Camila R.; Ferreira, Mariana C.; Rosa, Carlos A.; Rosa, Luiz H.</t>
  </si>
  <si>
    <t>Cultivable fungi present in Antarctic soils: taxonomy, phylogeny, diversity, and bioprospecting of antiparasitic and herbicidal metabolites</t>
  </si>
  <si>
    <t>EXTREMOPHILES</t>
  </si>
  <si>
    <t>Antarctica; Fungi; Neglected tropical diseases; Mortierella; Pseudogymnoascus</t>
  </si>
  <si>
    <t>PSEUDOGYMNOASCUS-DESTRUCTANS; SACCHAROMYCES-EUBAYANUS; ORNITHOGENIC CRYOSOLS; BIOLOGICAL-ACTIVITIES; COMMUNITIES; YEASTS; MACROALGAE; GEOMYCES; INFECTION; PATAGONIA</t>
  </si>
  <si>
    <t>Molecular biology techniques were used to identify 218 fungi from soil samples collected from four islands of Antarctica. These consisted of 22 taxa of 15 different genera belonging to the Zygomycota, Ascomycota, and Basidiomycota. Mortierella, Antarctomyces, Pseudogymnoascus, and Penicillium were the most frequently isolated genera and Penicillium tardochrysogenum, Penicillium verrucosus, Goffeauzyma gilvescens, and Mortierella sp. 2 the most abundant taxa. All fungal isolates were cultivated using solid-state fermentation to obtain their crude extracts. Pseudogymnoascus destructans, Mortierella parvispora, and Penicillium chrysogenum displayed antiparasitic activities, whilst extracts of P. destructans, Mortierella amoeboidea, Mortierella sp. 3, and P. tardochrysogenum showed herbicidal activities. Reported as pathogenic for bats, different isolates of P. destructans exhibited trypanocidal activities and herbicidal activity, and may be a source of bioactive molecules to be considered for chemotherapy against neglected tropical diseases. The abundant presence of P. destructans in soils of the four islands gives evidence supporting that soils in the Antarctic Peninsula constitute a natural source of strains of this genus, including some P. destructans strains that are phylogenetically close to those that infect bats in North America and Europe/Palearctic Asia.</t>
  </si>
  <si>
    <t>[Gomes, Eldon C. Q.; Godinho, Valeria M.; Silva, Debora A. S.; de Paula, Maria T. R.; Vitoreli, Gislaine A.; Carvalho, Camila R.; Ferreira, Mariana C.; Rosa, Carlos A.; Rosa, Luiz H.] Univ Fed Minas Gerais, Dept Microbiol, BR-31270901 Belo Horizonte, MG, Brazil; [Zani, Carlos L.; Alves, Tania M. A.; Junior, Policarpo A. S.; Murta, Silvane M. F.; Barbosa, Emerson C.; Oliveira, Jaquelline G.] FIOCRUZ MG, Ctr Pesquisas Rene Rachou, Belo Horizonte, MG, Brazil; [Oliveira, Fabio S.] Univ Fed Minas Gerais, Dept Geog, Belo Horizonte, MG, Brazil</t>
  </si>
  <si>
    <t>Universidade Federal de Minas Gerais; Fundacao Oswaldo Cruz; Universidade Federal de Minas Gerais</t>
  </si>
  <si>
    <t>Rosa, LH (corresponding author), Univ Fed Minas Gerais, Dept Microbiol, BR-31270901 Belo Horizonte, MG, Brazil.</t>
  </si>
  <si>
    <t>lhrosa@icb.ufmg.br</t>
  </si>
  <si>
    <t>Oliveira, Fabio/AAJ-7764-2021; Alves, Tania Maria A/B-4814-2009; Murta, Silvane Fonseca Murta/ABE-9410-2021; Zani, Carlos L/A-9658-2008; Zani, Carlos Leomar/ABE-3936-2021; Gomes, Eldon/AAL-5755-2020</t>
  </si>
  <si>
    <t>Oliveira, Fabio/0000-0002-1450-7609; Murta, Silvane Fonseca Murta/0000-0002-8523-2155; Almeida Alves, Tania Maria/0000-0002-0582-3968; de Paula, Maria Theresa Rafaela/0000-0003-3359-2279; Queres, Eldon/0000-0002-3578-5341; GERMANO de OLIVEIRA, JAQUELLINE/0000-0002-0487-8748</t>
  </si>
  <si>
    <t>CNPq [PROAN-TAR 407230/o-0]; INCT Criosfera; FAPEMIG [0050-13]; CAPES [23038.003478/2013-92]; PROPP-UFOP; PRPq-UFMG</t>
  </si>
  <si>
    <t>CNPq(Conselho Nacional de Desenvolvimento Cientifico e Tecnologico (CNPQ)); INCT Criosfera; FAPEMIG(Fundacao de Amparo a Pesquisa do Estado de Minas Gerais (FAPEMIG)); CAPES(Coordenacao de Aperfeicoamento de Pessoal de Nivel Superior (CAPES)); PROPP-UFOP; PRPq-UFMG</t>
  </si>
  <si>
    <t>We acknowledge the financial support from CNPq PROAN-TAR 407230/o-0, INCT Criosfera, FAPEMIG (0050-13), CAPES (23038.003478/2013-92), PROPP-UFOP and PRPq-UFMG.</t>
  </si>
  <si>
    <t>SPRINGER JAPAN KK</t>
  </si>
  <si>
    <t>TOKYO</t>
  </si>
  <si>
    <t>SHIROYAMA TRUST TOWER 5F, 4-3-1 TORANOMON, MINATO-KU, TOKYO, 105-6005, JAPAN</t>
  </si>
  <si>
    <t>1431-0651</t>
  </si>
  <si>
    <t>1433-4909</t>
  </si>
  <si>
    <t>Extremophiles</t>
  </si>
  <si>
    <t>10.1007/s00792-018-1003-1</t>
  </si>
  <si>
    <t>Biochemistry &amp; Molecular Biology; Microbiology</t>
  </si>
  <si>
    <t>GA1BB</t>
  </si>
  <si>
    <t>WOS:000428048800005</t>
  </si>
  <si>
    <t>Mangiagalli, M; Sarusi, G; Kaleda, A; Bar Dolev, M; Nardone, V; Vena, VF; Braslavsky, I; Lotti, M; Nardini, M</t>
  </si>
  <si>
    <t>Mangiagalli, Marco; Sarusi, Guy; Kaleda, Aleksei; Bar Dolev, Maya; Nardone, Valentina; Vena, Vittoria Federica; Braslavsky, Ido; Lotti, Marina; Nardini, Marco</t>
  </si>
  <si>
    <t>Structure of a bacterial ice binding protein with two faces of interaction with ice</t>
  </si>
  <si>
    <t>cold adaptation; DUF3494; IBP-1 fold; ice recrystallization inhibition; thermal hysteresis</t>
  </si>
  <si>
    <t>HYPERACTIVE ANTIFREEZE PROTEIN; CRYSTAL-STRUCTURE; SITE; RECRYSTALLIZATION; INHIBITION; ADSORPTION; EXPRESSION; DIVERSITY</t>
  </si>
  <si>
    <t>Ice-binding proteins (IBPs) contribute to the survival of many living beings at subzero temperature by controlling the formation and growth of ice crystals. This work investigates the structural basis of the ice-binding properties of EfcIBP, obtained from Antarctic bacteria. EfcIBP is endowed with a unique combination of thermal hysteresis and ice recrystallization inhibition activity. The three-dimensional structure, solved at 0.84 angstrom resolution, shows that EfcIBP belongs to the IBP-1 fold family, and is organized in a right-handed -solenoid with a triangular cross-section that forms three protein surfaces, named A, B, and C faces. However, EfcIBP diverges from other IBP-1 fold proteins in relevant structural features including the lack of a capping' region on top of the -solenoid, and in the sequence and organization of the regions exposed to ice that, in EfcIBP, reveal the presence of threonine-rich ice-binding motifs. Docking experiments and site-directed mutagenesis pinpoint that EfcIBP binds ice crystals not only via its B face, as common to other IBPs, but also via ice-binding sites on the C face. DatabaseCoordinates and structure factors have been deposited in the Protein Data Bank under accession number .</t>
  </si>
  <si>
    <t>[Mangiagalli, Marco; Vena, Vittoria Federica; Lotti, Marina] Univ Milano Bicocca, Dept Biotechnol &amp; Biosci, Piazza Sci 2, I-20126 Milan, Italy; [Sarusi, Guy; Kaleda, Aleksei; Bar Dolev, Maya; Braslavsky, Ido] Hebrew Univ Jerusalem, Robert H Smith Fac Agr Food &amp; Environm, Inst Biochem Food Sci &amp; Nutr, Rehovot, Israel; [Kaleda, Aleksei] Tallinn Univ Technol, Dept Chem &amp; Biotechnol, Sch Sci, Tallinn, Estonia; [Nardone, Valentina; Nardini, Marco] Univ Milan, Dept Biosci, Via Celoria 26, I-20133 Milan, Italy</t>
  </si>
  <si>
    <t>University of Milano-Bicocca; Hebrew University of Jerusalem; Tallinn University of Technology; University of Milan</t>
  </si>
  <si>
    <t>Lotti, M (corresponding author), Univ Milano Bicocca, Dept Biotechnol &amp; Biosci, Piazza Sci 2, I-20126 Milan, Italy.;Nardini, M (corresponding author), Univ Milan, Dept Biosci, Via Celoria 26, I-20133 Milan, Italy.</t>
  </si>
  <si>
    <t>marina.lotti@unimib.it; marco.nardini@unimi.it</t>
  </si>
  <si>
    <t>Nardone, Valentina/B-7726-2017; Dolev, Maya Bar/AAG-7771-2020; Lotti, Marina/AAU-1630-2020; MANGIAGALLI, MARCO/Q-9988-2018; Nardini, Marco/B-7842-2017; Braslavsky, Ido/O-1859-2013</t>
  </si>
  <si>
    <t>Lotti, Marina/0000-0001-5419-7572; MANGIAGALLI, MARCO/0000-0001-8211-165X; Nardini, Marco/0000-0002-3718-2165; Bar Dolev, Maya/0000-0001-8619-8481; Kaleda, Aleksei/0000-0001-9003-130X; Braslavsky, Ido/0000-0001-8985-8211</t>
  </si>
  <si>
    <t>grant Progetto Nazionale di Ricerche in Antartide PEA; RISE-MSCA Project 'Metable'; European Research Council [281595]; Israel Science Foundation [930/16]; European Regional Development Fund; European Research Council (ERC) [281595] Funding Source: European Research Council (ERC)</t>
  </si>
  <si>
    <t>grant Progetto Nazionale di Ricerche in Antartide PEA; RISE-MSCA Project 'Metable'; European Research Council(European Research Council (ERC)); Israel Science Foundation(Israel Science Foundation); European Regional Development Fund(European Union (EU)); European Research Council (ERC)(European Research Council (ERC)Spanish Government)</t>
  </si>
  <si>
    <t>We thank Daniele de Sanctis for data collection support at the ID29 beamline of the European Synchrotron Radiation Facility (ESRF, Grenoble, France). This work was partly supported by a grant Progetto Nazionale di Ricerche in Antartide PEA 2014-2016 and the RISE-MSCA Project 'Metable' to ML. IB acknowledges support by European Research Council (grant No. 281595) and by Israel Science Foundation (grant No. 930/16). AK acknowledges support by European Regional Development Fund.</t>
  </si>
  <si>
    <t>10.1111/febs.14434</t>
  </si>
  <si>
    <t>GF1FH</t>
  </si>
  <si>
    <t>WOS:000431678400008</t>
  </si>
  <si>
    <t>Hinkley, T</t>
  </si>
  <si>
    <t>Hinkley, Todd</t>
  </si>
  <si>
    <t>Comment on Next-Generation Ice Core Technology Reveals True Minimum Natural Levels of Lead (Pb) in the Atmosphere: Insights From the Black Death by More et al.</t>
  </si>
  <si>
    <t>GEOHEALTH</t>
  </si>
  <si>
    <t>lead (Pb) in ice; natural sources of lead (Pb); bubonic plague; environmental lead (Pb) isotopes; volcanic emission of metals</t>
  </si>
  <si>
    <t>ANTARCTICA; EMISSIONS; ISOTOPES; ANCIENT; SILVER; RECORD; DUST</t>
  </si>
  <si>
    <t>Plain Language Summary More et al. (2017, ) state that lead (Pb) concentrations in ice core from the high-altitude site Colle Gnifetti in Switzerland, reflecting atmospheric deposition over the past two millennia, have been consistently high because of human technological activity. They posit that abrupt departures toward smaller concentrations are caused by economic disruptions resulting from bubonic plague in the fourteenth and fifteenth centuries (plus a brief late nineteenth century economic depression), and by a decline in atmospheric injection of industrial Pb in the most recent few decades. Concentrations of Pb reported over those short anomalous intervals are very small, at least as small as in most pre-industrial Antarctic ice. More et al. believe that these intervals reflect natural, pre-anthropogenic levels. Their interpretation conflicts with a body of scientific information about the geochemical behavior and sources of Pb and how Pb is deposited by the atmosphere. To evaluate the validity of the interpretation of More et al. it is important to know (a) whether Pb in the ice is accompanied by other trace metals known to be present in natural sources; and (b) whether the isotopic composition of Pb in the ice is consistent with mined Pb or Pb from other, natural sources.</t>
  </si>
  <si>
    <t>[Hinkley, Todd] US Geol Survey, Box 25046, Denver, CO 80225 USA</t>
  </si>
  <si>
    <t>United States Department of the Interior; United States Geological Survey</t>
  </si>
  <si>
    <t>Hinkley, T (corresponding author), US Geol Survey, Box 25046, Denver, CO 80225 USA.</t>
  </si>
  <si>
    <t>toddkhinkley@gmail.com</t>
  </si>
  <si>
    <t>Hinkley, Todd/0000-0001-8507-6271</t>
  </si>
  <si>
    <t>2471-1403</t>
  </si>
  <si>
    <t>GeoHealth</t>
  </si>
  <si>
    <t>10.1002/2017GH000105</t>
  </si>
  <si>
    <t>Environmental Sciences; Public, Environmental &amp; Occupational Health</t>
  </si>
  <si>
    <t>Environmental Sciences &amp; Ecology; Public, Environmental &amp; Occupational Health</t>
  </si>
  <si>
    <t>HK8BN</t>
  </si>
  <si>
    <t>WOS:000458214500001</t>
  </si>
  <si>
    <t>Addison, PFE; Collins, DJ; Trebilco, R; Howe, S; Bax, N; Hedge, P; Jones, G; Miloslavich, P; Roelfsema, C; Sams, M; Stuart-Smith, RD; Scanes, P; von Baumgarten, P; McQuatters-Gollop, A</t>
  </si>
  <si>
    <t>Addison, P. F. E.; Collins, D. J.; Trebilco, R.; Howe, S.; Bax, N.; Hedge, P.; Jones, G.; Miloslavich, P.; Roelfsema, C.; Sams, M.; Stuart-Smith, R. D.; Scanes, P.; von Baumgarten, P.; McQuatters-Gollop, A.</t>
  </si>
  <si>
    <t>A new wave of marine evidence-based management: emerging challenges and solutions to transform monitoring, evaluating, and reporting</t>
  </si>
  <si>
    <t>ICES JOURNAL OF MARINE SCIENCE</t>
  </si>
  <si>
    <t>adaptive management; biodiversity; fisheries; collaboration; environment; environmental impact assessment; modelling; monitoring; socio-economic</t>
  </si>
  <si>
    <t>ECOSYSTEM-BASED MANAGEMENT; PROTECTED AREAS; DECISION-MAKING; CITIZEN SCIENCE; CONSERVATION; BIODIVERSITY; UNCERTAINTY; FRAMEWORK; MODELS; OCEAN</t>
  </si>
  <si>
    <t>Sustainable management and conservation of the world's oceans requires effective monitoring, evaluation, and reporting (MER). Despite the growing political and social imperative for these activities, there are some persistent and emerging challenges that marine practitioners face in undertaking these activities. In 2015, a diverse group of marine practitioners came together to discuss the emerging challenges associated with marine MER, and potential solutions to address these challenges. Three emerging challenges were identified: (i) the need to incorporate environmental, social and economic dimensions in evaluation and reporting; (ii) the implications of big data, creating challenges in data management and interpretation; and (iii) dealing with uncertainty throughout MER activities. We point to key solutions to address these challenges across MER activities: (i) integrating models into marine management systems to help understand, interpret, and manage the environmental and socio-economic dimensions of uncertain and complex marine systems; (ii) utilizing big data sources and new technologies to collect, process, store, and analyze data; and (iii) applying approaches to evaluate, account for, and report on the multiple sources and types of uncertainty. These solutions point towards a potential for a new wave of evidence-based marine management, through more innovative monitoring, rigorous evaluation and transparent reporting. Effective collaboration and institutional support across the sciencemanagement- policy interface will be crucial to deal with emerging challenges, and implement the tools and approaches embedded within these solutions.</t>
  </si>
  <si>
    <t>[Addison, P. F. E.] Univ Oxford, Dept Zool, Oxford OX1 3PS, England; [Addison, P. F. E.] Australian Inst Marine Sci, Townsville, Qld 4810, Australia; [Collins, D. J.; Sams, M.] Environm Protect Author Victoria, Macleod, Vic 3085, Australia; [Collins, D. J.] Environm Southland, Invercargill 9840, New Zealand; [Trebilco, R.] Univ Tasmania, Antarctic Climate &amp; Ecosyst CRC, Hobart, Tas 7001, Australia; [Howe, S.] Pk Victoria, Melbourne, Vic 3000, Australia; [Bax, N.; Hedge, P.; Miloslavich, P.; Stuart-Smith, R. D.] Univ Tasmania, Inst Marine &amp; Antarctic Studies, Hobart, Tas 7001, Australia; [Bax, N.] CSIRO Oceans &amp; Atmosphere, Hobart, Tas 7004, Australia; [Jones, G.] Tasmania Pk &amp; Wildlife Serv, Hobart, Tas 7001, Australia; [Jones, G.] Univ Tasmania, Sch Land &amp; Food, Geog &amp; Spatial Sci, Hobart, Tas 7001, Australia; [Miloslavich, P.] Univ Simon Bolivar, Dept Estudios Ambientales, Caracas 1080, Venezuela; [Roelfsema, C.] Univ Queensland, Sch Earth &amp; Environm Sci, Remote Sensing Res Ctr, Brisbane, Qld 4072, Australia; [Scanes, P.] Off Environm &amp; Heritage, Water Wetland &amp; Coastal Sci, Sydney, NSW 2000, Australia; [von Baumgarten, P.] Dept Environm Water &amp; Nat Resources, Adelaide, SA 5000, Australia; [McQuatters-Gollop, A.] Plymouth Univ, Ctr Marine &amp; Conservat Policy Res, Plymouth PL4 8AA, Devon, England</t>
  </si>
  <si>
    <t>University of Oxford; Australian Institute of Marine Science; University of Tasmania; University of Tasmania; Commonwealth Scientific &amp; Industrial Research Organisation (CSIRO); University of Tasmania; Simon Bolivar University; University of Queensland; Office of Environment &amp; Heritage - New South Wales; University of Plymouth</t>
  </si>
  <si>
    <t>Addison, PFE (corresponding author), Univ Oxford, Dept Zool, Oxford OX1 3PS, England.;Addison, PFE (corresponding author), Australian Inst Marine Sci, Townsville, Qld 4810, Australia.</t>
  </si>
  <si>
    <t>prue.addison@zoo.ox.ac.uk</t>
  </si>
  <si>
    <t>Stuart-Smith, Rick/I-5214-2019; Stuart-Smith, Rick D/M-1829-2013; Trebilco, Rowan/I-5311-2012; Roelfsema, Chris/AAV-1277-2020; Roelfsema, Chris Marius/B-1591-2015; Bax, Nicholas/A-2321-2012</t>
  </si>
  <si>
    <t>Stuart-Smith, Rick/0000-0002-8874-0083; Stuart-Smith, Rick D/0000-0002-8874-0083; Trebilco, Rowan/0000-0001-9712-8016; Roelfsema, Chris/0000-0003-0182-1356; Roelfsema, Chris Marius/0000-0003-0182-1356; Bax, Nicholas/0000-0002-9697-4963; Hedge, Paul/0000-0002-2040-9618; Scanes, Peter/0000-0002-6722-168X; McQuatters-Gollop, Abigail/0000-0002-6043-9563; Miloslavich, Patricia/0000-0001-5409-1401</t>
  </si>
  <si>
    <t>UK Natural Environmental Research Council through the NERC Knowledge Exchange fellowship scheme [NE/N005457/1, NE/L002663/1]; Marine Biodiversity Hub; Australian Government's National Environmental Science Programme (NESP); R.J.L. Hawke Postdoctoral fellowship; Natural Environment Research Council [NE/R002738/1, NE/L002663/2, NE/N005457/1, NE/L002663/1] Funding Source: researchfish; NERC [NE/L002663/2, NE/R002738/1, NE/N005457/1, NE/L002663/1] Funding Source: UKRI</t>
  </si>
  <si>
    <t>UK Natural Environmental Research Council through the NERC Knowledge Exchange fellowship scheme; Marine Biodiversity Hub; Australian Government's National Environmental Science Programme (NESP)(Australian Government); R.J.L. Hawke Postdoctoral fellowship; Natural Environment Research Council(UK Research &amp; Innovation (UKRI)Natural Environment Research Council (NERC)); NERC(UK Research &amp; Innovation (UKRI)Natural Environment Research Council (NERC))</t>
  </si>
  <si>
    <t>We wish to acknowledge all of the marine scientists and managers who presented their research and shared their ideas at the Marine Monitoring Evaluation and Reporting symposium at the Australian Marine Sciences Association conference in July 2015. Initial discussions with symposium participants helped shape this article and we thank all of those involved in the symposium for their contributions. We would like to thank the two anonymous reviewers for their helpful comments on an earlier version of the manuscript. PFEA and AMG thank the UK Natural Environmental Research Council for support through the NERC Knowledge Exchange fellowship scheme (NE/N005457/1 &amp; NE/L002663/1). N.B., P.H., and R.D.S.S. were supported by the Marine Biodiversity Hub, a collaborative partnership supported through the Australian Government's National Environmental Science Programme (NESP). R.T. was supported by the R.J.L. Hawke Postdoctoral fellowship.</t>
  </si>
  <si>
    <t>1054-3139</t>
  </si>
  <si>
    <t>1095-9289</t>
  </si>
  <si>
    <t>ICES J MAR SCI</t>
  </si>
  <si>
    <t>ICES J. Mar. Sci.</t>
  </si>
  <si>
    <t>10.1093/icesjms/fsx216</t>
  </si>
  <si>
    <t>Fisheries; Marine &amp; Freshwater Biology; Oceanography</t>
  </si>
  <si>
    <t>GI0PC</t>
  </si>
  <si>
    <t>Green Submitted, hybrid, Green Accepted, Green Published</t>
  </si>
  <si>
    <t>WOS:000434070900005</t>
  </si>
  <si>
    <t>Rogers, A; Blanchard, JL; Mumby, PJ</t>
  </si>
  <si>
    <t>Rogers, Alice; Blanchard, Julia L.; Mumby, Peter J.</t>
  </si>
  <si>
    <t>Fisheries productivity under progressive coral reef degradation</t>
  </si>
  <si>
    <t>JOURNAL OF APPLIED ECOLOGY</t>
  </si>
  <si>
    <t>coral reefs; fisheries; fisheries productivity; habitat degradation; herbivory; invertebrates; invertivores; predator-prey interactions; reef degradation; structural complexity</t>
  </si>
  <si>
    <t>ALGAL PHASE-SHIFTS; FISH COMMUNITIES; HABITAT DEGRADATION; RESILIENCE; DISTURBANCES; RECRUITMENT; COMPLEXITY; PACIFIC</t>
  </si>
  <si>
    <t>1. In response to multiple stressors, coral reef health has declined in recent decades, with reefs exhibiting reduced living coral and structural complexity, and a concomitant rise in the dominance of algal resources. Reef degradation alters food availability and reduces the diversity and density of refuges for prey. These changes affect predator-prey interactions and can have cascading impacts on food webs and fisheries productivity. 2. We use a size-based ecosystem model of coral reefs that incorporates the - influence of structural complexity, benthic primary production and detrital recycling to - explore how predator-prey interactions and fisheries productivity respond to a gradient of reef degradation. 3. We show that fisheries productivity overall may be robust to initial stages of reef degradation because the benefits of increased resources outweigh the costs of moderate refuge decline. However, the assemblage composition and size structure of reef fish will differ on degraded reefs, with herbivores and invertivores contributing relatively more to productivity. 4. More significant losses of refuges associated with the erosion of structural complexity correspond to fisheries productivity losses of at least 35% compared to healthy reefs. 5. Synthesis and applications. Our model provides fisheries managers with quantitative predictions about how fisheries productivity may change in response to the ongoing degradation of coral reefs. We predict an initial increase in productivity at intermediate reef degradation, followed by a drastic decline when structural complexity is lost. We also capture subtle changes to potential catch composition and fish size, including increases in smaller herbivorous and invertivorous fish from degraded reefs, which will undoubtedly impact fisheries value. On the one hand, our results reassure for continued productivity in the short term, but on the other, we warn against complacency. Management must change to capture any potential benefits to fisheries, and long-term sustainability still depends on the maintenance of complex coral reef habitats.</t>
  </si>
  <si>
    <t>[Rogers, Alice] Univ Queensland, Sch Biol Sci, Marine Spatial Ecol Lab, Goddard Bldg, Brisbane, Qld, Australia; [Blanchard, Julia L.] Univ Tasmania, Ctr Marine Socioecol, Inst Marine &amp; Antarctic Studies, Hobart, Tas, Australia; [Mumby, Peter J.] Univ Queensland, Sch Biol Sci, Ctr Excellence Coral Reef Studies, Australian Res Council,Marine Spatial Ecol Lab, Goddard Bldg, Brisbane, Qld, Australia</t>
  </si>
  <si>
    <t>University of Queensland; University of Tasmania; University of Queensland</t>
  </si>
  <si>
    <t>Rogers, A (corresponding author), Univ Queensland, Sch Biol Sci, Marine Spatial Ecol Lab, Goddard Bldg, Brisbane, Qld, Australia.;Mumby, PJ (corresponding author), Univ Queensland, Sch Biol Sci, Ctr Excellence Coral Reef Studies, Australian Res Council,Marine Spatial Ecol Lab, Goddard Bldg, Brisbane, Qld, Australia.</t>
  </si>
  <si>
    <t>a.rogers2@uq.edu.au; p.j.mumby@uq.edu.au</t>
  </si>
  <si>
    <t>Blanchard, Julia L/E-4919-2010; Mumby, Peter/F-9914-2010</t>
  </si>
  <si>
    <t>Rogers, Alice/0000-0002-7244-0860; Mumby, Peter/0000-0002-6297-9053; Blanchard, Julia/0000-0003-0532-4824</t>
  </si>
  <si>
    <t>World Bank Group; Global Environment Facility</t>
  </si>
  <si>
    <t>0021-8901</t>
  </si>
  <si>
    <t>1365-2664</t>
  </si>
  <si>
    <t>J APPL ECOL</t>
  </si>
  <si>
    <t>J. Appl. Ecol.</t>
  </si>
  <si>
    <t>10.1111/1365-2664.13051</t>
  </si>
  <si>
    <t>GC8QB</t>
  </si>
  <si>
    <t>WOS:000430059500001</t>
  </si>
  <si>
    <t>Crame, JA</t>
  </si>
  <si>
    <t>Crame, J. Alistair</t>
  </si>
  <si>
    <t>Key stages in the evolution of the Antarctic marine fauna</t>
  </si>
  <si>
    <t>JOURNAL OF BIOGEOGRAPHY</t>
  </si>
  <si>
    <t>Antarctic marine fauna; Cenozoic evolutionary history; evolutionary radiations; global cooling; mass extinctions; primary productivity; seasonality</t>
  </si>
  <si>
    <t>SOUTHERN-OCEAN; SEYMOUR ISLAND; CLIMATE-CHANGE; DIVERSITY; BIOGEOGRAPHY; EOCENE; EXTINCTION; MOLLUSCA; DIVERSIFICATION; BIODIVERSITY</t>
  </si>
  <si>
    <t>We are beginning to appreciate that the origin of the modern Antarctic marine fauna is related to a series of key events throughout the Cenozoic era. In the first of these, the mass extinction at the Cretaceous-Palaeogene boundary (66 Ma) reset the evolutionary stage and led to a major radiation of modern taxa in the benthic realm. Although this took place in a greenhouse world, there is evidence to suggest that the radiation was tempered by the seasonality of primary productivity, and this may be a time-invariant feature of the polar regions. Although there could well have been a single, abrupt extinction event at c.34 Ma, there is also evidence to suggest a phased extinction of various taxa over a period of millions of years. Important new molecular phylogenetic data are indicating that a wide variety of both benthic and pelagic taxa radiated shortly after a second major phase of cooling at c.14 Ma. Such a phenomenon is linked to a series of major palaeoceanographic changes, which in turn led to a proliferation of diatom-based ecosystems. Although the modern benthic marine fauna can be traced back some 45-50 Myr, a substantial component of the modern pelagic one may be less than 14 Myr old. The latter is also characterized by assemblages of high abundance but comparatively low species richness and evenness. A distinctive signature of low diversity but high dominance within Antarctic marine assemblages was maintained by the interplay between temperature and primary productivity throughout the Cenozoic.</t>
  </si>
  <si>
    <t>[Crame, J. Alistair] British Antarctic Survey, Cambridge, England</t>
  </si>
  <si>
    <t>Crame, JA (corresponding author), British Antarctic Survey, Cambridge, England.</t>
  </si>
  <si>
    <t>Natural Environment Research Council [NE/I005803/1]; Natural Environment Research Council [NE/I005803/1] Funding Source: researchfish; NERC [NE/I00582X/2, bas0100036, NE/I005803/1] Funding Source: UKRI</t>
  </si>
  <si>
    <t>Funding from the Natural Environment Research Council, and in particular NE/I005803/1, is gratefully acknowledged. For stratigraphic and taxonomic help over a number of years, I am particularly grateful to A.G. Beu, J.R. Ineson, V.C. Bowman, J.E. Francis and R.J. Whittle. I would also like to acknowledge the invaluable palaeontological legacy left by numerous international colleagues working on Seymour Island; I would particularly like to highlight the pioneering work of W.J. Zinsmeister and associates over many years. My thanks go to A. Clarke, E.M. Harper, E.J. Murphy, L.S. Peck and J.D. Taylor for discussions about polar biodiversity patterns and the evolution of marine ecosystems. Three anonymous referees, C.I. Fraser and P. Linder are thanked for very helpful comments and suggestions on the manuscript.</t>
  </si>
  <si>
    <t>0305-0270</t>
  </si>
  <si>
    <t>1365-2699</t>
  </si>
  <si>
    <t>J BIOGEOGR</t>
  </si>
  <si>
    <t>J. Biogeogr.</t>
  </si>
  <si>
    <t>10.1111/jbi.13208</t>
  </si>
  <si>
    <t>GF1ZA</t>
  </si>
  <si>
    <t>WOS:000431734300003</t>
  </si>
  <si>
    <t>Mahaney, WC; Krinsley, DH; Milner, MW; Fischer, R; Langworthy, K</t>
  </si>
  <si>
    <t>Mahaney, W. C.; Krinsley, David H.; Milner, Michael W.; Fischer, Robert; Langworthy, Kurt</t>
  </si>
  <si>
    <t>Did the Black-Mat Impact/Airburst Reach the Antarctic? Evidence from New Mountain Near the Taylor Glacier in the Dry Valley Mountains</t>
  </si>
  <si>
    <t>JOURNAL OF GEOLOGY</t>
  </si>
  <si>
    <t>BIOMASS-BURNING EPISODE; CLIMATE-CHANGE; WESTERN ALPS; BEACON SUPERGROUP; WEATHERING RINDS; IN-SITU; IMPACT; PALEOSOLS; BOUNDARY; REGION</t>
  </si>
  <si>
    <t>Detailed microscopic investigations of horizons in a surface paleosol, part of a pedostratigraphic stack of tills at New Mountain, Antarctica, dated to the middle Miocene climatic optimum event (ca. 15 Ma), suggest not only that the paleoclimate history of the continent can be read from stratigraphic layers within paleosols but also that records of cosmic events may lie embedded in coatings on sand clasts resident in paleosols. Recent microscopic and chemical data from sands in the upper horizons of a surface paleosol (Ant-828), adjacent to the Taylor Glacier, contain Fe and Na coatings surfaced with cosmic signatures including welded and shock-melted grains, opaque carbon coatings, microfeature stack of cards, Fe spherules, solubilized grain surfaces with streams of melted skin, a grain carrying an Ir signature, rare earth elements elevated above crustal averages, and slightly elevated Pt/Pd ratios. The projected link to the probable black-mat event of 12.8 ka is reinforced by the presence of fresh opaque carbon and other cosmic signatures on grain surfaces that overlie well-weathered grain features, presumably weathering from middle Miocene time near today. Evidence of CO2 and NOx accumulations dated to 12.9 ka in the Taylor Ice Dome suggest that the black-mat impact/airburst of the same time line as the Younger Dryas boundary may have reached across South America and the Pacific Ocean to the Dry Valley Mountains of Antarctica.</t>
  </si>
  <si>
    <t>[Mahaney, W. C.] Quaternary Surveys, 26 Thornhill Ave, Thornhill, ON L4J 1J4, Canada; [Mahaney, W. C.] York Univ, Dept Geog, 4700 Keele St, Toronto, ON M3J 1P3, Canada; [Krinsley, David H.; Fischer, Robert; Langworthy, Kurt] Univ Oregon, Dept Geol Sci, Eugene, OR 97403 USA; [Krinsley, David H.; Fischer, Robert; Langworthy, Kurt] Univ Oregon, Ctr Adv Mat Characterizat Oregon CAMCOR, Eugene, OR 97403 USA; [Milner, Michael W.] MWM Consulting, 182 Gough Ave, Toronto, ON M4K 3P1, Canada</t>
  </si>
  <si>
    <t>York University - Canada; University of Oregon; University of Oregon</t>
  </si>
  <si>
    <t>Mahaney, WC (corresponding author), Quaternary Surveys, 26 Thornhill Ave, Thornhill, ON L4J 1J4, Canada.;Mahaney, WC (corresponding author), York Univ, Dept Geog, 4700 Keele St, Toronto, ON M3J 1P3, Canada.</t>
  </si>
  <si>
    <t>arkose41@gmail.com</t>
  </si>
  <si>
    <t>Quaternary Surveys, Toronto; New Zealand Antarctic Programme [KIWI-105]</t>
  </si>
  <si>
    <t>Quaternary Surveys, Toronto; New Zealand Antarctic Programme</t>
  </si>
  <si>
    <t>This research was funded by Quaternary Surveys, Toronto. W. C. Mahaney gratefully acknowledges support from the New Zealand Antarctic Programme, KIWI-105 event (1998). We gratefully acknowledge criticism and useful comment from A. Fairen (European Space Agency, Madrid) and an anonymous reviewer.</t>
  </si>
  <si>
    <t>UNIV CHICAGO PRESS</t>
  </si>
  <si>
    <t>CHICAGO</t>
  </si>
  <si>
    <t>1427 E 60TH ST, CHICAGO, IL 60637-2954 USA</t>
  </si>
  <si>
    <t>0022-1376</t>
  </si>
  <si>
    <t>1537-5269</t>
  </si>
  <si>
    <t>J GEOL</t>
  </si>
  <si>
    <t>J. Geol.</t>
  </si>
  <si>
    <t>10.1086/697248</t>
  </si>
  <si>
    <t>GD5PK</t>
  </si>
  <si>
    <t>WOS:000430558700002</t>
  </si>
  <si>
    <t>Speer, K; Sallee, JB; Pellichero, V</t>
  </si>
  <si>
    <t>Speer, K.; Sallee, J-B; Pellichero, V</t>
  </si>
  <si>
    <t>Antarctic Mode Water</t>
  </si>
  <si>
    <t>JOURNAL OF MARINE RESEARCH</t>
  </si>
  <si>
    <t>Mode Water; Antarctic zone; Polar Front; mixed layer; Winter Water</t>
  </si>
  <si>
    <t>OCEAN MIXED-LAYER; SOUTHERN-OCEAN; SEA-ICE; CIRCUMPOLAR CURRENT; WINTER WATER; STRATIFICATION; TRANSPORT; FRONTS; MASSES; ZONE</t>
  </si>
  <si>
    <t>An estimate of Southern Ocean volume in temperature-salinity (T-S) classes is made with a focus on cold water masses south of the Polar Front, at depths shallower than 2,000 m. The volumetric diagram for waters below 5 degrees C shows a deficit at temperatures near 0 degrees C and 34.2 psu, surrounded by a ring of larger volumes, related to water mass formation near the Polar Front and near the continental margins as well as mixing effects. The cold, fresh extreme of the Antarctic Intermediate Water T-S relation shows a volumetric maximum, apparently distinct from the interior T-S relationship. We identify this mode as Antarctic Mode Water with a volumetric maximum centered near 2.0 degrees C and 33.9 psu. This maximum lies on a large-scale ridge of high volume representing the Antarctic Surface Water mixed layers south of the Polar Front, at the northern edge of the seasonal sea-ice cover. Additional maxima on the diagram near freezing temperatures seem to be related to processes operating on the slope and shelf, though the data coverage in these regions is much reduced. The origin of the Antarctic Mode Water is ultimately due to sea-ice melt, which systematically shifts the T-S relation of surface water to lower salinities, whereas its thickness and distribution is linked to circumpolar northward Ekman transport and the eddy fluxes of the Polar Front.</t>
  </si>
  <si>
    <t>[Speer, K.] Florida State Univ, Dept Earth Ocean &amp; Atmospher Sci, Tallahassee, FL 32306 USA; [Speer, K.] Florida State Univ, Geophys Fluid Dynam Inst, Tallahassee, FL 32306 USA; [Sallee, J-B; Pellichero, V] Lab Oceanog &amp; Climat Expt &amp; Approches Numer, Paris, France</t>
  </si>
  <si>
    <t>State University System of Florida; Florida State University; State University System of Florida; Florida State University; Museum National d'Histoire Naturelle (MNHN); Sorbonne Universite</t>
  </si>
  <si>
    <t>Speer, K (corresponding author), Florida State Univ, Dept Earth Ocean &amp; Atmospher Sci, Tallahassee, FL 32306 USA.;Speer, K (corresponding author), Florida State Univ, Geophys Fluid Dynam Inst, Tallahassee, FL 32306 USA.</t>
  </si>
  <si>
    <t>kspeer@fsu.edu</t>
  </si>
  <si>
    <t>SALLEE, Jean baptiste/HDO-5355-2022; sallée, jean-baptiste/A-5837-2010</t>
  </si>
  <si>
    <t>NSF [OCE 1231803, OCE 0622670, OCE 0822075]; European Research Council (ERC) under the European Union's Horizon 2020 research and innovation program [637770]</t>
  </si>
  <si>
    <t>NSF(National Science Foundation (NSF)); European Research Council (ERC) under the European Union's Horizon 2020 research and innovation program(European Research Council (ERC))</t>
  </si>
  <si>
    <t>K.S. would like to acknowledge support from NSF OCE 1231803, NSF OCE 0622670, and NSF OCE 0822075. JBS has received funding from the European Research Council (ERC) under the European Union's Horizon 2020 research and innovation program (grant agreement 637770).</t>
  </si>
  <si>
    <t>SEARS FOUNDATION MARINE RESEARCH</t>
  </si>
  <si>
    <t>NEW HAVEN</t>
  </si>
  <si>
    <t>YALE UNIV, KLINE GEOLOGY LAB, 210 WHITNEY AVENUE, NEW HAVEN, CT 06520-8109 USA</t>
  </si>
  <si>
    <t>0022-2402</t>
  </si>
  <si>
    <t>1543-9542</t>
  </si>
  <si>
    <t>J MAR RES</t>
  </si>
  <si>
    <t>J. Mar. Res.</t>
  </si>
  <si>
    <t>3-4</t>
  </si>
  <si>
    <t>II6HZ</t>
  </si>
  <si>
    <t>WOS:000475296200002</t>
  </si>
  <si>
    <t>Hodgson, JC; Mott, R; Baylis, SM; Pham, TT; Wotherspoon, S; Kilpatrick, AD; Segaran, RR; Reid, I; Terauds, A; Koh, LP</t>
  </si>
  <si>
    <t>Hodgson, Jarrod C.; Mott, Rowan; Baylis, Shane M.; Pham, Trung T.; Wotherspoon, Simon; Kilpatrick, Adam D.; Segaran, Ramesh Raja; Reid, Ian; Terauds, Aleks; Koh, Lian Pin</t>
  </si>
  <si>
    <t>Drones count wildlife more accurately and precisely than humans</t>
  </si>
  <si>
    <t>bird; drones; ecology; population monitoring; remotely piloted aircraft; surveys; unmanned aerial vehicle; wildlife</t>
  </si>
  <si>
    <t>UNMANNED AIRCRAFT SYSTEMS; ENVIRONMENTAL DNA; AERIAL VEHICLES; CONSERVATION; TRANSPORT; TRADE</t>
  </si>
  <si>
    <t>1. Knowing how many individuals are in a wildlife population allows informed management decisions to be made. Ecologists are increasingly using technologies, such as remotely piloted aircraft (RPA; commonly known as drones, unmanned aerial systems or unmanned aerial vehicles), for wildlife monitoring applications. Although RPA are widely touted as a cost-effective way to collect high-quality wildlife population data, the validity of these claims is unclear. 2. Using life-sized, replica seabird colonies containing a known number of fake birds, we assessed the accuracy of RPA-facilitated wildlife population monitoring compared to the traditional ground-based counting method. The task for both approaches was to count the number of fake birds in each of 10 replica seabird colonies. 3. We show that RPA-derived data are, on average, between 43% and 96% more accurate than the traditional ground-based data collection method. We also demonstrate that counts from this remotely sensed imagery can be semi-automated with a high degree of accuracy. 4. The increased accuracy and increased precision of RPA-derived wildlife monitoring data provides greater statistical power to detect fine-scale population fluctuations allowing for more informed and proactive ecological management.</t>
  </si>
  <si>
    <t>[Hodgson, Jarrod C.; Kilpatrick, Adam D.; Segaran, Ramesh Raja; Koh, Lian Pin] Univ Adelaide, Sch Biol Sci, Adelaide, SA, Australia; [Mott, Rowan; Baylis, Shane M.] Monash Univ, Sch Biol Sci, Clayton, Vic, Australia; [Pham, Trung T.; Reid, Ian] Univ Adelaide, Sch Comp Sci, Adelaide, SA, Australia; [Wotherspoon, Simon] Univ Tasmania, Inst Marine &amp; Antarctic Studies, Hobart, Tas, Australia; [Wotherspoon, Simon; Terauds, Aleks] Antarctic Conservat &amp; Management, Environm &amp; Energy Dept, Australian Antarctic Div, Kingston, Tas, Australia</t>
  </si>
  <si>
    <t>University of Adelaide; Monash University; University of Adelaide; University of Tasmania; Australian Antarctic Division</t>
  </si>
  <si>
    <t>Hodgson, JC (corresponding author), Univ Adelaide, Sch Biol Sci, Adelaide, SA, Australia.</t>
  </si>
  <si>
    <t>jarrod.hodgson@adelaide.edu.au</t>
  </si>
  <si>
    <t>Wotherspoon, Simon J/B-2390-2013; Koh, Lian Pin/A-5794-2010; Mott, Rowan/ABA-9604-2021; Terauds, Aleks/A-4991-2010</t>
  </si>
  <si>
    <t>Wotherspoon, Simon J/0000-0002-6947-4445; Koh, Lian Pin/0000-0001-8152-3871; Mott, Rowan/0000-0002-3508-6479; Hodgson, Jarrod/0000-0003-0481-7360</t>
  </si>
  <si>
    <t>Australian Government Research Training Program Scholarship; Australian Research Council; Conservation International</t>
  </si>
  <si>
    <t>Australian Government Research Training Program Scholarship(Australian GovernmentDepartment of Industry, Innovation and Science); Australian Research Council(Australian Research Council); Conservation International</t>
  </si>
  <si>
    <t>Australian Government Research Training Program Scholarship; Australian Research Council and Conservation International</t>
  </si>
  <si>
    <t>10.1111/2041-210X.12974</t>
  </si>
  <si>
    <t>Green Published, Green Submitted, hybrid</t>
  </si>
  <si>
    <t>WOS:000431666300001</t>
  </si>
  <si>
    <t>Deagle, BE; Clarke, LJ; Kitchener, JA; Polanowski, AM; Davidson, AT</t>
  </si>
  <si>
    <t>Deagle, Bruce E.; Clarke, Laurence J.; Kitchener, John A.; Polanowski, Andrea M.; Davidson, Andrew T.</t>
  </si>
  <si>
    <t>Genetic monitoring of open ocean biodiversity: An evaluation of DNA metabarcoding for processing continuous plankton recorder samples</t>
  </si>
  <si>
    <t>MOLECULAR ECOLOGY RESOURCES</t>
  </si>
  <si>
    <t>biomonitoring; DNA barcoding; environmental DNA; high-throughput sequencing</t>
  </si>
  <si>
    <t>COMMUNITY STRUCTURE; NORTH-ATLANTIC; ZOOPLANKTON; DIVERSITY; PACKAGE</t>
  </si>
  <si>
    <t>DNA metabarcoding is an efficient method for measuring biodiversity, but the process of initiating long-term DNA-based monitoring programmes, or integrating with conventional programs, is only starting. In marine ecosystems, plankton surveys using the continuous plankton recorder (CPR) have characterized biodiversity along transects covering millions of kilometres with time-series spanning decades. We investigated the potential for use of metabarcoding in CPR surveys. Samples (n = 53) were collected in two Southern Ocean transects and metazoans identified using standard microscopic methods and by high-throughput sequencing of a cytochrome c oxidase subunit I marker. DNA increased the number of metazoan species identified and provided high-resolution taxonomy of groups problematic in conventional surveys (e.g., larval echinoderms and hydrozoans). Metabarcoding also generally produced more detections than microscopy, but this sensitivity may make cross-contamination during sampling a problem. In some samples, the prevalence of DNA from large plankton such as krill masked the presence of smaller species. We investigated adding a fixed amount of exogenous DNA to samples as an internal control to allow determination of relative plankton biomass. Overall, the metabarcoding data represent a substantial shift in perspective, making direct integration into current long-term time-series challenging. We discuss a number of hurdles that exist for progressing DNA metabarcoding from the current snapshot studies to the requirements of a long-term monitoring programme. Given the power and continually increasing efficiency of metabarcoding, it is almost certain this approach will play an important role in future plankton monitoring.</t>
  </si>
  <si>
    <t>[Deagle, Bruce E.; Clarke, Laurence J.; Kitchener, John A.; Polanowski, Andrea M.; Davidson, Andrew T.] Australian Antarctic Div, Kingston, Tas, Australia; [Deagle, Bruce E.; Clarke, Laurence J.] Univ Tasmania, Antarctic Climate &amp; Ecosyst Cooperat Res Ctr, Hobart, Tas, Australia</t>
  </si>
  <si>
    <t>Australian Antarctic Division; University of Tasmania; Antarctic Climate &amp; Ecosystems Cooperative Research Centre (ACE CRC)</t>
  </si>
  <si>
    <t>Deagle, BE (corresponding author), Australian Antarctic Div, Kingston, Tas, Australia.</t>
  </si>
  <si>
    <t>bruce.deagle@aad.gov.au</t>
  </si>
  <si>
    <t>Clarke, Laurence/N-3579-2017; Deagle, Bruce E/R-2999-2019</t>
  </si>
  <si>
    <t>Clarke, Laurence/0000-0002-0844-4453; Deagle, Bruce E/0000-0001-7651-3687; Kitchener, John/0000-0003-4642-3044; Polanowski, Andrea/0000-0002-9612-220X</t>
  </si>
  <si>
    <t>Australian Antarctic Science program [4313, 4107]</t>
  </si>
  <si>
    <t>Australian Antarctic Science program</t>
  </si>
  <si>
    <t>This work was supported through the Australian Antarctic Science program (Projects 4313 and 4107). We thank the crew aboard the RSV Aurora Australis for CPR deployments. The map in Figure 1 was produced by D. Smith from the Australian Antarctic Data Centre. Two anonymous reviewers provided insightful comments which improved the manuscript.</t>
  </si>
  <si>
    <t>1755-098X</t>
  </si>
  <si>
    <t>1755-0998</t>
  </si>
  <si>
    <t>MOL ECOL RESOUR</t>
  </si>
  <si>
    <t>Mol. Ecol. Resour.</t>
  </si>
  <si>
    <t>10.1111/1755-0998.12740</t>
  </si>
  <si>
    <t>Biochemistry &amp; Molecular Biology; Ecology; Evolutionary Biology</t>
  </si>
  <si>
    <t>Biochemistry &amp; Molecular Biology; Environmental Sciences &amp; Ecology; Evolutionary Biology</t>
  </si>
  <si>
    <t>GG4JH</t>
  </si>
  <si>
    <t>WOS:000432662400002</t>
  </si>
  <si>
    <t>Rippin, M; Borchhardt, N; Williams, L; Colesie, C; Jung, P; Büdel, B; Karsten, U; Becker, B</t>
  </si>
  <si>
    <t>Rippin, Martin; Borchhardt, Nadine; Williams, Laura; Colesie, Claudia; Jung, Patrick; Buedel, Burkhard; Karsten, Ulf; Becker, Burkhard</t>
  </si>
  <si>
    <t>Genus richness of microalgae and Cyanobacteria in biological soil crusts from Svalbard and Livingston Island: morphological versus molecular approaches</t>
  </si>
  <si>
    <t>Biological soil crust; Eukaryotic algae; Cyanobacteria; Morphological identification; Metatranscriptomics</t>
  </si>
  <si>
    <t>SOUTH-SHETLAND ISLANDS; COCCOID GREEN-ALGAE; KING-GEORGE-ISLAND; PHYLOGENETIC-RELATIONSHIPS; TAXONOMIC REVISION; GROWTH; CHLOROPHYTA; DIVERSITY; TREBOUXIOPHYCEAE; BIODIVERSITY</t>
  </si>
  <si>
    <t>Biological soil crusts (BSCs) are key components of polar ecosystems. These complex communities are important for terrestrial polar habitats as they include major primary producers that fix nitrogen, prevent soil erosion and can be regarded as indicators for climate change. To study the genus richness of microalgae and Cyanobacteria in BSCs, two different methodologies were employed and the outcomes were compared: morphological identification using light microscopy and the annotation of ribosomal sequences taken from metatranscriptomes. The analyzed samples were collected from Ny-Alesund, Svalbard, Norway, and the Juan Carlos I Antarctic Base, Livingston Island, Antarctica. This study focused on the following taxonomic groups: Klebsormidiophyceae, Chlorophyceae, Trebouxiophyceae, Xanthophyceae and Cyanobacteria. In total, combining both approaches, 143 and 103 genera were identified in the Arctic and Antarctic samples, respectively. Furthermore, both techniques concordantly determined 15 taxa in the Arctic and 7 taxa in the Antarctic BSC. In general, the molecular analysis indicated a higher microalgal and cyanobacterial genus richness (about 11 times higher) than the morphological approach. In terms of eukaryotic algae, the two sampling sites displayed comparable genus counts while the cyanobacterial genus richness was much higher in the BSC from Ny-Alesund. For the first time, the presence of the genera Chloroidium, Ankistrodesmus and Dunaliella in polar regions was determined by the metatranscriptomic analysis. Overall, these findings illustrate that only the combination of morphological and molecular techniques, in contrast to one single approach, reveals higher genus richness for complex communities such as polar BSCs.</t>
  </si>
  <si>
    <t>[Rippin, Martin; Becker, Burkhard] Univ Cologne, Bot Inst, Zulpicher Str 47B, D-50674 Cologne, Germany; [Borchhardt, Nadine; Karsten, Ulf] Univ Rostock, Dept Appl Ecol &amp; Phycol, Albert Einstein Str 3, D-18059 Rostock, Germany; [Williams, Laura; Jung, Patrick; Buedel, Burkhard] Univ Kaiserslautern, Dept Plant Ecol &amp; Systemat, POB 3049, D-67653 Kaiserslautern, Germany; [Colesie, Claudia] Swedish Univ Agr Sci, Dept Forest Genet &amp; Plant Physiol, S-90183 Umea, Sweden</t>
  </si>
  <si>
    <t>University of Cologne; University of Rostock; University of Kaiserslautern; Swedish University of Agricultural Sciences</t>
  </si>
  <si>
    <t>Rippin, M (corresponding author), Univ Cologne, Bot Inst, Zulpicher Str 47B, D-50674 Cologne, Germany.</t>
  </si>
  <si>
    <t>martin.rippin@uni-koeln.de</t>
  </si>
  <si>
    <t>Colesie, Claudia/H-4258-2015; Becker, Burkhard/I-4022-2012</t>
  </si>
  <si>
    <t>Colesie, Claudia/0000-0003-1136-0290; Rippin, Martin/0000-0003-4362-0122; Jung, Patrick/0000-0002-7607-3906; Briegel-Williams, Laura/0000-0003-3926-8840; Becker, Burkhard/0000-0002-7965-1396</t>
  </si>
  <si>
    <t>Deutsche Forschungsgemeinschaft (DFG) [BE1779/18-1, KA899/23-1, BU666/17-1, 1158]</t>
  </si>
  <si>
    <t>Deutsche Forschungsgemeinschaft (DFG)(German Research Foundation (DFG))</t>
  </si>
  <si>
    <t>This study was funded by the Deutsche Forschungsgemeinschaft (DFG) within the project 'Polarcrust' (BE1779/18-1, KA899/23-1, BU666/17-1) which is part of the Priority Program 1158 'Antarctic Research'. We also thank the AWIPEW station, the Instituto Antartico Chileno, the Spanish Antarctic Committee and the Juan Carlos I Antarctic Base for their logistic support. Sampling and research activities were approved by the German authorities (Umwelt Bundesamt: Biological soil crust algae from the polar regions; 24.09.2014).</t>
  </si>
  <si>
    <t>10.1007/s00300-018-2252-2</t>
  </si>
  <si>
    <t>WOS:000431786900007</t>
  </si>
  <si>
    <t>Jarry, M; Beall, E; Davaine, P; Guéraud, F; Gaudin, P; Aymes, JC; Labonne, J; Vignon, M</t>
  </si>
  <si>
    <t>Jarry, Marc; Beall, Edward; Davaine, Patrick; Gueraud, Francois; Gaudin, Philippe; Aymes, Jean-Christophe; Labonne, Jacques; Vignon, Matthias</t>
  </si>
  <si>
    <t>Sea trout (Salmo trutta) growth patterns during early steps of invasion in the Kerguelen Islands</t>
  </si>
  <si>
    <t>Scale reading; Growth profiles; Reproductive cost; Feeding; Salmonid; Sub-Antarctic</t>
  </si>
  <si>
    <t>MIGRANT BROWN TROUT; ATLANTIC SALMON; CLIMATE-CHANGE; VARDNES RIVER; WORLD DISTRIBUTION; PARTIAL MIGRATION; LIFE-HISTORY; EVOLUTION; SALAR; L.</t>
  </si>
  <si>
    <t>Brown trout (Salmo trutta L.) was voluntarily introduced in some rivers of the Kerguelen Islands in the 1950s-1960s. Fish originating from hatcheries rapidly colonized other streams, thanks to the early occurrence of anadromous (i.e., migratory) form. Getting insight into the success of colonization requires investigating fitness-related traits such as growth and reproductive investment. In particular, increased growth and body size-traits that are broadly related to dispersal ability-are predicted on colonization front, to the possible detriment of reproductive ability. We here report such investigation on early data following the first natural reproductions in the founder populations of Kerguelen, from 1971 to 1994, assessing the main characteristic on growth at sea and reproductive investment for both sexes. Our results reveal that growth of sea trout is excellent with individuals fully benefiting from their relatively short period of growth at sea, sizes and weights ranking among the highest recorded to date. During the reproduction period, males lose on average 15-21% of their weight, whereas females lose 18-19% of their weight. Although a trade-off between growth and reproduction may arise at marginal distribution of invasive species, our study indicates that any potential advantages arising from increased growth and therefore potential dispersal ability may not be directly balanced by reduced reproductive investment, with respect to other published studies. Results overall shed light on intrinsic invasiveness of the brown trout in a post-glacial landscape with barely any interaction with human activities.</t>
  </si>
  <si>
    <t>[Jarry, Marc; Beall, Edward; Davaine, Patrick; Gueraud, Francois; Gaudin, Philippe; Aymes, Jean-Christophe; Labonne, Jacques; Vignon, Matthias] Univ Pau &amp; Pays Adour, UMR ECOBIOP, Aquapole INRA, INRA, F-64310 Quartier Ibarron, St Pee Sur Nive, France</t>
  </si>
  <si>
    <t>Universite de Pau et des Pays de l'Adour; INRAE</t>
  </si>
  <si>
    <t>Vignon, M (corresponding author), Univ Pau &amp; Pays Adour, UMR ECOBIOP, Aquapole INRA, INRA, F-64310 Quartier Ibarron, St Pee Sur Nive, France.</t>
  </si>
  <si>
    <t>matthias.vignon@univ-pau.fr</t>
  </si>
  <si>
    <t>Vignon, Matthias/N-1122-2019; Vignon, Matthias/A-8520-2010</t>
  </si>
  <si>
    <t>Vignon, Matthias/0000-0001-9222-8966; Aymes, Jean-Christophe/0000-0002-1181-3010; Labonne, Jacques/0000-0001-5953-3029</t>
  </si>
  <si>
    <t>TAAF administration (Terres Australes et Antarctiques Francaises-Mission de Recherche); French Polar Institute (IPEV) [SALMEVOL-1041]; Institut National de la Recherche Agronomique (INRA) [SALMEVOL-1041]; Zone Atelier Antarctique</t>
  </si>
  <si>
    <t>TAAF administration (Terres Australes et Antarctiques Francaises-Mission de Recherche); French Polar Institute (IPEV); Institut National de la Recherche Agronomique (INRA); Zone Atelier Antarctique</t>
  </si>
  <si>
    <t>We gratefully acknowledge the support (funding, logistics, travel) provided by the TAAF administration (Terres Australes et Antarctiques Francaises-Mission de Recherche) over all these years and their staff in Paris, La Reunion and Brest, France. This study is part of SALMEVOL-1041 program funded by the French Polar Institute (IPEV) and Institut National de la Recherche Agronomique (INRA). This study is supported by the Zone Atelier Antarctique.</t>
  </si>
  <si>
    <t>10.1007/s00300-018-2253-1</t>
  </si>
  <si>
    <t>WOS:000431786900008</t>
  </si>
  <si>
    <t>Greenslade, P</t>
  </si>
  <si>
    <t>Greenslade, Penelope</t>
  </si>
  <si>
    <t>An antarctic biogeographical anomaly resolved: the true identity of a widespread species of Collembola</t>
  </si>
  <si>
    <t>Friesea grisea; Biodiversity; Short-range endemism; Subantarctic; Friesea fantaba n. sp</t>
  </si>
  <si>
    <t>NEANURIDAE; ISLANDS; HABITAT</t>
  </si>
  <si>
    <t>Springtails and mites are the most abundant and species rich micro arthropods in the Antarctic and species tend to be short-range endemics. It was thought that the Springtail (Collembola), Friesea grisea (Schaffer) was an exception. It was described briefly nearly 150 years ago from South Georgia and has not been redescribed from the type locality since. However, published localities include the South Shetland Islands, the Antarctic Peninsula, Enderby Land, Marguerite Bay and South and North Victoria Land suggesting that it is unusually widespread. Recent sequence data have indicated that some Antarctic populations could be putative species but individuals were allegedly morphologically identical. No sequence data were available for South Georgian specimens. These results suggested that a new examination of the South Georgian species' morphology was needed in order to resolve the anomalous biogeographic patterns. I here redescribe F. grisea from South Georgia and show that it has subtle morphological characters that distinguish it from Antarctic individuals allowing it to be unambiguously distinguished from all known Antarctic populations. Consequently, Friesea antarctica is taken out of synonymy with F. grisea. These results emphasise the endemism of Antarctic faunas and allows more targeted conservation planning, especially for short-range endemic species located in likely refugia during glacial periods. Descriptions of putative species from the Continental populations are currently in progress. A new Friesea species from South Georgia, F. fantaba, is also described here. The genus Friesea is now the most species-rich genus of terrestrial arthropods in both the Antarctic and subantarctic and includes twelve species.</t>
  </si>
  <si>
    <t>[Greenslade, Penelope] Federat Univ Australia, Sch Appl &amp; Biomed Sci, Fac Sci &amp; Technol, Environm Management, Ballarat, Vic 3353, Australia; [Greenslade, Penelope] Australian Natl Univ, Dept Biol, Canberra, ACT 0200, Australia</t>
  </si>
  <si>
    <t>Federation University Australia; Australian National University</t>
  </si>
  <si>
    <t>Greenslade, P (corresponding author), Federat Univ Australia, Sch Appl &amp; Biomed Sci, Fac Sci &amp; Technol, Environm Management, Ballarat, Vic 3353, Australia.;Greenslade, P (corresponding author), Australian Natl Univ, Dept Biol, Canberra, ACT 0200, Australia.</t>
  </si>
  <si>
    <t>p.greenslade@federation.edu.au</t>
  </si>
  <si>
    <t>10.1007/s00300-018-2261-1</t>
  </si>
  <si>
    <t>WOS:000431786900012</t>
  </si>
  <si>
    <t>Tarver, MC</t>
  </si>
  <si>
    <t>Tarver, Michael C.</t>
  </si>
  <si>
    <t>Recent Royal Navy award: The Edward Leicester Atkinson prize</t>
  </si>
  <si>
    <t>POLAR RECORD</t>
  </si>
  <si>
    <t>Royal; Navy; Award</t>
  </si>
  <si>
    <t>More than 100 years have now passed since Scott's Terra Nova expedition to the Antarctic, which was quickly followed by the First World War. Out of the events of those times emerges the name of Edward Leicester Atkinson, the Royal Navy Surgeon and Antarctic explorer who was a member of the scientific staff of Scott's expedition, and who went on to serve in the First World War. In his honour, the Edward Leicester Atkinson Prize will be awarded annually to a Royal Navy Medical Officer who displays the values of leadership and moral courage during the New Entry Medical Officer course, either at Britannia Royal Naval College or the Institute of Naval Medicine.</t>
  </si>
  <si>
    <t>[Tarver, Michael C.] Royal Geog Soc, London, England</t>
  </si>
  <si>
    <t>Tarver, MC (corresponding author), Royal Geog Soc, London, England.</t>
  </si>
  <si>
    <t>mikectarver@gmail.com</t>
  </si>
  <si>
    <t>0032-2474</t>
  </si>
  <si>
    <t>1475-3057</t>
  </si>
  <si>
    <t>POLAR REC</t>
  </si>
  <si>
    <t>POLAR REC.</t>
  </si>
  <si>
    <t>10.1017/S0032247418000414</t>
  </si>
  <si>
    <t>Ecology; Environmental Sciences</t>
  </si>
  <si>
    <t>HC9QV</t>
  </si>
  <si>
    <t>WOS:000452142500005</t>
  </si>
  <si>
    <t>Pallin, LJ; Baker, CS; Steel, D; Kellar, NM; Robbins, J; Johnston, DW; Nowacek, DP; Read, AJ; Friedlaender, AS</t>
  </si>
  <si>
    <t>Pallin, Logan J.; Baker, C. Scott; Steel, Debbie; Kellar, Nicholas M.; Robbins, Jooke; Johnston, David W.; Nowacek, Doug P.; Read, Andrew J.; Friedlaender, Ari S.</t>
  </si>
  <si>
    <t>High pregnancy rates in humpback whales (Megaptera novaeangliae) around the Western Antarctic Peninsula, evidence of a rapidly growing population</t>
  </si>
  <si>
    <t>ROYAL SOCIETY OPEN SCIENCE</t>
  </si>
  <si>
    <t>humpback whale; progesterone; pregnancy; biopsy; Antarctica; whaling</t>
  </si>
  <si>
    <t>BOTTLE-NOSED DOLPHINS; MICROSATELLITE LOCI; CLIMATE-CHANGE; KILLER WHALES; PROGESTERONE; FEMALE; SEX; REPRODUCTION; CONSERVATION; HORMONES</t>
  </si>
  <si>
    <t>Antarctic humpback whales are recovering from near extirpation from commercial whaling. To understand the dynamics of this recovery and establish a baseline to monitor impacts of a rapidly changing environment, we investigated sex ratios and pregnancy rates of females within the Western Antarctic Peninsula (WAP) feeding population. DNA profiling of 577 tissue samples (2010-2016) identified 239 males and 268 females. Blubber progesterone levels indicated 63.5% of the females biopsied were pregnant. This proportion varied significantly across years, from 36% in 2010 to 86% in 2014. A comparison of samples collected in summer versus fall showed significant increases in the proportion of females present (50% to 59%) and pregnant (59% to 72%), consistent with demographic variation in migratory timing. We also found evidence of annual reproduction among females; 54.5% of females accompanied by a calf were pregnant. These high pregnancy rates are consistent with a population recovering from past exploitation, but appear inconsistent with recent estimates of WAP humpback population growth. Thus, our results will help to better understand population growth potential and set a current baseline from which to determine the impact of climate change and variability on fecundity and reproductive rates.</t>
  </si>
  <si>
    <t>[Pallin, Logan J.; Baker, C. Scott; Steel, Debbie; Friedlaender, Ari S.] Oregon State Univ, Marine Mammal Inst, Dept Fisheries &amp; Wildlife, Hatfield Marine Sci Ctr, 2030 SE Marine Sci Dr, Newport, OR 97365 USA; [Pallin, Logan J.] Univ Calif Santa Cruz, Dept Ecol &amp; Evolutionary Biol, Coastal Biol Bldg,130 McAllister Way, Santa Cruz, CA 95060 USA; [Kellar, Nicholas M.] NOAA, Marine Mammal &amp; Turtle Div, Southwest Fisheries Sci Ctr, Natl Marine Fisheries Serv, 8901 La Jolla Shores Dr, La Jolla, CA 92037 USA; [Robbins, Jooke] Ctr Coastal Studies, 5 Holway Ave, Provincetown, MA 02657 USA; [Johnston, David W.; Nowacek, Doug P.; Read, Andrew J.] Duke Univ, Nicholas Sch Environm, Div Marine Sci &amp; Conservat, Marine Lab, 135 Duke Marine Lab Rd, Beaufort, NC 28516 USA; [Nowacek, Doug P.] Duke Univ, Pratt Sch Engn, Durham, NC 27708 USA; [Friedlaender, Ari S.] Univ Calif Santa Cruz, Inst Marine Sci, 115 McAllister Way, Santa Cruz, CA 95060 USA; [Friedlaender, Ari S.] Univ Calif Santa Cruz, Dept Ecol &amp; Evolutionary Biol, 115 McAllister Way, Santa Cruz, CA 95060 USA</t>
  </si>
  <si>
    <t>Oregon State University; University of California System; University of California Santa Cruz; National Oceanic Atmospheric Admin (NOAA) - USA; Duke University; Duke University; University of California System; University of California Santa Cruz; University of California System; University of California Santa Cruz</t>
  </si>
  <si>
    <t>Pallin, LJ (corresponding author), Oregon State Univ, Marine Mammal Inst, Dept Fisheries &amp; Wildlife, Hatfield Marine Sci Ctr, 2030 SE Marine Sci Dr, Newport, OR 97365 USA.;Pallin, LJ (corresponding author), Univ Calif Santa Cruz, Dept Ecol &amp; Evolutionary Biol, Coastal Biol Bldg,130 McAllister Way, Santa Cruz, CA 95060 USA.</t>
  </si>
  <si>
    <t>lpallin@ucsc.edu</t>
  </si>
  <si>
    <t>Johnston, David/AAJ-5013-2020; Kellar, Nicholas/AAA-4606-2021; Read, Andrew/AAE-8386-2019</t>
  </si>
  <si>
    <t>Johnston, David/0000-0003-2424-036X; Pallin, Logan/0000-0001-8024-9663; Robbins, Jooke/0000-0002-6382-722X</t>
  </si>
  <si>
    <t>National Science Foundation's Office of Polar Programs [ANT-0823101]; Oregon State University Marine Mammal Institute; Oregon State University's Marine Mammal Institute; National Science Foundation Graduate Research Fellowship [DGE1339067]</t>
  </si>
  <si>
    <t>National Science Foundation's Office of Polar Programs(National Science Foundation (NSF)); Oregon State University Marine Mammal Institute; Oregon State University's Marine Mammal Institute; National Science Foundation Graduate Research Fellowship(National Science Foundation (NSF))</t>
  </si>
  <si>
    <t>Funding for this research came from the National Science Foundation's Office of Polar Programs as part of an award to A.S.F. (ANT-0823101) and the Oregon State University Marine Mammal Institute. L.J.P. was supported by Oregon State University's Marine Mammal Institute and by a National Science Foundation Graduate Research Fellowship (grant no. DGE1339067).</t>
  </si>
  <si>
    <t>ROYAL SOC</t>
  </si>
  <si>
    <t>6-9 CARLTON HOUSE TERRACE, LONDON SW1Y 5AG, ENGLAND</t>
  </si>
  <si>
    <t>2054-5703</t>
  </si>
  <si>
    <t>ROY SOC OPEN SCI</t>
  </si>
  <si>
    <t>R. Soc. Open Sci.</t>
  </si>
  <si>
    <t>10.1098/rsos.180017</t>
  </si>
  <si>
    <t>GH5TA</t>
  </si>
  <si>
    <t>WOS:000433498000101</t>
  </si>
  <si>
    <t>Ficetola, GF; Poulenard, J; Sabatier, P; Messager, E; Gielly, L; Leloup, A; Etienne, D; Bakke, J; Malet, E; Fanget, B; Storen, E; Reyss, JL; Taberlet, P; Arnaud, F</t>
  </si>
  <si>
    <t>Ficetola, Gentile Francesco; Poulenard, Jerome; Sabatier, Pierre; Messager, Erwan; Gielly, Ludovic; Leloup, Anouk; Etienne, David; Bakke, Jostein; Malet, Emmanuel; Fanget, Bernard; Storen, Eivind; Reyss, Jean-Louis; Taberlet, Pierre; Arnaud, Fabien</t>
  </si>
  <si>
    <t>DNA from lake sediments reveals long-term ecosystem changes after a biological invasion</t>
  </si>
  <si>
    <t>SCIENCE ADVANCES</t>
  </si>
  <si>
    <t>PLANT-COMMUNITIES; EXTRACELLULAR DNA; AZORELLA-SELAGO; INTRODUCTIONS; ERADICATION; KERGUELEN; IMPACTS; ISLANDS; EROSION; PB-210</t>
  </si>
  <si>
    <t>What are the long-term consequences of invasive species? After invasion, how long do ecosystems require to reach a new equilibrium? Answering these questions requires long-term, high-resolution data that are vanishingly rare. We combined the analysis of environmental DNA extracted from a lake sediment core, coprophilous fungi, and sedimentological analyses to reconstruct 600 years of ecosystem dynamics on a sub-Antarctic island and to identify the impact of invasive rabbits. Plant communities remained stable from AD 1400 until the 1940s, when the DNA of invasive rabbits was detected in sediments. Rabbit detection corresponded to abrupt changes of plant communities, with a continuous decline of a dominant plant species. Furthermore, erosion rate abruptly increased with rabbit abundance. Rabbit impacts were very fast and were stronger than the effects of climate change during the 20th century. Lake sediments can allow an integrated temporal analysis of ecosystems, revealing the impact of invasive species over time and improving our understanding of underlying mechanisms.</t>
  </si>
  <si>
    <t>[Ficetola, Gentile Francesco; Gielly, Ludovic; Taberlet, Pierre] Univ Grenoble Alpes, CNRS, Lab Ecol Alpine, F-38000 Grenoble, France; [Ficetola, Gentile Francesco] Univ Milan, Dept Environm Sci &amp; Policy, Via Celoria 26, I-20133 Milan, Italy; [Poulenard, Jerome; Sabatier, Pierre; Messager, Erwan; Leloup, Anouk; Etienne, David; Malet, Emmanuel; Fanget, Bernard; Reyss, Jean-Louis; Arnaud, Fabien] Univ Savoie Mt Blanc, Univ Grenoble Alpes, Ctr Natl Rech Sci Environm DYnam &amp; TErr Montagne, CNRS,EDYTEM, F-73000 Chambery, France; [Bakke, Jostein; Storen, Eivind] Univ Bergen, Dept Earth Sci, Allegaten 41, N-5007 Bergen, Norway; [Bakke, Jostein; Storen, Eivind] Univ Bergen, Bjerknes Ctr Climate Res, Allegaten 41, N-5007 Bergen, Norway</t>
  </si>
  <si>
    <t>Communaute Universite Grenoble Alpes; Universite Grenoble Alpes (UGA); Centre National de la Recherche Scientifique (CNRS); Universite Savoie Mont Blanc; University of Milan; Centre National de la Recherche Scientifique (CNRS); Universite Savoie Mont Blanc; Communaute Universite Grenoble Alpes; Universite Grenoble Alpes (UGA); University of Bergen; University of Bergen; Bjerknes Centre for Climate Research</t>
  </si>
  <si>
    <t>Ficetola, GF (corresponding author), Univ Grenoble Alpes, CNRS, Lab Ecol Alpine, F-38000 Grenoble, France.;Ficetola, GF (corresponding author), Univ Milan, Dept Environm Sci &amp; Policy, Via Celoria 26, I-20133 Milan, Italy.</t>
  </si>
  <si>
    <t>francesco.ficetola@gmail.com</t>
  </si>
  <si>
    <t>Sabatier, Pierre/ISU-8926-2023; Etienne, David/A-7675-2013; Bakke, Jostein/AAI-1145-2020; AL, Ramanathan -/E-7217-2012; Taberlet, Pierre/D-1178-2010; Arnaud, Fabien/F-7003-2012; poulenard, jerome/I-2491-2012; Gielly, Ludovic/ADQ-6036-2022; Sabatier, Pierre/F-4250-2010; Ficetola, Gentile Francesco/A-2813-2008; Messager, Erwan/N-6623-2014</t>
  </si>
  <si>
    <t>AL, Ramanathan -/0000-0002-3491-2273; Arnaud, Fabien/0000-0002-8706-9902; poulenard, jerome/0000-0003-0810-0308; Sabatier, Pierre/0000-0002-9620-1514; Ficetola, Gentile Francesco/0000-0003-3414-5155; Messager, Erwan/0000-0001-5192-9088; Etienne, David/0000-0001-6388-7241</t>
  </si>
  <si>
    <t>ESKER project; IPEV, the French Polar Institute [1094-PALAS]</t>
  </si>
  <si>
    <t>ESKER project; IPEV, the French Polar Institute</t>
  </si>
  <si>
    <t>This study was partially funded by the ESKER project thanks to the Dispositif de Partenariat en Ecologie et Environnement Grenoble-Chambery. UDel_AirT_Precip data were provided by the NOAA/OAR/ESRL PSD (Boulder, CO) from their web site at www.esrl.noaa.gov/psd/. We are grateful to IPEV, the French Polar Institute, for providing necessary logistical and financial support for field expedition (programme 1094-PALAS).</t>
  </si>
  <si>
    <t>AMER ASSOC ADVANCEMENT SCIENCE</t>
  </si>
  <si>
    <t>1200 NEW YORK AVE, NW, WASHINGTON, DC 20005 USA</t>
  </si>
  <si>
    <t>2375-2548</t>
  </si>
  <si>
    <t>SCI ADV</t>
  </si>
  <si>
    <t>Sci. Adv.</t>
  </si>
  <si>
    <t>eaar4292</t>
  </si>
  <si>
    <t>10.1126/sciadv.aar4292</t>
  </si>
  <si>
    <t>GG1IM</t>
  </si>
  <si>
    <t>WOS:000432440600023</t>
  </si>
  <si>
    <t>Kim, D; Park, HJ; Sul, WJ; Park, H</t>
  </si>
  <si>
    <t>Kim, Dockyu; Park, Ha Ju; Sul, Woo Jun; Park, Hyun</t>
  </si>
  <si>
    <t>Transcriptome analysis of Pseudomonas sp from subarctic tundra soil: pathway description and gene discovery for humic acids degradation</t>
  </si>
  <si>
    <t>FOLIA MICROBIOLOGICA</t>
  </si>
  <si>
    <t>Biodegradation; Degradation pathway; Humic substances; Low temperature; Soil bacteria</t>
  </si>
  <si>
    <t>LIGNIN; SUBSTANCES; BACTERIA; IDENTIFICATION; STRAIN; FUNGI</t>
  </si>
  <si>
    <t>Although humic acids (HA) are involved in many biological processes in soils and thus their ecological importance has received much attention, the degradative pathways and corresponding catalytic genes underlying the HA degradation by bacteria remain unclear. To unveil those uncertainties, we analyzed transcriptomes extracted from Pseudomonas sp. PAMC 26793 cells time-dependently induced in the presence of HA in a lab flask. Out of 6288 genes, 299 (microarray) and 585 (RNA-seq) were up-regulated by &gt; 2.0-fold in HA-induced cells, compared with controls. A significant portion (9.7% in microarray and 24.1% in RNA-seq) of these genes are predicted to function in the transport and metabolism of small molecule compounds, which could result from microbial HA degradation. To further identify lignin (a surrogate for HA)-degradative genes, 6288 protein sequences were analyzed against carbohydrate-active enzyme database and a self-curated list of putative lignin degradative genes. Out of 19 genes predicted to function in lignin degradation, several genes encoding laccase, dye-decolorizing peroxidase, vanillate O-demethylase oxygenase and reductase, and biphenyl 2,3-dioxygenase were up-regulated &gt; 2.0-fold in RNA-seq. This induction was further confirmed by qRT-PCR, validating the likely involvement of these genes in the degradation of HA.</t>
  </si>
  <si>
    <t>[Kim, Dockyu; Park, Ha Ju; Park, Hyun] Korea Polar Res Inst, Div Life Sci, Incheon 21990, South Korea; [Sul, Woo Jun] Chung Ang Univ, Dept Syst Biotechnol, Anseong 456756, Gyeonggi Do, South Korea</t>
  </si>
  <si>
    <t>Korea Polar Research Institute (KOPRI); Chung Ang University</t>
  </si>
  <si>
    <t>Kim, D (corresponding author), Korea Polar Res Inst, Div Life Sci, Incheon 21990, South Korea.</t>
  </si>
  <si>
    <t>envimic@kopri.re.kr</t>
  </si>
  <si>
    <t>Sul, Woo Jun/A-9291-2012</t>
  </si>
  <si>
    <t>Park, Hyun/0000-0002-8055-2010</t>
  </si>
  <si>
    <t>Functional genomic studies on microbial degradation/conversion pathways of polar soil humic substances [PE13300]; Antarctic organisms: cold-adaptation mechanisms and its application [PE16070]; Modeling responses of terrestrial organisms to environmental changes on King George Island - Korea Polar Research Institute [PE17090]</t>
  </si>
  <si>
    <t>Functional genomic studies on microbial degradation/conversion pathways of polar soil humic substances; Antarctic organisms: cold-adaptation mechanisms and its application; Modeling responses of terrestrial organisms to environmental changes on King George Island - Korea Polar Research Institute(Korea Polar Research Institute of Marine Research Placement (KOPRI))</t>
  </si>
  <si>
    <t>This work was supported by the grants, Functional genomic studies on microbial degradation/conversion pathways of polar soil humic substances (PE13300), The Antarctic organisms: cold-adaptation mechanisms and its application (PE16070), and Modeling responses of terrestrial organisms to environmental changes on King George Island (PE17090), funded by the Korea Polar Research Institute.</t>
  </si>
  <si>
    <t>0015-5632</t>
  </si>
  <si>
    <t>1874-9356</t>
  </si>
  <si>
    <t>FOLIA MICROBIOL</t>
  </si>
  <si>
    <t>Folia Microbiol.</t>
  </si>
  <si>
    <t>10.1007/s12223-017-0573-0</t>
  </si>
  <si>
    <t>GD2GC</t>
  </si>
  <si>
    <t>WOS:000430317100007</t>
  </si>
  <si>
    <t>Thomas, C; Dehaeck, S; De Wit, A</t>
  </si>
  <si>
    <t>Thomas, C.; Dehaeck, S.; De Wit, A.</t>
  </si>
  <si>
    <t>Convective dissolution of CO2 in water and salt solutions</t>
  </si>
  <si>
    <t>INTERNATIONAL JOURNAL OF GREENHOUSE GAS CONTROL</t>
  </si>
  <si>
    <t>BUOYANCY-DRIVEN INSTABILITIES; LONG-TERM STORAGE; CARBON-DIOXIDE; MASS-TRANSFER; POROUS-MEDIA; NATURAL-CONVECTION; ACTIVE-ROLE; FLOW; SIMULATION; STABILITY</t>
  </si>
  <si>
    <t>Dissolution of CO2 into saline aquifers can lead to the development of buoyancy-driven convection in the brine which enhances the efficiency of CO2 transfer. We analyze here experimentally the onset, development and dynamic properties of such convective fingering of CO2 into water, Antarctic water and in NaCl salt solutions of various concentrations to study the influence of varying the salt concentration on the buoyancy-driven convective dynamics. The convective dissolution pattern is visualized with the help of a schlieren imaging system sensitive to density gradients in the solution. We quantify the growth of convective fingers by performing, among others, a Fourier analysis of the pattern formation at early times and qualitatively study the nonlinear spatio-temporal dynamics at later times. In agreement with theoretical predictions, we find that increasing the salt concentration hinders the development of the instability as it delays the onset of convection, increases the wavelength of the convective pattern, decreases the growth rate and velocity of fingers as well as their interactions. Our experimental results provide quantitative data that should help the benchmarking of theoretical studies.</t>
  </si>
  <si>
    <t>[Thomas, C.; Dehaeck, S.; De Wit, A.] Univ Libre Bruxelles, Nonlinear Phys Chem Unit, CP231, B-1050 Brussels, Belgium</t>
  </si>
  <si>
    <t>Universite Libre de Bruxelles</t>
  </si>
  <si>
    <t>De Wit, A (corresponding author), Univ Libre Bruxelles, Nonlinear Phys Chem Unit, CP231, B-1050 Brussels, Belgium.</t>
  </si>
  <si>
    <t>adewit@ulb.ac.be</t>
  </si>
  <si>
    <t>Dehaeck, Sam/0000-0002-3964-102X</t>
  </si>
  <si>
    <t>ARC CONVINCE; PDR-FNRS FORECAST projects</t>
  </si>
  <si>
    <t>ARC CONVINCE(Australian Research Council); PDR-FNRS FORECAST projects</t>
  </si>
  <si>
    <t>We thank F. Brau, P. Bunton, V. Hallet, V. Loodts, L. Rongy and G. Schuszter for fruitful discussions, and J.-L. Tison and B. Delille for the supply and salinity measurement of Antarctic water samples. Funding by the ARC CONVINCE, and PDR-FNRS FORECAST projects is gratefully acknowledged.</t>
  </si>
  <si>
    <t>1750-5836</t>
  </si>
  <si>
    <t>1878-0148</t>
  </si>
  <si>
    <t>INT J GREENH GAS CON</t>
  </si>
  <si>
    <t>Int. J. Greenh. Gas Control</t>
  </si>
  <si>
    <t>10.1016/j.ijggc.2018.01.019</t>
  </si>
  <si>
    <t>Green &amp; Sustainable Science &amp; Technology; Energy &amp; Fuels; Engineering, Environmental; Engineering, Chemical</t>
  </si>
  <si>
    <t>Science &amp; Technology - Other Topics; Energy &amp; Fuels; Engineering</t>
  </si>
  <si>
    <t>GD0BH</t>
  </si>
  <si>
    <t>WOS:000430163000010</t>
  </si>
  <si>
    <t>Byrne, NJ; Shepherd, TG</t>
  </si>
  <si>
    <t>Byrne, Nicholas J.; Shepherd, Theodore G.</t>
  </si>
  <si>
    <t>Seasonal Persistence of Circulation Anomalies in the Southern Hemisphere Stratosphere and Its Implications for the Troposphere</t>
  </si>
  <si>
    <t>INTERANNUAL VARIABILITY; POLAR VORTEX; ANTARCTIC OZONE; ANNULAR MODES; SEA-ICE; WINTER; MODULATION; BREAKDOWN; WARMINGS; WEATHER</t>
  </si>
  <si>
    <t>Previous studies have highlighted an important organizing influence of the seasonal Southern Hemisphere stratospheric vortex breakdown on the large-scale stratospheric and tropospheric circulation. The present study extends this work by considering the statistical predictability of the stratospheric vortex breakdown event, using reanalysis data. Perturbations to the winter stratospheric vortex are shown to persist into austral spring and to lead to a shift in the statistics of the breakdown event during austral summer. This is interpreted as evidence for the potential for seasonal predictability of the vortex breakdown event in the stratosphere. Coupled variability between the stratosphere and troposphere is then considered. The semiannual oscillation of the tropospheric midlatitude jet is discussed, and evidence for a connection between this behavior and variations in the stratosphere is presented. Based on this connection, an argument is made for the concomitant potential for seasonal predictability in the troposphere, assuming knowledge of the stratospheric initial state. Combining these various results, a nonstationary, regime-based perspective of large-scale extratropical Southern Hemisphere circulation variability between late winter and summer is proposed. The implications of this perspective for some previous studies involving annular modes of the circulation are discussed. In particular, the long annular mode time scales during austral spring and summer should not be interpreted as an increased persistence of perturbations to some slowly varying seasonal cycle, but instead as a reflection of a phase shift of the seasonal cycle induced by stratospheric variability.</t>
  </si>
  <si>
    <t>[Byrne, Nicholas J.; Shepherd, Theodore G.] Univ Reading, Dept Meteorol, Reading, Berks, England</t>
  </si>
  <si>
    <t>University of Reading</t>
  </si>
  <si>
    <t>Shepherd, TG (corresponding author), Univ Reading, Dept Meteorol, Reading, Berks, England.</t>
  </si>
  <si>
    <t>theodore.shepherd@reading.ac.uk</t>
  </si>
  <si>
    <t>Byrne, Nicholas/0000-0002-5088-5949</t>
  </si>
  <si>
    <t>European Union [654492]; European Research Council Advanced Grant Understanding the Atmospheric Circulation Response to Climate Change (ACRCC) [339390]; Marie Curie Actions (MSCA) [654492] Funding Source: Marie Curie Actions (MSCA)</t>
  </si>
  <si>
    <t>European Union(European Union (EU)); European Research Council Advanced Grant Understanding the Atmospheric Circulation Response to Climate Change (ACRCC)(European Research Council (ERC)); Marie Curie Actions (MSCA)(Marie Curie Actions)</t>
  </si>
  <si>
    <t>This article is based on chapter 4 of the Ph.D. thesis of the first author (Byrne 2017). We are grateful to Tim Woollings for many helpful discussions and suggestions in the preparation of this material. We thank Alan Plumb, Steven Hardiman, Andrew Charlton-Perez, and Tom Frame for helpful discussions and feedback. We also thank Andrew Charlton-Perez and Dave Thompson for suggesting the calculation of Fig. 8. Funding support is acknowledged from the European Union's F7 research and innovation program under the Marie Skodowska-Curie Grant Agreement 654492 and from European Research Council Advanced Grant Understanding the Atmospheric Circulation Response to Climate Change (ACRCC), Project 339390. We thank the European Centre for Medium-Range Weather Forecasts for the ERA-Interim data.</t>
  </si>
  <si>
    <t>10.1175/JCLI-D-17-0557.1</t>
  </si>
  <si>
    <t>WOS:000429529900007</t>
  </si>
  <si>
    <t>Lin, X; Zhai, XM; Wang, ZM; Munday, DR</t>
  </si>
  <si>
    <t>Lin, Xia; Zhai, Xiaoming; Wang, Zhaomin; Munday, David R.</t>
  </si>
  <si>
    <t>Mean, Variability, and Trend of Southern Ocean Wind Stress: Role of Wind Fluctuations</t>
  </si>
  <si>
    <t>MERIDIONAL OVERTURNING CIRCULATION; ANTARCTIC CIRCUMPOLAR CURRENT; HEMISPHERE SURFACE CLIMATE; ERA-INTERIM REANALYSIS; NCEP-NCAR REANALYSIS; GENERAL-CIRCULATION; ANNULAR MODE; TRANSIENT EDDIES; CYCLONE ACTIVITY; STORM TRACKS</t>
  </si>
  <si>
    <t>The Southern Ocean (SO) surface westerly wind stress plays a fundamental role in driving the Antarctic Circumpolar Current and the global meridional overturning circulation. Here, the authors investigate the contributions of atmospheric wind fluctuations to the mean, variability, and trend of SO wind stress over the last four decades using NCEP reanalysis and ERA-Interim products. Including wind variability at synoptic frequencies (2-8 days) and higher in the stress calculation is found to increase the strength of the mean SO wind stress by almost 40% in both reanalysis products. The southern annular mode index is found to be a good indicator for the strength of the mean wind and mean wind stress, but not as good an indicator for wind fluctuations, at least for the chosen study period. Large discrepancies between reanalysis products emerge regarding the contributions of wind fluctuations to the strengthening trend of SO wind stress. Between one-third and one-half of the stress trend in NCEP can be explained by the increase in the intensity of wind fluctuations, while the stress trend in ERA-Interim is due entirely to the increasing strength of the mean westerly wind. This trend discrepancy may have important climatic implications since the sensitivity of SO circulation to wind stress changes depends strongly on how these stress changes are brought about. Given the important role of wind fluctuations in shaping the SO wind stress, studies of the SO response to wind stress changes need to account for changes of wind fluctuations in the past and future.</t>
  </si>
  <si>
    <t>[Lin, Xia] Nanjing Univ Informat Sci &amp; Technol, Polar Climate Syst &amp; Global Change Lab, Nanjing, Jiangsu, Peoples R China; [Lin, Xia; Zhai, Xiaoming] Univ East Anglia, Sch Environm Sci, Ctr Ocean &amp; Atmospher Sci, Norwich, Norfolk, England; [Wang, Zhaomin] Hohai Univ, Coll Oceanog, Nanjing, Jiangsu, Peoples R China; [Munday, David R.] British Antarctic Survey, Cambridge, England</t>
  </si>
  <si>
    <t>Nanjing University of Information Science &amp; Technology; University of East Anglia; Hohai University; UK Research &amp; Innovation (UKRI); Natural Environment Research Council (NERC); NERC British Antarctic Survey</t>
  </si>
  <si>
    <t>Zhai, XM (corresponding author), Univ East Anglia, Sch Environm Sci, Ctr Ocean &amp; Atmospher Sci, Norwich, Norfolk, England.</t>
  </si>
  <si>
    <t>xiaoming.zhai@uea.ac.uk</t>
  </si>
  <si>
    <t>Munday, David/Y-7052-2019; Lin, Xia/HTM-0814-2023; Munday, David R/R-1986-2016</t>
  </si>
  <si>
    <t>Lin, Xia/0000-0002-8058-7766; Munday, David R/0000-0003-1920-708X</t>
  </si>
  <si>
    <t>National Key R&amp;D Program of China [2016YFA0601804]; Chinese Scholarship Council; National Natural Science Foundation of China [41406214]; School of Environmental Sciences, University of East Anglia; Fundamental Research Funds for the Central Universities [2017B04814, 2017B20714]; Natural Environment Research Council (ORCHESTRA) [NE/N018095/1]; NERC [bas0100033, NE/N018095/1] Funding Source: UKRI</t>
  </si>
  <si>
    <t>National Key R&amp;D Program of China; Chinese Scholarship Council(China Scholarship Council); National Natural Science Foundation of China(National Natural Science Foundation of China (NSFC)); School of Environmental Sciences, University of East Anglia; Fundamental Research Funds for the Central Universities(Fundamental Research Funds for the Central Universities); Natural Environment Research Council (ORCHESTRA); NERC(UK Research &amp; Innovation (UKRI)Natural Environment Research Council (NERC))</t>
  </si>
  <si>
    <t>This study is supported by the National Key R&amp;D Program of China (2016YFA0601804). XL is supported by a scholarship from the Chinese Scholarship Council and by the National Natural Science Foundation of China (41406214). XZ acknowledges additional support from the School of Environmental Sciences, University of East Anglia. ZW is supported by the Fundamental Research Funds for the Central Universities (2017B04814 and 2017B20714). DRM is supported by the Natural Environment Research Council (ORCHESTRA; Grant NE/N018095/1). We wish to thank Clothilde Langlais and two anonymous reviewers for their constructive comments that led to an improved manuscript.</t>
  </si>
  <si>
    <t>10.1175/JCLI-D-17-0481.1</t>
  </si>
  <si>
    <t>WOS:000429529900012</t>
  </si>
  <si>
    <t>Ponti, S; Cannone, N; Guglielmin, M</t>
  </si>
  <si>
    <t>Ponti, Stefano; Cannone, Nicoletta; Guglielmin, Mauro</t>
  </si>
  <si>
    <t>Needle ice formation, induced frost heave, and frost creep: A case study through photogrammetry at Stelvio Pass (Italian Central Alps)</t>
  </si>
  <si>
    <t>CATENA</t>
  </si>
  <si>
    <t>Needle ice; Frost heave; Frost creep; Alps; Periglacial; Photogrammetric techniques</t>
  </si>
  <si>
    <t>ANTARCTIC MARION ISLAND; ACTIVE-LAYER; CONTINENTAL ANTARCTICA; HIGH DRAKENSBERG; CLIMATE-CHANGE; VEGETATION; SOIL; LANDFORMS; DYNAMICS; GROWTH</t>
  </si>
  <si>
    <t>Needle ice growth is one of the more widespread and easily visible, but less studied, climate related processes shaping soil evolution, surface dynamics and ecosystem changes in the alpine environments. Here, we show the results of the monitoring of needle ice development at four plots located at 2670 m a.s.l. close to the Stelvio Pass in the Italian Central Alps during 2016. Needle Ice formation and evolution with time was monitored through the photogrammetric technique of the Structure from Motion (SfM). Our monitoring data included also quantitative measurements of some selected physical and climatic parameters like air temperature, ground temperature and ground water content at depths of 2 and 5 cm. Our data demonstrate that needle ice can develop with a relatively low ground water content (13.2%), at a relatively high minimum ground temperature (-0.3 degrees C) and with a low cooling rate (&lt; 1.8 degrees C h(-1)). Moreover, for the first time, we observed that needle ice can form below a thin snow cover (&lt; 25 mm) that can enhance the sensible heat flow from the ground to the atmosphere and, therefore, promote the cooling of the near surface ground. Statistically, the minimum air temperature results in the leading factor for the needle ice growth. The total frost heave seems to be related to the abundance of fine material (although we couldn't demonstrate it statistically). The absence of statistically significant relationships between frost heave and frost creep could be probably due to the importance of the observed needle ice toppling and the possible sliding of the clasts during the melting phases.</t>
  </si>
  <si>
    <t>[Ponti, Stefano; Guglielmin, Mauro] Insubria Univ, Dept Theoret &amp; Appl Sci, Varese, Italy; [Cannone, Nicoletta] Insubria Univ, Dept Sci &amp; High Technol, Como, Italy</t>
  </si>
  <si>
    <t>University of Insubria; University of Insubria</t>
  </si>
  <si>
    <t>Guglielmin, M (corresponding author), Insubria Univ, Dept Theoret &amp; Appl Sci, Varese, Italy.</t>
  </si>
  <si>
    <t>mauro.guglielmin@uninsubria.it</t>
  </si>
  <si>
    <t>Ponti, Stefano/AAB-3484-2021; Cannone, Nicoletta/W-8651-2019</t>
  </si>
  <si>
    <t>Ponti, Stefano/0000-0002-4718-165X; Cannone, Nicoletta/0000-0002-3390-3965</t>
  </si>
  <si>
    <t>Stelvio National Park</t>
  </si>
  <si>
    <t>This research was funded by Stelvio National Park that we want to thank also for the logistical support given during the field work. A special thanks also to Alessandro Berardi for the help during the fieldwork.</t>
  </si>
  <si>
    <t>0341-8162</t>
  </si>
  <si>
    <t>1872-6887</t>
  </si>
  <si>
    <t>Catena</t>
  </si>
  <si>
    <t>10.1016/j.catena.2018.01.009</t>
  </si>
  <si>
    <t>Geosciences, Multidisciplinary; Soil Science; Water Resources</t>
  </si>
  <si>
    <t>Geology; Agriculture; Water Resources</t>
  </si>
  <si>
    <t>GC8GM</t>
  </si>
  <si>
    <t>WOS:000430031800007</t>
  </si>
  <si>
    <t>Zhu, CY; Liu, ZY; Gu, SF</t>
  </si>
  <si>
    <t>Zhu, Chenyu; Liu, Zhengyu; Gu, Sifan</t>
  </si>
  <si>
    <t>Model bias for South Atlantic Antarctic intermediate water in CMIP5</t>
  </si>
  <si>
    <t>Antarctic intermediate water; Model bias; Surface climate; Inter-basin exchange; North Atlantic; Atlantic meridional overturning circulation freshwater transport</t>
  </si>
  <si>
    <t>MERIDIONAL OVERTURNING CIRCULATION; VARIABILITY; TRANSPORT; IMPACT</t>
  </si>
  <si>
    <t>Characterized by a salinity minimum in the mid-depth, the Antarctic Intermediate Water (AAIW) is an important component of global ocean water mass. The simulation of the AAIW in current climate models, however, has remained deficient, especially in the Atlantic sector. Here, we evaluate the simulation of the South Atlantic AAIW in eleven state-of-the-art coupled climate models. It is found that all the models show a common AAIW bias relative to the observation, with a saltier, warmer and lighter core located at a shallower depth. This AAIW bias seems to contribute to a deficient freshwater export by the Atlantic Meridional Overturning Circulation (AMOC), potentially overstabilizing the AMOC. The causes of the bias are investigated in sensitivity experiments using an ocean alone model. It is found that the AAIW bias is caused neither by the surface climate bias nor the North Atlantic bias, although is weakly affected by the inter-basin exchange. This left the conclusion that the AAIW bias is caused predominantly by the deficient model representation of ocean dynamics and mixing processes in the AAIW region.</t>
  </si>
  <si>
    <t>[Zhu, Chenyu; Liu, Zhengyu] Peking Univ, Sch Phys, Lab Climate &amp; Ocean Atmosphere Studies LaCOAS, Beijing 100871, Peoples R China; [Liu, Zhengyu; Gu, Sifan] Univ Wisconsin Madison, Dept Atmospher &amp; Ocean Sci, 1225 W Dayton St, Madison, WI 53706 USA; [Liu, Zhengyu; Gu, Sifan] Univ Wisconsin Madison, Nelson Ctr Climat Res, 1225 W Dayton St, Madison, WI 53706 USA</t>
  </si>
  <si>
    <t>Peking University; University of Wisconsin System; University of Wisconsin Madison; University of Wisconsin System; University of Wisconsin Madison</t>
  </si>
  <si>
    <t>Zhu, CY (corresponding author), Peking Univ, Sch Phys, Lab Climate &amp; Ocean Atmosphere Studies LaCOAS, Beijing 100871, Peoples R China.</t>
  </si>
  <si>
    <t>zhuouc@163.com</t>
  </si>
  <si>
    <t>Zhu, Chenyu/JAC-9261-2023; Zhu, Chenyu/GNM-9706-2022</t>
  </si>
  <si>
    <t>Zhu, Chenyu/0000-0002-9330-4294</t>
  </si>
  <si>
    <t>NOAA Climate Observations and Monitoring (COM) program; National Natural Science Foundation of China [NSFC41630527]; US National Science Foundation [NSF P2C2]</t>
  </si>
  <si>
    <t>NOAA Climate Observations and Monitoring (COM) program; National Natural Science Foundation of China(National Natural Science Foundation of China (NSFC)); US National Science Foundation(National Science Foundation (NSF))</t>
  </si>
  <si>
    <t>We thank Dr. G. Danabasoglu and Dr. Stephen G. Yeager for discussion of CORE-II simulation and Dr. M. Winton for our better understanding of North Atlantic bias. We gratefully acknowledge the constructive comments from two anonymous reviewers. CMAP Precipitation data is provided by the NOAA/OAR/ESRL PSD, Boulder, Colorado, USA, from their Web site at http://www.esrl.noaa.gov/psd/. Evaporation data is provided by the WHOI OAFlux project (http://oaflux.whoi.edu) funded by the NOAA Climate Observations and Monitoring (COM) program. This work is supported by National Natural Science Foundation of China (NSFC41630527) and US National Science Foundation (NSF P2C2). All experiments are performed on the supercomputer at the LaCOAS, Peking University.</t>
  </si>
  <si>
    <t>10.1007/s00382-017-3828-1</t>
  </si>
  <si>
    <t>WOS:000429650700026</t>
  </si>
  <si>
    <t>Cione, AL; Santillana, S; Gouiric-Cavalli, S; Hospitaleche, CA; Gelfo, JN; López, GM; Reguero, M</t>
  </si>
  <si>
    <t>Cione, Alberto L.; Santillana, Sergio; Gouiric-Cavalli, Soledad; Hospitaleche, Carolina Acosta; Gelfo, Javier N.; Lopez, Guillermo M.; Reguero, Marcelo</t>
  </si>
  <si>
    <t>Before and after the K/Pg extinction in West Antarctica: New marine fish records from Marambio (Seymour) Island</t>
  </si>
  <si>
    <t>CRETACEOUS RESEARCH</t>
  </si>
  <si>
    <t>Antarctic Peninsula; James Ross Basin; Chondrichthyes; Teleostei; Maastrichtian; Danian</t>
  </si>
  <si>
    <t>CRETACEOUS-PALEOGENE; BERTODANO FORMATION; CHONDRICHTHYES; STRATIGRAPHY; HOLOCEPHALI; DIVERSITY; EVOLUTION; PENINSULA; SHARK; BIOSTRATIGRAPHY</t>
  </si>
  <si>
    <t>An ichthyofauna recovered from the Lopez de Bertodano Formation at Units 9 (uppermost Maastrichtian) and 10 (lowermost Danian) and the Sobral Formation (Danian), in Marambio (Seymour) Island in the James Ross Basin is described and analyzed herein. A review of previously described taxa based on the new material and several new fish records for the Lopez de Bertodano Formation is provided, including the youngest record of Enchodus and the first Cretaceous evidence of Pachycormiformes. We also identify the first Paleocene fishes for the continent. The new information and the reinterpretation of previous Cretaceous records show that there was no decline in fish diversity until the Cretaceous-Paleogene (K/Pg) boundary in the area and extinction event appears to have been rapid. Finally, we find that the distribution of some chondrichthyans and teleosts in the James Ross Basin appears to be climatically determined. (C) 2018 Elsevier Ltd. All rights reserved.</t>
  </si>
  <si>
    <t>[Cione, Alberto L.; Gouiric-Cavalli, Soledad; Hospitaleche, Carolina Acosta; Gelfo, Javier N.; Reguero, Marcelo] Consejo Nacl Invest Cient &amp; Tecn, Buenos Aires, DF, Argentina; [Cione, Alberto L.; Gouiric-Cavalli, Soledad; Hospitaleche, Carolina Acosta; Gelfo, Javier N.; Lopez, Guillermo M.; Reguero, Marcelo] Museo La Plata, Div Paleontol Vertebrados, Paseo Bosque S-N,B1900FVVA, La Plata, Buenos Aires, Argentina; [Cione, Alberto L.; Gouiric-Cavalli, Soledad; Hospitaleche, Carolina Acosta; Gelfo, Javier N.; Lopez, Guillermo M.] Univ Nacl La Plata, Fac Ciencias Nat &amp; Museo, La Plata, Buenos Aires, Argentina; [Santillana, Sergio; Reguero, Marcelo] Inst Antartico Argentino, Direcc Nacl Antartico, 25 Mayo 1143, RA-1650 San Martin, Argentina</t>
  </si>
  <si>
    <t>Consejo Nacional de Investigaciones Cientificas y Tecnicas (CONICET); National University of La Plata; Museo La Plata; National University of La Plata; Museo La Plata; Instituto Antartico Argentino</t>
  </si>
  <si>
    <t>Cione, AL (corresponding author), Consejo Nacl Invest Cient &amp; Tecn, Buenos Aires, DF, Argentina.;Cione, AL (corresponding author), Museo La Plata, Div Paleontol Vertebrados, Paseo Bosque S-N,B1900FVVA, La Plata, Buenos Aires, Argentina.;Cione, AL (corresponding author), Univ Nacl La Plata, Fac Ciencias Nat &amp; Museo, La Plata, Buenos Aires, Argentina.</t>
  </si>
  <si>
    <t>acione@fcnym.unlp.edu.ar; sgouiric@fcnym.unlp.edu.ar; acostacaro@fcnym.unlp.edu.ar; jgelfo@fcnym.unlp.edu.ar</t>
  </si>
  <si>
    <t>Reguero, Marcelo A./JHS-4893-2023; Gelfo, Javier N./KFQ-7820-2024; Gelfo, Javier N./AAW-1905-2021; Acosta Hospitaleche, Carolina/E-5740-2017</t>
  </si>
  <si>
    <t>Gelfo, Javier N./0000-0002-9989-5902; Acosta Hospitaleche, Carolina/0000-0002-2614-1448; Lopez, Guillermo/0000-0002-6319-9681</t>
  </si>
  <si>
    <t>Direccion Nacional del Antartico; Institute Antartico Argentino [P100 2010-0093]; Agencia Nacional de Promocion Cientifica y Tecnologica [PICT BID 2014-2357]</t>
  </si>
  <si>
    <t>Direccion Nacional del Antartico; Institute Antartico Argentino; Agencia Nacional de Promocion Cientifica y Tecnologica(ANPCyTSpanish Government)</t>
  </si>
  <si>
    <t>This research was mainly funded by the Direccion Nacional del Antartico and the Institute Antartico Argentino, P100 2010-0093. Partial funding was provided by the Agencia Nacional de Promocion Cientifica y Tecnologica through grant PICT BID 2014-2357. We thank the logistic support of the Fuerza Aerea Argentina. The funders had no role in study design, data collection and analysis, decision to publish, or preparation of the manuscript. We are grateful to Rodrigo Otero for providing unpublished information, Bruno Pianzola for the photographs used in Figures 4 and 5, and, specially, to the editor E. Koutsoukos, and the reviewers, J. Kriwet and an anonymous one for improving this manuscript with their comments.</t>
  </si>
  <si>
    <t>0195-6671</t>
  </si>
  <si>
    <t>1095-998X</t>
  </si>
  <si>
    <t>CRETACEOUS RES</t>
  </si>
  <si>
    <t>Cretac. Res.</t>
  </si>
  <si>
    <t>10.1016/j.cretres.2018.01.004</t>
  </si>
  <si>
    <t>Geology; Paleontology</t>
  </si>
  <si>
    <t>GC6HZ</t>
  </si>
  <si>
    <t>WOS:000429892000017</t>
  </si>
  <si>
    <t>Wang, XD; Li, XW; Wang, C; Li, XG</t>
  </si>
  <si>
    <t>Wang, Xing-Dong; Li, Xin-Wu; Wang, Cheng; Li, Xin-Guang</t>
  </si>
  <si>
    <t>Antarctic ice-sheet near-surface snowmelt detection based on the synergy of SSM/I data and QuikSCAT data</t>
  </si>
  <si>
    <t>GEOSCIENCE FRONTIERS</t>
  </si>
  <si>
    <t>Snowmelt detection; SSM/I data; QuikSCAT data; Synergy; Edge detection model</t>
  </si>
  <si>
    <t>PASSIVE MICROWAVE MEASUREMENTS; SCATTEROMETER DATA; MELT DETECTION; GREENLAND; REGIONS; END</t>
  </si>
  <si>
    <t>Microwave radiometer SSM/I data and scatterometer QuikSCAT data have been widely used for the ice-sheet near-surface snowmelt detection based on their sensitivity to liquid water present in snow. In order to improve the Antarctic ice-sheet near-surface snowmelt detection accuracy, a new Antarctic ice-sheet near-surface snowmelt synergistic detection method was proposed based on the principle of complementary advantages of SSM/I data (high reliability) and QuikSCAT data (high sensitivity) by the use of edge detection model to automatically extract the edge information to get the distribution of Antarctic snowmelt onset date, snowmelt duration and snowmelt end date. The verification result shows that the proposed snowmelt synergistic detection method improves the detection accuracy from about 75% to 86% based on AWS (Automatic Weather Stations) Butler Island and Larsen Ice Shelf. The algorithm can also be applied to other regions, which provides methodological support and supplement for the global snowmelt detection. (C) 2018, China University of Geosciences (Beijing) and Peking University. Production and hosting by Elsevier B.V. This is an open access article under the CC BY-NC-ND license.</t>
  </si>
  <si>
    <t>[Wang, Xing-Dong; Li, Xin-Guang] Henan Univ Technol, Coll Informat Sci &amp; Engn, 100 Lianhua Rd, Zhengzhou 450001, Henan, Peoples R China; [Wang, Xing-Dong; Li, Xin-Wu; Wang, Cheng] Chinese Acad Sci, Inst Remote Sensing &amp; Digital Earth, Key Lab Digital Earth, 9 Dengzhuang South Rd, Beijing 100094, Peoples R China</t>
  </si>
  <si>
    <t>Henan University of Technology; Chinese Academy of Sciences; The Institute of Remote Sensing &amp; Digital Earth, CAS</t>
  </si>
  <si>
    <t>Li, XW (corresponding author), Chinese Acad Sci, Inst Remote Sensing &amp; Digital Earth, Key Lab Digital Earth, 9 Dengzhuang South Rd, Beijing 100094, Peoples R China.</t>
  </si>
  <si>
    <t>xwli@ceode.ac.cn</t>
  </si>
  <si>
    <t>, Wang/0000-0002-8295-0311</t>
  </si>
  <si>
    <t>National Natural Science Foundation of China [41606209]; National Key Research and Development Program of China [2016YFB0501501]; Fujian Provincial Key Laboratory of Photonics Technology, Key Laboratory of Optoelectronic Science and Technology for Medicine of Ministry of Education, Fujian Normal University, China [JYG1707]; Polar Science Strategic Research Foundation of China [20150312]; Fundamental Research Funds for the Henan Provincial Colleges and Universities [2015QNJH16]; Science and technology project of Zhengzhou Science and Technology Bureau [20150251]</t>
  </si>
  <si>
    <t>National Natural Science Foundation of China(National Natural Science Foundation of China (NSFC)); National Key Research and Development Program of China; Fujian Provincial Key Laboratory of Photonics Technology, Key Laboratory of Optoelectronic Science and Technology for Medicine of Ministry of Education, Fujian Normal University, China; Polar Science Strategic Research Foundation of China; Fundamental Research Funds for the Henan Provincial Colleges and Universities; Science and technology project of Zhengzhou Science and Technology Bureau</t>
  </si>
  <si>
    <t>This research was supported by National Natural Science Foundation of China (Grant No. 41606209), and supported by National Key Research and Development Program of China (Grant No. 2016YFB0501501), and supported by Fujian Provincial Key Laboratory of Photonics Technology, Key Laboratory of Optoelectronic Science and Technology for Medicine of Ministry of Education, Fujian Normal University, China (Grant No. JYG1707), and supported by Polar Science Strategic Research Foundation of China (Grant No. 20150312), and supported by the Fundamental Research Funds for the Henan Provincial Colleges and Universities (Grant No. 2015QNJH16), and supported by Science and technology project of Zhengzhou Science and Technology Bureau (Grant No. 20150251).</t>
  </si>
  <si>
    <t>CHINA UNIV GEOSCIENCES, BEIJING</t>
  </si>
  <si>
    <t>HAIDIAN DISTRICT</t>
  </si>
  <si>
    <t>29 XUEYUAN RD, HAIDIAN DISTRICT, 100083, PEOPLES R CHINA</t>
  </si>
  <si>
    <t>1674-9871</t>
  </si>
  <si>
    <t>GEOSCI FRONT</t>
  </si>
  <si>
    <t>Geosci. Front.</t>
  </si>
  <si>
    <t>10.1016/j.gsf.2017.09.007</t>
  </si>
  <si>
    <t>GC8ZN</t>
  </si>
  <si>
    <t>WOS:000430087400017</t>
  </si>
  <si>
    <t>Youngflesh, C; Jenouvrier, S; Hinke, JT; DuBois, L; St Leger, J; Trivelpiece, WZ; Trivelpiece, SG; Lynch, HJ</t>
  </si>
  <si>
    <t>Youngflesh, Casey; Jenouvrier, Stephanie; Hinke, Jefferson T.; DuBois, Lauren; St Leger, Judy; Trivelpiece, Wayne Z.; Trivelpiece, Susan G.; Lynch, Heather J.</t>
  </si>
  <si>
    <t>Rethinking normal: The role of stochasticity in the phenology of a synchronously breeding seabird</t>
  </si>
  <si>
    <t>JOURNAL OF ANIMAL ECOLOGY</t>
  </si>
  <si>
    <t>Adelie penguin; Antarctica; Bayesian hierarchical model; climate change; coloniality; phenological mismatch; Pygoscelis adeliae; stochasticity; synchrony</t>
  </si>
  <si>
    <t>CLIMATE-CHANGE; REPRODUCTIVE SUCCESS; TROPHIC INTERACTIONS; FLOWERING PHENOLOGY; BLUE PENGUINS; COLONY; BIRDS; CONSEQUENCES; SIZE; FACILITATION</t>
  </si>
  <si>
    <t>1. Phenological changes have been observed in a variety of systems over the past century. There is concern that, as a consequence, ecological interactions are becoming increasingly mismatched in time, with negative consequences for ecological function. 2. Significant spatial heterogeneity (inter-site) and temporal variability (inter-annual) can make it difficult to separate intrinsic, extrinsic and stochastic drivers of phenological variability. The goal of this study was to understand the timing and variability in breeding phenology of Adelie penguins under fixed environmental conditions and to use those data to identify a null model appropriate for disentangling the sources of variation in wild populations. 3. Data on clutch initiation were collected from both wild and captive populations of Adelie penguins. Clutch initiation in the captive population was modelled as a function of year, individual and age to better understand phenological patterns observed in the wild population. 4. Captive populations displayed as much inter-annual variability in breeding phenology as wild populations, suggesting that variability in breeding phenology is the norm and thus may be an unreliable indicator of environmental forcing. The distribution of clutch initiation dates was found to be moderately asymmetric (right skewed) both in the wild and in captivity, consistent with the pattern expected under social facilitation. 5. The role of stochasticity in phenological processes has heretofore been largely ignored. However, these results suggest that inter-annual variability in breeding phenology can arise independent of any environmental or demographic drivers and that synchronous breeding can enhance inherent stochasticity. This complicates efforts to relate phenological variation to environmental variability in the wild. Accordingly, we must be careful to consider random forcing in phenological processes, lest we fit models to data dominated by random noise. This is particularly true for colonial species where breeding synchrony may outweigh each individual's effort to time breeding with optimal environmental conditions. Our study highlights the importance of identifying appropriate null models for studying phenology.</t>
  </si>
  <si>
    <t>[Youngflesh, Casey; Lynch, Heather J.] SUNY Stony Brook, Dept Ecol &amp; Evolut, Stony Brook, NY 11794 USA; [Jenouvrier, Stephanie] Woods Hole Oceanog Inst, Dept Biol, Woods Hole, MA 02543 USA; [Jenouvrier, Stephanie] Univ La Rochelle, UMR 7372, Ctr Etud Biol Chize, CNRS, Villiers En Bois, France; [Hinke, Jefferson T.] NOAA, Antarctic Ecosyst Res Div, Southwest Fisheries Sci Ctr, Natl Marine Fisheries Serv, La Jolla, CA USA; [DuBois, Lauren; St Leger, Judy] SeaWorld, San Diego, CA USA</t>
  </si>
  <si>
    <t>State University of New York (SUNY) System; State University of New York (SUNY) Stony Brook; Woods Hole Oceanographic Institution; La Rochelle Universite; Centre National de la Recherche Scientifique (CNRS); CNRS - Institute of Ecology &amp; Environment (INEE); National Oceanic Atmospheric Admin (NOAA) - USA</t>
  </si>
  <si>
    <t>Youngflesh, C (corresponding author), SUNY Stony Brook, Dept Ecol &amp; Evolut, Stony Brook, NY 11794 USA.</t>
  </si>
  <si>
    <t>casey.youngflesh@stonybrook.edu</t>
  </si>
  <si>
    <t>St. Leger, Judy/AAD-3565-2019; , Jefferson/AAG-1702-2021</t>
  </si>
  <si>
    <t>St. Leger, Judy/0000-0002-6213-3429; , Jefferson/0000-0002-3600-1414; Lynch, Heather/0000-0002-9026-1612; jenouvrier, stephanie/0000-0003-3324-2383; Youngflesh, Casey/0000-0001-6343-3311</t>
  </si>
  <si>
    <t>Pew Charitable Trusts; National Science Foundation [1016936, 1341474]; Office of Polar Programs [1255058]; Directorate For Geosciences; Office of Polar Programs (OPP) [1255058, 1341474] Funding Source: National Science Foundation</t>
  </si>
  <si>
    <t>Pew Charitable Trusts; National Science Foundation(National Science Foundation (NSF)); Office of Polar Programs(National Science Foundation (NSF)NSF - Directorate for Geosciences (GEO)); Directorate For Geosciences; Office of Polar Programs (OPP)(National Science Foundation (NSF)NSF - Directorate for Geosciences (GEO))</t>
  </si>
  <si>
    <t>Pew Charitable Trusts; National Science Foundation, Grant/Award Number: 1016936 and 1341474; Office of Polar Programs, Grant/Award Number: 1255058</t>
  </si>
  <si>
    <t>0021-8790</t>
  </si>
  <si>
    <t>1365-2656</t>
  </si>
  <si>
    <t>J ANIM ECOL</t>
  </si>
  <si>
    <t>J. Anim. Ecol.</t>
  </si>
  <si>
    <t>10.1111/1365-2656.12790</t>
  </si>
  <si>
    <t>Ecology; Zoology</t>
  </si>
  <si>
    <t>Environmental Sciences &amp; Ecology; Zoology</t>
  </si>
  <si>
    <t>GC8QE</t>
  </si>
  <si>
    <t>Green Submitted, Green Published, Bronze</t>
  </si>
  <si>
    <t>WOS:000430059900014</t>
  </si>
  <si>
    <t>Klaucke, I; Sarkar, S; Bialas, J; Berndt, C; Dannowski, A; Dumke, I; Hillman, J; Koch, S; Nodder, SD; Papenberg, C; von Deimling, JS</t>
  </si>
  <si>
    <t>Klaucke, Ingo; Sarkar, Sudipta; Bialas, Joerg; Berndt, Christian; Dannowski, Anke; Dumke, Ines; Hillman, Jess; Koch, Stephanie; Nodder, Scott D.; Papenberg, Cord; von Deimling, Jens Schneider</t>
  </si>
  <si>
    <t>Giant depressions on the Chatham Rise offshore New Zealand - Morphology, structure and possible relation to fluid expulsion and bottom currents</t>
  </si>
  <si>
    <t>MARINE GEOLOGY</t>
  </si>
  <si>
    <t>Silica diagenesis; Porewater expulsion; Chatham Rise; Seafloor morphology; Fluid flow system; Current erosion</t>
  </si>
  <si>
    <t>SW PACIFIC-OCEAN; ANTARCTIC CIRCUMPOLAR CURRENT; SEA-SURFACE TEMPERATURES; SUBTROPICAL FRONT; SOUTHWEST PACIFIC; SIMULATING REFLECTORS; SILICA DIAGENESIS; MUD VOLCANO; CONTINENTAL MARGINS; NORTHEAST ATLANTIC</t>
  </si>
  <si>
    <t>Several giant seafloor depressions were investigated on the Chatham Rise offshore New Zealand using mainly bathymetric and seismic data, supplemented by sediment cores and reported porewater geochemistry data. The depressions have diameters of up to 11 km and occur on the southern flank of the Chatham Rise in water depths between 600 and 900 m, i.e. roughly underneath the location of the strongest thermal gradients of the Subtropical Front (STF) and characterized by eastward flowing currents. With up to 150 m of relief the depressions cut into post-Miocene deposits. Some of the depressions are partially filled with drift deposits that have similar seismic characteristics as the surrounding sediments and consist of alternations of silty muds and silts. Seismic profiles also show completely filled depressions that no longer have a bathymetric expression. Despite several pipe structures indicating vertical fluid flow, neither active fluid seepage nor indications for past fluid seepage are present at the seafloor of the Chatham Rise. Also, both pore water geochemistry and geophysical data do not show indications for an existing or past gas hydrate system in the area. Instead, seismic data suggest widespread polygonal faulting and the presence of silica diagenetic fronts. The release of mineral-bound water during silica diagenesis or fluid expulsion during sediment compaction can explain the presence of vertical fluid flow features but not the giant depressions themselves. Instead, the depressions are interpreted as the result of scouring by strong bottom currents for which fluid venting may have created the nucleation points.</t>
  </si>
  <si>
    <t>[Klaucke, Ingo; Bialas, Joerg; Berndt, Christian; Dannowski, Anke; Dumke, Ines; Hillman, Jess; Koch, Stephanie; Papenberg, Cord; von Deimling, Jens Schneider] GEOMAR Helmholtz Ctr Ocean Res Kiel, Wischhofstr 1-3, D-24148 Kiel, Germany; [Sarkar, Sudipta] Indian Inst Sci Educ &amp; Res Pune, Dept Earth &amp; Climate Sci, Pune 411008, Maharashtra, India; [Nodder, Scott D.] NIWA, Private Bag 14-901, Wellington 6241, New Zealand; [Hillman, Jess] GNS Sci, Lower Hutt, New Zealand; [von Deimling, Jens Schneider] Univ Kiel, Inst Geosci, Otto Hahn Pl 1, D-24118 Kiel, Germany</t>
  </si>
  <si>
    <t>Helmholtz Association; GEOMAR Helmholtz Center for Ocean Research Kiel; Indian Institute of Science Education &amp; Research (IISER) Pune; National Institute of Water &amp; Atmospheric Research (NIWA) - New Zealand; GNS Science - New Zealand; University of Kiel</t>
  </si>
  <si>
    <t>Klaucke, I (corresponding author), GEOMAR Helmholtz Ctr Ocean Res Kiel, Wischhofstr 1-3, D-24148 Kiel, Germany.</t>
  </si>
  <si>
    <t>iklaucke@geomar.de</t>
  </si>
  <si>
    <t>Klaucke, Ingo/A-2441-2010; Sarkar, Sudipta/JFJ-2512-2023; Bialas, Jörg/A-7207-2015; Dannowski, Anke/HMO-7972-2023; Sarkar, Sudipta/HTR-4449-2023; Berndt, Christian/GVS-3279-2022; Papenberg, Cord/E-7578-2012; Schneider von Deimling, Jens/O-3867-2014</t>
  </si>
  <si>
    <t>Klaucke, Ingo/0000-0002-2631-6615; Dannowski, Anke/0000-0001-8581-7500; Berndt, Christian/0000-0001-5055-0180; Hillman, Jess/0000-0002-3798-0597; Papenberg, Cord/0000-0001-8790-558X; Schneider von Deimling, Jens/0000-0002-9889-1408; Sarkar, Sudipta/0000-0001-8382-3114</t>
  </si>
  <si>
    <t>German Ministry of Education and Research [03G0226]; GNS Science; NIWA Core funding (Coasts &amp; Oceans, Marine Physical Processes Resources); NSF</t>
  </si>
  <si>
    <t>German Ministry of Education and Research(Federal Ministry of Education &amp; Research (BMBF)); GNS Science; NIWA Core funding (Coasts &amp; Oceans, Marine Physical Processes Resources); NSF(National Science Foundation (NSF))</t>
  </si>
  <si>
    <t>We would like to thank masters, officers and crew for their excellent work during RV SONNE cruise SO226 for which the German Ministry of Education and Research (contract no. 03G0226), GNS Science, NIWA Core funding (Coasts &amp; Oceans, Marine Physical Processes &amp; Resources) and NSF provided funding. Rick Coffin (US Naval Research Laboratory, Texas A&amp;M University Corpus Christi, USA) and his team are thanked for sediment piston core sampling during the cruise and for sharing their results and insights. Bryan Davy (GNS Science) is thanked for stimulating discussions, as is John Mitchell (NIWA) for coring assistance at sea, while thoughtful criticism by Marc de Batist, Luis Somoza and an anonymous reviewer helped improve the manuscript.</t>
  </si>
  <si>
    <t>0025-3227</t>
  </si>
  <si>
    <t>1872-6151</t>
  </si>
  <si>
    <t>MAR GEOL</t>
  </si>
  <si>
    <t>Mar. Geol.</t>
  </si>
  <si>
    <t>10.1016/j.margeo.2018.02.011</t>
  </si>
  <si>
    <t>Geosciences, Multidisciplinary; Oceanography</t>
  </si>
  <si>
    <t>Geology; Oceanography</t>
  </si>
  <si>
    <t>GC8HB</t>
  </si>
  <si>
    <t>hybrid, Green Accepted</t>
  </si>
  <si>
    <t>WOS:000430033300012</t>
  </si>
  <si>
    <t>Vyverberg, K; Dechnik, B; Dutton, A; Webster, JM; Zwartz, D; Portell, RW</t>
  </si>
  <si>
    <t>Vyverberg, Karen; Dechnik, Belinda; Dutton, Andrea; Webster, Jody M.; Zwartz, Dan; Portell, Roger W.</t>
  </si>
  <si>
    <t>Episodic reef growth in the granitic Seychelles during the Last Interglacial: Implications for polar ice sheet dynamics</t>
  </si>
  <si>
    <t>Sea level change; Reefs and carbonate mounds; Indian Ocean; Last interglacial</t>
  </si>
  <si>
    <t>HIGH SEA-LEVEL; FRINGING CORAL-REEFS; PROBABILISTIC ASSESSMENT; SEDIMENTS; MAHE; PATTERNS; DURATION; RECORD; CARBON; OXYGEN</t>
  </si>
  <si>
    <t>We present a detailed taxonomic and lithologic analysis of fossil reefs in the Granitic Seychelles to improve constraints on global mean sea level behavior during the last interglacial sea-level highstand, similar to 129,000-116,000 years ago. In particular, we have assessed the coralgal reef outcrops for any sedimentalogic evidence of sub-orbital sea level oscillations that may have occurred during this warm, interglacial period. At the outcrop scale, we observe at least three distinct episodes of reef growth punctuated by two discontinuities that typically manifest as coral rubble layers or extensive lateral encrustations of the hydrozoan coral Millepora exaesa. Hiatuses in reef growth at other sites around the world have been interpreted as relative sea level falls and/or environmental disturbances. We have tested the hypothesis that these discontinuities, that we refer to as disturbance horizons, are related to ephemeral drops in sea level that have been inferred at last interglacial reef sites from other sites around the globe. At two sites, there is sedimentological evidence in the form of extensive dissolution and freshwater cements associated with the disturbance horizons that would require subaerial exposure followed by marine inundation. At the remaining sites, evidence is consistent with, but not necessarily indicative of, an ephemeral drop in sea level. To establish if these disturbance horizons are coeval between the outcrops and if they are local or global features, requires high-precision dating of the disturbance horizons along with a critical analysis of sedimentary and chronological evidence from other sites around the globe. If the disturbance horizons observed in the Seychelles represent transient sea-level falls or still stands during the last interglacial, this would imply a dynamic behavior of the polar ice sheets during this past warm period.</t>
  </si>
  <si>
    <t>[Vyverberg, Karen; Dutton, Andrea] Univ Florida, 241 Williamson Hall, Gainesville, FL 32611 USA; [Dechnik, Belinda; Webster, Jody M.] Univ Sydney, Geocoastal Res Grp, Sydney, NSW 2006, Australia; [Dechnik, Belinda; Webster, Jody M.] Univ Fed Espirito Santo, Dept Oceanog, BR-29075910 Vitoria, ES, Brazil; [Zwartz, Dan] Victoria Univ Wellington, Antarctic Res Ctr, POB 600, Wellington 6140, New Zealand; [Portell, Roger W.] Univ Florida, 250A Dickinson Hall, Gainesville, FL 32611 USA</t>
  </si>
  <si>
    <t>State University System of Florida; University of Florida; University of Sydney; Universidade Federal do Espirito Santo; Victoria University Wellington; State University System of Florida; University of Florida</t>
  </si>
  <si>
    <t>Vyverberg, K (corresponding author), Univ Florida, 241 Williamson Hall, Gainesville, FL 32611 USA.</t>
  </si>
  <si>
    <t>; Dutton, Andrea/A-2506-2008</t>
  </si>
  <si>
    <t>Webster, Jody M./0000-0002-0005-6448; Dutton, Andrea/0000-0002-3836-119X</t>
  </si>
  <si>
    <t>National Science Foundation [1155495]; University of Florida Water Institute Graduate Research Fellowship; Balzan Prize Foundation; Directorate For Geosciences; Division Of Ocean Sciences [1155495] Funding Source: National Science Foundation</t>
  </si>
  <si>
    <t>National Science Foundation(National Science Foundation (NSF)); University of Florida Water Institute Graduate Research Fellowship; Balzan Prize Foundation; Directorate For Geosciences; Division Of Ocean Sciences(National Science Foundation (NSF)NSF - Directorate for Geosciences (GEO))</t>
  </si>
  <si>
    <t>This work was supported by the National Science Foundation (Award #1155495 to A. Dutton), by the University of Florida Water Institute Graduate Research Fellowship, and The Balzan Prize Foundation (awarded to K. Lambeck).</t>
  </si>
  <si>
    <t>10.1016/j.margeo.2018.02.010</t>
  </si>
  <si>
    <t>WOS:000430033300013</t>
  </si>
  <si>
    <t>Pazmiño, DA; Maes, GE; Green, ME; Simpfendorfer, CA; Hoyos-Padilla, EM; Duffy, CJA; Meyer, CG; Kerwath, SE; Salinas-de-León, P; van Herwerden, L</t>
  </si>
  <si>
    <t>Pazmino, Diana A.; Maes, Gregory E.; Green, Madeline E.; Simpfendorfer, Colin A.; Mauricio Hoyos-Padilla, E.; Duffy, Clinton J. A.; Meyer, Carl G.; Kerwath, Sven E.; Salinas-de-Leon, Pelayo; van Herwerden, Lynne</t>
  </si>
  <si>
    <t>Strong trans-Pacific break and local conservation units in the Galapagos shark (Carcharhinus galapagensis) revealed by genome-wide cytonuclear markers</t>
  </si>
  <si>
    <t>HEREDITY</t>
  </si>
  <si>
    <t>EFFECTIVE POPULATION-SIZE; FRENCH FRIGATE SHOALS; SEX-BIASED DISPERSAL; BLACKTIP SHARK; GENE FLOW; MOVEMENT PATTERNS; SPHYRNA-TIBURO; SITE FIDELITY; PHYLOGEOGRAPHY; SELECTION</t>
  </si>
  <si>
    <t>The application of genome-wide cytonuclear molecular data to identify management and adaptive units at various spatio-temporal levels is particularly important for overharvested large predatory organisms, often characterized by smaller, localized populations. Despite being near threatened, current understanding of habitat use and population structure of Carcharhinus galapagensis is limited to specific areas within its distribution. We evaluated population structure and connectivity across the Pacific Ocean using genome-wide single-nucleotide polymorphisms (similar to 7200 SNPs) and mitochondrial control region sequences (945 bp) for 229 individuals. Neutral SNPs defined at least two genetically discrete geographic groups: an East Tropical Pacific (Mexico, east and west Galapagos Islands), and another central-west Pacific (Lord Howe Island, Middleton Reef, Norfolk Island, Elizabeth Reef, Kermadec, Hawaii and Southern Africa). More fine-grade population structure was suggested using outlier SNPs: west Pacific, Hawaii, Mexico, and Galapagos. Consistently, mtDNA pairwise Phi(ST) defined three regional stocks: east, central and west Pacific. Compared to neutral SNPs (F-ST = 0.023-0.035), mtDNA exhibited more divergence (Phi(ST) = 0.258-0.539) and high overall genetic diversity (h = 0.794 +/- 0.014; pi = 0.004 +/- 0.000), consistent with the longstanding eastern Pacific barrier between the east and central-west Pacific. Hawaiian and Southern African populations group within the west Pacific cluster. Effective population sizes were moderate/high for east/west populations (738 and 3421, respectively). Insights into the biology, connectivity, genetic diversity, and population demographics informs for improved conservation of this species, by delineating three to four conservation units across their Pacific distribution. Implementing such conservation management may be challenging, but is necessary to achieve long-term population resilience at basin and regional scales.</t>
  </si>
  <si>
    <t>[Pazmino, Diana A.; Maes, Gregory E.; Simpfendorfer, Colin A.; van Herwerden, Lynne] James Cook Univ, Coll Sci &amp; Engn, Ctr Sustainable Trop Fisheries &amp; Aquaculture, Townsville, Qld, Australia; [Pazmino, Diana A.; Maes, Gregory E.; van Herwerden, Lynne] James Cook Univ, Coll Sci &amp; Engn, Comparat Genom Ctr, Townsville, Qld, Australia; [Pazmino, Diana A.] Univ San Francisco Quito, Galapagos Sci Ctr, Quito, Ecuador; [Maes, Gregory E.] Univ Leuven, Lab Biodivers &amp; Evolutionary Genom, Leuven, Belgium; [Maes, Gregory E.] Katholieke Univ Leuven, Lab Cytogenet &amp; Genome Res, Genom Core, Ctr Human Genet, Leuven, Belgium; [Green, Madeline E.] Univ Tasmania, Inst Marine &amp; Antarctic Studies, Private Bag 49, Hobart, Tas, Australia; [Green, Madeline E.] CSIRO Oceans &amp; Atmosphere, Hobart, Tas, Australia; [Mauricio Hoyos-Padilla, E.] Pelagios Kakunja AC, Sinaloa 1540, La Paz, Baja Calif Sur, Mexico; [Duffy, Clinton J. A.] Auckland War Mem Museum, Auckland, New Zealand; [Duffy, Clinton J. A.] Dept Conservat, Private Bag 68908, Auckland, New Zealand; [Meyer, Carl G.] Univ Hawaii Manoa, Hawaii Inst Marine Biol, Kaneohe, HI USA; [Kerwath, Sven E.] Univ Cape Town, Dept Biol Sci, Private Bag X 3, Rondebosch, South Africa; [Kerwath, Sven E.] Dept Agr Forestry &amp; Fisheries, Fisheries Branch, Private Bag X 2, Cape Town, South Africa; [Salinas-de-Leon, Pelayo] Charles Darwin Res Stn, Dept Marine Sci, Av Charles Darwin S-N, Galapagos Isl, Santa Cruz, Ecuador; [Salinas-de-Leon, Pelayo] Natl Geog Soc, Pristine Seas, Washington, DC USA</t>
  </si>
  <si>
    <t>James Cook University; James Cook University; Universidad San Francisco de Quito; KU Leuven; KU Leuven; University of Tasmania; Commonwealth Scientific &amp; Industrial Research Organisation (CSIRO); University of Hawaii System; University of Hawaii Manoa; University of Cape Town; National Geographic Society</t>
  </si>
  <si>
    <t>Pazmiño, DA (corresponding author), James Cook Univ, Coll Sci &amp; Engn, Ctr Sustainable Trop Fisheries &amp; Aquaculture, Townsville, Qld, Australia.;Pazmiño, DA (corresponding author), James Cook Univ, Coll Sci &amp; Engn, Comparat Genom Ctr, Townsville, Qld, Australia.;Pazmiño, DA (corresponding author), Univ San Francisco Quito, Galapagos Sci Ctr, Quito, Ecuador.</t>
  </si>
  <si>
    <t>diana.pazminojaramillo@my.jcu.edu.au</t>
  </si>
  <si>
    <t>Maes, Gregory/N-4983-2019; Simpfendorfer, Colin/G-9681-2011; van Herwerden, Lynne/I-1087-2012</t>
  </si>
  <si>
    <t>Maes, Gregory/0000-0002-1531-7321; Simpfendorfer, Colin/0000-0002-0295-2238; Hoyos, Edgar/0000-0002-4318-2655; Kerwath, Sven/0000-0003-2751-5015; van Herwerden, Lynne/0000-0001-6717-8995; Pazmino-Jaramillo, Diana/0000-0001-7082-3254; Green, Madeline Elizabeth/0000-0002-5037-2043</t>
  </si>
  <si>
    <t>Ecuadorian Government through a National Secretary of Higher Education, Science and Technology (SENESCYT) scholarship; DST/NRF African Coelacanth Ecosystem Programme (ACEP); New Zealand Department of Conservation; Pew Environment Group; Data Deficient Species Fund</t>
  </si>
  <si>
    <t>We thank the Ecuadorian Government, who financially supported this study through a National Secretary of Higher Education, Science and Technology (SENESCYT) scholarship; The Galapagos National Park for permission to collect and export samples under permit 065-2013PNG and 014-2014PNG; The Molecular Ecology and Evolutionary Laboratory (MEEL) staff for laboratory, analytical, and logistic support. We would also like to acknowledge DST/NRF African Coelacanth Ecosystem Programme (ACEP) for financial and logistical support; the New Zealand Department of Conservation and Pew Environment Group for the funding provided and the permit approval for sampling at the Kermadec Islands Marine Reserve, and funding provided from the Data Deficient Species Fund. Finally, we thank and acknowledge the effort of Mark Scott who collected samples from Norfolk Island.</t>
  </si>
  <si>
    <t>SPRINGERNATURE</t>
  </si>
  <si>
    <t>CAMPUS, 4 CRINAN ST, LONDON, N1 9XW, ENGLAND</t>
  </si>
  <si>
    <t>0018-067X</t>
  </si>
  <si>
    <t>1365-2540</t>
  </si>
  <si>
    <t>Heredity</t>
  </si>
  <si>
    <t>10.1038/s41437-017-0025-2</t>
  </si>
  <si>
    <t>Ecology; Evolutionary Biology; Genetics &amp; Heredity</t>
  </si>
  <si>
    <t>Environmental Sciences &amp; Ecology; Evolutionary Biology; Genetics &amp; Heredity</t>
  </si>
  <si>
    <t>GB9PG</t>
  </si>
  <si>
    <t>WOS:000429405100004</t>
  </si>
  <si>
    <t>King, AS; Elliott, NG; Macleod, CK; James, MA; Dambacher, JM</t>
  </si>
  <si>
    <t>King, Andrew S.; Elliott, Nicholas G.; Macleod, Catriona K.; James, Mark A.; Dambacher, Jeffrey M.</t>
  </si>
  <si>
    <t>Making better decisions: Utilizing qualitative signed digraphs modeling to enhance aquaculture production technology selection</t>
  </si>
  <si>
    <t>MEDIA COVERAGE; SALMON; DEMAND; FISH; ECOSYSTEMS; ECONOMICS; FEEDBACK; IMPACTS; SEAFOOD; FARMERS</t>
  </si>
  <si>
    <t>Understanding causal relationships within complex business environments represents an essential component in a decision-maker's toolset when evaluating alternative aquaculture production technologies. This article assesses the utility of employing signed digraph qualitative modeling to support technology selection decision-making through evaluating the adoption of three alternative production expansion strategies (offshore production, IMTA, or land-based RAS) by the Atlantic salmon industry. Results underlined the benefits of strategically understanding the dynamics of demand growth, emphasized the requirement to address societal concerns early; and indicated that levels of ambiguity are lowest with expansion offshore and highest with land-based RAS growout. The research suggests that signed digraph modeling can provide an objective perspective on the levels of uncertainty and causal linkages within a business environment when exploring aquaculture adoption technology scenarios.</t>
  </si>
  <si>
    <t>[King, Andrew S.] Univ Tasmania, Inst Marine &amp; Antarctic Studies, Hobart, Tas 7000, Australia; [Elliott, Nicholas G.] CSIRO, Castray Esplanade, Hobart, Tas, Australia; [Macleod, Catriona K.; Dambacher, Jeffrey M.] Univ Tasmania, Inst Marine &amp; Antarctic Studies, Hobart, Tas, Australia; [James, Mark A.] Univ St Andrews, Sch Biol, Scottish Oceans Inst, St Andrews KY16 8LB, Fife, Scotland</t>
  </si>
  <si>
    <t>University of Tasmania; Commonwealth Scientific &amp; Industrial Research Organisation (CSIRO); University of Tasmania; University of St Andrews</t>
  </si>
  <si>
    <t>King, AS (corresponding author), Univ Tasmania, Inst Marine &amp; Antarctic Studies, Hobart, Tas 7000, Australia.</t>
  </si>
  <si>
    <t>andrew.king@utas.edu.au</t>
  </si>
  <si>
    <t>Macleod, Catriona/J-7176-2014; James, Mark/E-5432-2018</t>
  </si>
  <si>
    <t>Macleod, Catriona/0000-0002-0539-6361; James, Mark/0000-0002-7182-1725</t>
  </si>
  <si>
    <t>Australian Seafood Cooperative Research Centre's (CRC) future aquaculture production programme [2011-735]</t>
  </si>
  <si>
    <t>Australian Seafood Cooperative Research Centre's (CRC) future aquaculture production programme</t>
  </si>
  <si>
    <t>The authors would like to thank the international aquaculture community for their active engagement in this research. The information and support that they provided was invaluable in developing an understanding of the business environment and for ground-truthing the research finding. Thanks also to the Editor and anonymous reviewers for their guidance and insightful comments in the preparation of this paper. Funding for the research was embedded with the Australian Seafood Cooperative Research Centre's (CRC) future aquaculture production programme (Project 2011-735).</t>
  </si>
  <si>
    <t>10.1016/j.marpol.2018.01.032</t>
  </si>
  <si>
    <t>GB9KU</t>
  </si>
  <si>
    <t>WOS:000429393500004</t>
  </si>
  <si>
    <t>Santibáñez, PA; Maselli, OJ; Greenwood, MC; Grieman, MM; Saltzman, ES; McConnell, JR; Priscu, JC</t>
  </si>
  <si>
    <t>Santibanez, Pamela A.; Maselli, Olivia J.; Greenwood, Mark C.; Grieman, Mackenzie M.; Saltzman, Eric S.; McConnell, Joseph R.; Priscu, John C.</t>
  </si>
  <si>
    <t>Prokaryotes in the WAIS Divide ice core reflect source and transport changes between Last Glacial Maximum and the early Holocene</t>
  </si>
  <si>
    <t>Antarctic ice core; early Holocene; Last Deglaciation; Last Glacial Maximum; prokaryotes; West Antarctic Ice Sheet Divide</t>
  </si>
  <si>
    <t>ABRUPT CLIMATE-CHANGE; WESTERLY WIND CHANGES; BLACK CARBON; BACTERIAL COMMUNITIES; SCALE VARIABILITY; SPECTRAL-ANALYSIS; SEA; DEPOSITION; GREENLAND; OCEAN</t>
  </si>
  <si>
    <t>We present the first long-term, highly resolved prokaryotic cell concentration record obtained from a polar ice core. This record, obtained from the West Antarctic Ice Sheet (WAIS) Divide (WD) ice core, spanned from the Last Glacial Maximum (LGM) to the early Holocene (EH) and showed distinct fluctuations in prokaryotic cell concentration coincident with major climatic states. The time series also revealed a similar to 1,500-year periodicity with greater amplitude during the Last Deglaciation (LDG). Higher prokaryotic cell concentration and lower variability occurred during the LGM and EH than during the LDG. A sevenfold decrease in prokaryotic cell concentration coincided with the LGM/LDG transition and the global 19 ka meltwater pulse. Statistical models revealed significant relationships between the prokaryotic cell record and tracers of both marine (sea-salt sodium [ssNa]) and burning emissions (black carbon [BC]). Collectively, these models, together with visual observations and methanosulfidic acid (MSA) measurements, indicated that the temporal variability in concentration of airborne prokaryotic cells reflected changes in marine/sea-ice regional environments of the WAIS. Our data revealed that variations in source and transport were the most likely processes producing the significant temporal variations in WD prokaryotic cell concentrations. This record provided strong evidence that airborne prokaryotic cell deposition differed during the LGM, LDG, and EH, and that these changes in cell densities could be explained by different environmental conditions during each of these climatic periods. Our observations provide the first ice-core time series evidence for a prokaryotic response to long-term climatic and environmental processes.</t>
  </si>
  <si>
    <t>[Santibanez, Pamela A.; Priscu, John C.] Montana State Univ, Dept Land Resources &amp; Environm Sci, Bozeman, MT 59717 USA; [Santibanez, Pamela A.] Inst Antart Chileno INACH, Dept Cientif, Punta Arenas, Chile; [Maselli, Olivia J.; McConnell, Joseph R.] Desert Res Inst, Nevada Syst Higher Educ, Reno, NV USA; [Greenwood, Mark C.] Montana State Univ, Dept Math Sci, Bozeman, MT 59717 USA; [Grieman, Mackenzie M.; Saltzman, Eric S.] Univ Calif Irvine, Dept Earth Syst Sci, Irvine, CA USA</t>
  </si>
  <si>
    <t>Montana State University System; Montana State University Bozeman; Nevada System of Higher Education (NSHE); Desert Research Institute NSHE; Montana State University System; Montana State University Bozeman; University of California System; University of California Irvine</t>
  </si>
  <si>
    <t>Priscu, JC (corresponding author), Montana State Univ, Dept Land Resources &amp; Environm Sci, Bozeman, MT 59717 USA.</t>
  </si>
  <si>
    <t>jpriscu@montana.edu</t>
  </si>
  <si>
    <t>Santibanez, Pamela/HII-2820-2022</t>
  </si>
  <si>
    <t>Santibanez, Pamela/0000-0001-7022-3232; Maselli, Olivia/0000-0003-2236-2152; Greenwood, Mark/0000-0001-6933-1201; Grieman, Mackenzie/0000-0001-9610-7141; McConnell, Joseph/0000-0001-9051-5240</t>
  </si>
  <si>
    <t>U.S. National Science Foundation (NSF) [0440943, 0839075, 0839093, 1142166]; Chile Fulbright-BIO-CONICYT Scholarship; Directorate For Geosciences; Division Of Polar Programs [0839075] Funding Source: National Science Foundation; Division Of Polar Programs; Directorate For Geosciences [0440943] Funding Source: National Science Foundation</t>
  </si>
  <si>
    <t>U.S. National Science Foundation (NSF)(National Science Foundation (NSF)); Chile Fulbright-BIO-CONICYT Scholarship; Directorate For Geosciences; Division Of Polar Programs(National Science Foundation (NSF)NSF - Directorate for Geosciences (GEO)); Division Of Polar Programs; Directorate For Geosciences(National Science Foundation (NSF)NSF - Directorate for Geosciences (GEO))</t>
  </si>
  <si>
    <t>U.S. National Science Foundation (NSF), Grant/Award Number: 0440943, 0839075, 0839093, 1142166; Chile Fulbright-BIO-CONICYT Scholarship</t>
  </si>
  <si>
    <t>10.1111/gcb.14042</t>
  </si>
  <si>
    <t>GB2KA</t>
  </si>
  <si>
    <t>Green Published, Green Accepted</t>
  </si>
  <si>
    <t>WOS:000428879800028</t>
  </si>
  <si>
    <t>Van Ginneken, M; Genge, MJ; Harvey, RP</t>
  </si>
  <si>
    <t>Van Ginneken, M.; Genge, M. J.; Harvey, R. P.</t>
  </si>
  <si>
    <t>A new type of highly-vaporized microtektite from the Transantarctic Mountains</t>
  </si>
  <si>
    <t>Microtektite; Australasian; Impact cratering; Transantarctic Mountains; East Antarctic Ice Sheet; Micrometeorites</t>
  </si>
  <si>
    <t>SOUTH CHINA SEA; AUSTRALASIAN MICROTEKTITES; COSMIC SPHERULES; SOURCE CRATER; LOCATION; TEKTITES; IMPACT; GEOCHEMISTRY; VOLATILIZATION; CONSTRAINTS</t>
  </si>
  <si>
    <t>We report on the discovery of microtektites (microscopic impact glass spherules) in a glacial moraine near Larkman Nunatak in the Transantarctic Mountains, Antarctica. The microtektites were identified based on their physical and chemical properties. Major and trace element compositions of the particles suggest that they may be related to the Australasian strewn field. This would further extend the current strewn field similar to 800 km southward. Depletion in volatiles and enrichment in refractory elements in Larkman Nunatak microtektites fit the volatilization trend defined by Australasian microtektites, suggesting that they may represent a new highly vapor fractionated end-member thereof. This observation is supported by their low vesicularity and absence of mineral inclusions. This discovery has significant implications for the formation of microtektites (i.e. their evolution with respect to the distance from the source crater). Finally, the discovery of potentially old (i.e. 0.8 Ma) microtektites in moraine has implications for the stability of the East Antarctic Ice Sheet in the Larkman Nunatak area over the last similar to 1 Ma and, as a consequence, the high efficiency of such moraines as traps for other extraterrestrial materials (e.g. micrometeorites and meteoritic ablation debris). (C) 2018 The Author(s). Published by Elsevier Ltd.</t>
  </si>
  <si>
    <t>[Van Ginneken, M.; Genge, M. J.] Imperial Coll London, IARC, Dept Earth Sci &amp; Engn, Exhibit Rd, London SW7 2AZ, England; [Van Ginneken, M.] Nat Hist Museum, Dept Earth Sci, London SW7 2BT, England; [Harvey, R. P.] Case Western Reserve Univ, Dept Geol Sci, 112 AW Smith Bldg, Cleveland, OH 44106 USA</t>
  </si>
  <si>
    <t>Imperial College London; Natural History Museum London; Natural History Museum London; University System of Ohio; Case Western Reserve University</t>
  </si>
  <si>
    <t>Van Ginneken, M (corresponding author), Imperial Coll London, IARC, Dept Earth Sci &amp; Engn, Exhibit Rd, London SW7 2AZ, England.;Van Ginneken, M (corresponding author), Vrije Univ Brussel, Dept Analyt Environm &amp; Geochem, Pl Laan 2, B-1050 Brussels, Belgium.;Van Ginneken, M (corresponding author), Univ Libre Bruxelles, Lab G Time, Franklin Rooseveltlaan 50, B-1050 Brussels, Belgium.</t>
  </si>
  <si>
    <t>Matthias.Van.Ginneken@ulb.ac.be</t>
  </si>
  <si>
    <t>Van Ginneken, Matthias/AFQ-5594-2022</t>
  </si>
  <si>
    <t>Van Ginneken, Matthias/0000-0002-2508-7021</t>
  </si>
  <si>
    <t>Science and Technology Facilities Council (STFC) [ST/J001260/1]; Belgian Science Policy (program BRAIN.be); STFC [ST/N000803/1, ST/J001260/1] Funding Source: UKRI</t>
  </si>
  <si>
    <t>Science and Technology Facilities Council (STFC)(UK Research &amp; Innovation (UKRI)Science &amp; Technology Facilities Council (STFC)Science and Technology Development Fund (STDF)); Belgian Science Policy (program BRAIN.be); STFC(UK Research &amp; Innovation (UKRI)Science &amp; Technology Facilities Council (STFC))</t>
  </si>
  <si>
    <t>This work was supported by the Science and Technology Facilities Council (STFC) [grant number: ST/J001260/1]. MVG thanks the Belgian Science Policy (program BRAIN.be) for present funding. C. Koeberl is acknowledged for editorial assistance. The manuscript benefited from constructive comments of Luigi Folco and an anonymous reviewer.</t>
  </si>
  <si>
    <t>10.1016/j.gca.2018.02.041</t>
  </si>
  <si>
    <t>GB1DD</t>
  </si>
  <si>
    <t>WOS:000428790200005</t>
  </si>
  <si>
    <t>Cid, FP; Maruyama, F; Murase, K; Graether, SP; Larama, G; Bravo, LA; Jorquera, MA</t>
  </si>
  <si>
    <t>Cid, Fernanda P.; Maruyama, Fumito; Murase, Kazunori; Graether, Steffen P.; Larama, Giovanni; Bravo, Leon A.; Jorquera, Milko A.</t>
  </si>
  <si>
    <t>Draft genome sequences of bacteria isolated from the Deschampsia antarctica phyllosphere</t>
  </si>
  <si>
    <t>Antarctic bacteria; Antifreeze proteins; Ice recrystallization inhibition; Deschampsia antarctica; Phyllosphere; Plant growth-promoting bacteria</t>
  </si>
  <si>
    <t>ICE-BINDING PROTEIN; HYPERACTIVE ANTIFREEZE PROTEIN; PLANT-GROWTH PROMOTION; STRUCTURAL BASIS; ERWINIA-ANANAS; OCEAN POUT; DIVERSITY; SEARCH; RHIZOBACTERIA; RHIZOSPHERE</t>
  </si>
  <si>
    <t>Genome analyses are being used to characterize plant growth-promoting (PGP) bacteria living in different plant compartiments. In this context, we have recently isolated bacteria from the phyllosphere of an Antarctic plant (Deschampsia antarctica) showing ice recrystallization inhibition (IRI), an activity related to the presence of antifreeze proteins (AFPs). In this study, the draft genomes of six phyllospheric bacteria showing IRI activity were sequenced and annotated according to their functional gene categories. Genome sizes ranged from 5.6 to 6.3 Mbp, and based on sequence analysis of the 16S rRNA genes, five strains were identified as Pseudomonas and one as Janthinobacterium. Interestingly, most strains showed genes associated with PGP traits, such as nutrient uptake (ammonia assimilation, nitrogen fixing, phosphatases, and organic acid production), bioactive metabolites (indole acetic acid and 1-aminocyclopropane-1-carboxylate deaminase), and antimicrobial compounds (hydrogen cyanide and pyoverdine). In relation with IRI activity, a search of putative AFPs using current bioinformatic tools was also carried out. Despite that genes associated with reported AFPs were not found in these genomes, genes connected to ice-nucleation proteins (InaA) were found in all Pseudomonas strains, but not in the Janthinobacterium strain.</t>
  </si>
  <si>
    <t>[Cid, Fernanda P.] Univ La Frontera, Programa Doctorado Ciencias Recursos Nat, Temuco, Chile; [Maruyama, Fumito; Murase, Kazunori] Kyoto Univ, Grad Sch Med, Dept Microbiol, Kyoto, Japan; [Maruyama, Fumito] Japan Int Cooperat Agcy, Japan Sci &amp; Technol Agcy, Sci &amp; Technol Res Partnership Sustainable Dev JST, SATREPS, Tokyo, Japan; [Graether, Steffen P.] Univ Guelph, Dept Mol &amp; Cellular Biol, Guelph, ON, Canada; [Larama, Giovanni] Univ La Frontera, Dept Engn Math, Temuco, Chile; [Bravo, Leon A.] Univ la Frontera, Fac Ciencias Agr &amp; Forestales, Dept Ciencias Agron &amp; Recursos Nat, Temuco, Chile; [Cid, Fernanda P.; Bravo, Leon A.; Jorquera, Milko A.] Univ La Frontera, Sci &amp; Technol Bioresource Nucleus, Temuco, Chile; [Cid, Fernanda P.; Jorquera, Milko A.] Univ La Frontera, Fac Ingn &amp; Ciencias, Dept Ciencias Quim &amp; Recursos Nat, Appl Microbial Ecol Lab, Ave Francisco Salazar 01145, Temuco, Chile</t>
  </si>
  <si>
    <t>Universidad de La Frontera; Kyoto University; Japan Science &amp; Technology Agency (JST); University of Guelph; Universidad de La Frontera; Universidad de La Frontera; Universidad de La Frontera; Universidad de La Frontera</t>
  </si>
  <si>
    <t>Jorquera, MA (corresponding author), Univ La Frontera, Sci &amp; Technol Bioresource Nucleus, Temuco, Chile.;Jorquera, MA (corresponding author), Univ La Frontera, Fac Ingn &amp; Ciencias, Dept Ciencias Quim &amp; Recursos Nat, Appl Microbial Ecol Lab, Ave Francisco Salazar 01145, Temuco, Chile.</t>
  </si>
  <si>
    <t>milko.jorquera@ufrontera.cl</t>
  </si>
  <si>
    <t>Larama, Giovanni/IAN-1822-2023; Bravo, Leon/H-9251-2018; Graether, Steffen P./AFU-0892-2022; Graether, Steffen P./AAR-8849-2021; Jorquera, Milko Alberto/B-7378-2011; Bravo, León/AAO-8437-2020; Maruyama, Fumito/AAK-5928-2020; JORQUERA, MILKO/O-3038-2019; Larama, Giovanni/O-2745-2019</t>
  </si>
  <si>
    <t>Bravo, Leon/0000-0003-4705-4842; Graether, Steffen P./0000-0002-2356-3936; Graether, Steffen P./0000-0002-2356-3936; Bravo, León/0000-0003-4705-4842; Maruyama, Fumito/0000-0003-2347-616X; JORQUERA, MILKO/0000-0003-4760-6379; Larama, Giovanni/0000-0002-9658-7752; Cid Alda, Fernanda del Pilar/0000-0001-7080-4205</t>
  </si>
  <si>
    <t>Chilean Antarctic Institute-INACH [RT_02_16]; National Fund for Scientific and Technological Development-FONDECYT [1160302]; National Commission for Scientific and Technological Research-CONICYT [USA2013-0010]; National Commission for Scientific and Technological Research-CONICYT (MEC) [80140015]; Ministry of Education, Culture, Sports, Science and Technology in Japan; Japan Society for the Promotion of Science [16H05830, 16H05501, 16H01782, 16H02767]; Kurita Water and Environment Foundation; Ichiro Kanehara Foundation; Senri Life Science Foundation Kishimoto Grant; Japan Agency for Medical Research and Development (AMED); National Science and Engineering Research Council of Canada (NSERC); INACH [DT_01-13]; CONICYT [21140534]; MECESUP [FRO1204]; La Frontera University; Grants-in-Aid for Scientific Research [16H02767, 16H05501, 16H05830, 16H01782] Funding Source: KAKEN</t>
  </si>
  <si>
    <t>Chilean Antarctic Institute-INACH; National Fund for Scientific and Technological Development-FONDECYT(Comision Nacional de Investigacion Cientifica y Tecnologica (CONICYT)CONICYT FONDECYT); National Commission for Scientific and Technological Research-CONICYT(Comision Nacional de Investigacion Cientifica y Tecnologica (CONICYT)); National Commission for Scientific and Technological Research-CONICYT (MEC); Ministry of Education, Culture, Sports, Science and Technology in Japan(Ministry of Education, Culture, Sports, Science and Technology, Japan (MEXT)); Japan Society for the Promotion of Science(Ministry of Education, Culture, Sports, Science and Technology, Japan (MEXT)Japan Society for the Promotion of Science); Kurita Water and Environment Foundation(Kurita Water and Environment Foundation); Ichiro Kanehara Foundation; Senri Life Science Foundation Kishimoto Grant; Japan Agency for Medical Research and Development (AMED)(Japan Agency for Medical Research and Development (AMED)); National Science and Engineering Research Council of Canada (NSERC)(Natural Sciences and Engineering Research Council of Canada (NSERC)); INACH; CONICYT(Comision Nacional de Investigacion Cientifica y Tecnologica (CONICYT)); MECESUP; La Frontera University; Grants-in-Aid for Scientific Research(Ministry of Education, Culture, Sports, Science and Technology, Japan (MEXT)Japan Society for the Promotion of ScienceGrants-in-Aid for Scientific Research (KAKENHI))</t>
  </si>
  <si>
    <t>This study was financed with funds from Chilean Antarctic Institute-INACH (code RT_02_16), The National Fund for Scientific and Technological Development-FONDECYT (No. 1160302) and The National Commission for Scientific and Technological Research-CONICYT (Code USA2013-0010 and MEC no. 80140015). This work was supported by the Ministry of Education, Culture, Sports, Science and Technology in Japan or Japan Society for the Promotion of Science under Grants-in-Aid for Scientific Research (KAKENHI) (Grant Numbers 16H05830/16H05501/16H01782/ 16H02767); Kurita Water and Environment Foundation Grant; Ichiro Kanehara Foundation Scholarship Grant for Research in Basic Medical Sciences and Medical Care; Senri Life Science Foundation Kishimoto Grant; and Japan Agency for Medical Research and Development (AMED), and also by National Science and Engineering Research Council of Canada (NSERC). F. Cid thanks to the doctor scholarships awarded by INACH (Code DT_01-13), CONICYT (No. 21140534), MECESUP FRO1204 and La Frontera University.</t>
  </si>
  <si>
    <t>10.1007/s00792-018-1015-x</t>
  </si>
  <si>
    <t>WOS:000428048800016</t>
  </si>
  <si>
    <t>Sweetman, PC; Haddy, JA; Robertson, SG</t>
  </si>
  <si>
    <t>Sweetman, P. C.; Haddy, J. A.; Robertson, S. G.</t>
  </si>
  <si>
    <t>Multi-decadal variation in cohort specific sex ratios and otolith increment growth characteristics of juvenile blue grenadier (Macruronus novaezelandiae)</t>
  </si>
  <si>
    <t>FISHERIES RESEARCH</t>
  </si>
  <si>
    <t>Blue grenadier; Sexual dimorphism; Otolith increments; Sex ratio</t>
  </si>
  <si>
    <t>SOMATIC GROWTH; INTERANNUAL VARIABILITY; FISH GROWTH; TEMPERATURE; POPULATIONS; DENSITY; RATES; SIZE; DIFFERENTIATION; PATTERNS</t>
  </si>
  <si>
    <t>This study presents inter-annual variability of otolith growth from 1993 to 2011 and cohort specific sex ratios from 1976 to 2011 in blue grenadier Macruronus novaezelandiae on the west coast of Tasmania. Length-at-age data highlighted that M. novaezelandiae females grow larger than males with mean length-at-age statistically diverging by three years of age and remaining separated thereafter. Statistical differences in both cumulative, and age specific otolith increment widths-at-age between sexes were detected at earlier ages, but these effects were variable and not consistent with the sexual dimorphism observed for mean length at age. No differences between sexes were evident for the ages 8-14 or 7-11 for cumulative increment widths or age specific otolith increment widths-at-age respectively. Inter-annual variation in mean otolith increment widths for the first five increment zones (juvenile zones) showed a trend of declining increment widths from 2006 to 2010. Inter-annual cohort sex ratio variation across year-of-birth was also significant displaying a similar trend to the first-year otolith increment growth profiles. Regression analysis of birth year sex ratio with mean otolith increment widths indicated a significant negative relationship for first year growth with increasing numbers of male offspring. The inter-annual variation in cohort specific sex ratio suggests that environmental factors may be involved with sex determination. When coupled with climate change these influences could have long term consequences for the fitness of the stock and corresponding flow-on effects into the stock assessment process and future management of the stock.</t>
  </si>
  <si>
    <t>[Sweetman, P. C.; Haddy, J. A.] Inst Marine &amp; Antarctic Studies, Fisheries &amp; Aquaculture, Locked Bag 1370, Launceston, Tas 7250, Australia; [Robertson, S. G.] Fish Ageing Serv, POB 396, Portarlington, Vic 3223, Australia</t>
  </si>
  <si>
    <t>Sweetman, PC (corresponding author), Inst Marine &amp; Antarctic Studies, Fisheries &amp; Aquaculture, Locked Bag 1370, Launceston, Tas 7250, Australia.</t>
  </si>
  <si>
    <t>Philip.Sweetman@utas.edu.au; James.Haddy@utas.edu.au; Simon.Robertson@fishageingservices.com</t>
  </si>
  <si>
    <t>0165-7836</t>
  </si>
  <si>
    <t>1872-6763</t>
  </si>
  <si>
    <t>FISH RES</t>
  </si>
  <si>
    <t>Fish Res.</t>
  </si>
  <si>
    <t>10.1016/j.fishres.2018.01.009</t>
  </si>
  <si>
    <t>Fisheries</t>
  </si>
  <si>
    <t>FZ5XF</t>
  </si>
  <si>
    <t>WOS:000427668900010</t>
  </si>
  <si>
    <t>Krohne, N; Lisker, F; Kleinschmidt, G; Klügel, A; Läufer, A; Estrada, S; Spiegel, C</t>
  </si>
  <si>
    <t>Krohne, Nicole; Lisker, Frank; Kleinschmidt, Georg; Kluegel, Andreas; Laeufer, Andreas; Estrada, Solveig; Spiegel, Cornelia</t>
  </si>
  <si>
    <t>The Shackleton Range (East Antarctica): an alien block at the rim of Gondwana?</t>
  </si>
  <si>
    <t>GEOLOGICAL MAGAZINE</t>
  </si>
  <si>
    <t>thermochronology; palaeosurface; Gondwana break-up; landscape evolution; Ferrar/Karoo volcanism</t>
  </si>
  <si>
    <t>LOW-TEMPERATURE THERMOCHRONOMETRY; WEDDELL SEA EMBAYMENT; TRANSANTARCTIC MOUNTAINS; CRUSTAL STRUCTURE; RADIATION-DAMAGE; HELIUM DIFFUSION; WEST ANTARCTICA; TRIPLE JUNCTION; ICE-SHEET; BASIN</t>
  </si>
  <si>
    <t>The Shackleton Range is a truncated Pan-African Orogen situated at the Weddell Sea margin of East Antarctica. It almost exclusively consists of basement rocks exposed at an elevated, escarpment-bound palaeosurface and is covered locally by patchy remnants of Ordovician, Permian and, controversially, Jurassic terrestrial deposits. This inventory does not match the geological record of any other place in Antarctica. Here we reconstruct the Phanerozoic evolution of the Shackleton Range by means of a multi-disciplinary approach combining petrological, geochemical and geochronological data with thermal history models of zircon and apatite fission track (ZFT, AFT) and (U-Th-Sm)/He (AHe) data. Petrographic, geochemical and 40Ar/39Ar analyses of a sedimentary cover sequence identify volcaniclastic rocks related to the Ferrar/Karoo magmatic event. Thermal history modelling of ZFT ages of 160-215 Ma, AFT ages of 124-225 Ma, AHe ages of 95-169 Ma and kinematic proxies in combination with geological information indicates a complex thermal history comprising at least three cooling episodes interrupted by reheating pulses. Thermal history refers to inversion of part of the Carboniferous-Triassic Transantarctic Basin prior to the 180 Ma Ferrar/Karoo Event and formation of an up to 3.4 km deep extensional Jurassic - Early Cretaceous basin due to Weddell Sea rifting. Basin depth was diminished by regional middle Cretaceous stress field changes. Final basin inversion and surface uplift were likely triggered by far-field tectonics and climatic influence. This history represents a typical example for the transition from an active to passive margin setting along the outer rim of Gondwana.</t>
  </si>
  <si>
    <t>[Krohne, Nicole; Lisker, Frank; Kluegel, Andreas; Spiegel, Cornelia] Univ Bremen, Dept Geosci, POB 330440, D-28334 Bremen, Germany; [Kleinschmidt, Georg] Goethe Univ Frankfurt, Inst Geosci, Altenhoferallee 1, D-60438 Frankfurt, Germany; [Laeufer, Andreas; Estrada, Solveig] Fed Inst Geosci &amp; Nat Resources BGR, Stilleweg 2, D-30655 Hannover, Germany</t>
  </si>
  <si>
    <t>University of Bremen; Goethe University Frankfurt</t>
  </si>
  <si>
    <t>Krohne, N (corresponding author), Univ Bremen, Dept Geosci, POB 330440, D-28334 Bremen, Germany.</t>
  </si>
  <si>
    <t>nicole.krohne@uni-bremen.de</t>
  </si>
  <si>
    <t>Läufer, Andreas/ABC-1465-2020</t>
  </si>
  <si>
    <t>Läufer, Andreas/0000-0003-2219-0450; Spiegel, Cornelia/0000-0002-1432-3447</t>
  </si>
  <si>
    <t>German Research Foundation (DFG) [SPP 1158, LI 745/15, LA 1080/9]</t>
  </si>
  <si>
    <t>German Research Foundation (DFG)(German Research Foundation (DFG))</t>
  </si>
  <si>
    <t>This work was supported by the German Research Foundation (DFG) in the framework of the priority programme SPP 1158 'Antarctic Research with comparative investigations in Arctic ice areas' by grants LI 745/15 to F. Lisker and LA 1080/9 to A. Laufer. U. Schnellbach, M. Olesch and F. Henjes-Kunst collected the rock samples during the GEISHA and EUROSHACK Expeditions of the Federal Institute for Geosciences and Natural Resources (BGR). We thank R.X. Fischer and the crystallography research group of the University of Bremen for XRD analyses. P. Stutz and S. Heidrich (University of Hamburg) are acknowledged for the XRF analysis and Y. Kapusta (Actlabs Canada) for discussions on the Ar/Ar dating results. S. Boger, G. Eagles and W. Jokat are acknowledged for discussions and valuable comments, and M. Studinger for providing aerial photographs of the Shackleton Range. The comments of an anonymous reviewer are greatfully acknowledged. We thank M. Allan for editorial handling.</t>
  </si>
  <si>
    <t>0016-7568</t>
  </si>
  <si>
    <t>1469-5081</t>
  </si>
  <si>
    <t>GEOL MAG</t>
  </si>
  <si>
    <t>Geol. Mag.</t>
  </si>
  <si>
    <t>10.1017/S0016756816001011</t>
  </si>
  <si>
    <t>FY2UH</t>
  </si>
  <si>
    <t>WOS:000426671600004</t>
  </si>
  <si>
    <t>Rodushkin, I; Paulukat, C; Pontér, S; Engström, E; Baxter, DC; Sörlin, D; Pallavicini, N; Rodushkina, K</t>
  </si>
  <si>
    <t>Rodushkin, Ilia; Paulukat, Cora; Ponter, Simon; Engstrom, Emma; Baxter, Douglas C.; Sorlin, Dieke; Pallavicini, Nicola; Rodushkina, Katerina</t>
  </si>
  <si>
    <t>Application of double-focusing sector field ICP-MS for determination of ultratrace constituents in samples characterized by complex composition of the matrix</t>
  </si>
  <si>
    <t>ICP-SFMS; TCE; PGE; Natural waters; Snow; Clinical samples</t>
  </si>
  <si>
    <t>PLASMA-MASS SPECTROMETRY; PLATINUM-GROUP ELEMENTS; RARE-EARTH-ELEMENTS; HEAVY-METALS; TRACE-ELEMENTS; ANTARCTIC ICE; GRAM LEVEL; POLAR ICE; SEA-WATER; SNOW</t>
  </si>
  <si>
    <t>The performance of double focusing, sector fieldmass spectrometry (ICP-SFMS) for determination of analytes, including technology critical elements (TCE), at ultra-trace levels in environmental and clinical matrices was critically evaluated. Different configurations of the ICP-SFMS introduction system as well as various sample preparations, pre-concentration andmatrix separation methods were employed and compared. Factors affecting detection capabilities and accuracy of data produced (instrumental sensitivity, contamination risks, purity of reagents, spectral interferences, matrix effects, analyte recovery and losses) were discussed. Optimized matrixspecific methods were applied to a range of reference and control materials (riverine, brackish and seawaters; whole blood, serumand urine) as well as tap water and snow samples collected in the area of Lulea city, northern Sweden; brackish and seawater from the Laptev Sea; venous blood samples with a special emphasis on determination of Au, Ag, Ir, Os, Pd, Pt, Re, Rh, Ru, Sb and Te. Even though these low abundant elements are relatively under-documented, the results produced were compared with published data, where available. (C) 2017 Elsevier B.V. All rights reserved.</t>
  </si>
  <si>
    <t>[Rodushkin, Ilia; Engstrom, Emma; Pallavicini, Nicola] Lulea Univ Technol, Div Geosci, S-97187 Lulea, Sweden; [Rodushkin, Ilia; Paulukat, Cora; Ponter, Simon; Engstrom, Emma; Baxter, Douglas C.; Sorlin, Dieke; Pallavicini, Nicola] ALS Scandinavia AB, ALS Lab Grp, Aurorum 10, S-97775 Lulea, Sweden; [Rodushkina, Katerina] Uppsala Univ, Dept Chem, Uppsala, Sweden</t>
  </si>
  <si>
    <t>Lulea University of Technology; Uppsala University</t>
  </si>
  <si>
    <t>Pontér, S (corresponding author), ALS Scandinavia AB, ALS Lab Grp, Aurorum 10, S-97775 Lulea, Sweden.</t>
  </si>
  <si>
    <t>simon.ponter@alsglobal.com</t>
  </si>
  <si>
    <t>Rodushkin, Ilia/JCF-0972-2023; Rodiouchkina, Katerina/HGD-6493-2022; Paulukat, Cora/D-9064-2015</t>
  </si>
  <si>
    <t>Rodushkin, Ilia/0000-0003-4505-4590; Rodiouchkina, Katerina/0000-0002-9986-2166; Paulukat, Cora/0000-0002-3241-7818</t>
  </si>
  <si>
    <t>10.1016/j.scitotenv.2017.11.288</t>
  </si>
  <si>
    <t>FX8MN</t>
  </si>
  <si>
    <t>WOS:000426349000023</t>
  </si>
  <si>
    <t>Broadley, A; Kauschke, E; Mohrig, W</t>
  </si>
  <si>
    <t>Broadley, Adam; Kauschke, Ellen; Mohrig, Werner</t>
  </si>
  <si>
    <t>Black fungus gnats (Diptera: Sciaridae) found in association with cultivated plants and mushrooms in Australia, with notes on cosmopolitan pest species and biosecurity interceptions</t>
  </si>
  <si>
    <t>ZOOTAXA</t>
  </si>
  <si>
    <t>Biosecurity; fungi; glasshouse; greenhouse; Hawaii; identification; key; Kerguelen Islands; Macquarie Island; new combination; new synonyms; nurseries; new species; quarantine; pest; sciarid taxonomy; zoogeography</t>
  </si>
  <si>
    <t>BRADYSIA-OCELLARIS COMSTOCK; FREY; REDESCRIPTION; MANAGEMENT; DISPERSAL; WINNERTZ; DAMAGE; FLIES; GENUS</t>
  </si>
  <si>
    <t>Male sciarids collected in Australia from inside post-entry quarantine and domestic greenhouses and from vegetable gardens and various plants, were slide mounted and identified. Specimens intercepted during on-arrival biosecurity inspections of imported nursery stock plants were also examined, and the New South Wales Department of Primary Industries collection of slide-mounted Sciaridae was reviewed. Plant and mushroom pest species that are present in Australia are Bradysia impatiens (Johannsen), B. ocellaris (Comstock), Lycoriella agraria (Felt), L. ingenua (Dufour) = Sciara womersleyi Seguy, 1940 syn. n., L. sativae (Johannsen) = Sciara auberti Seguy, 1940 syn. n., Sciara jeanneli Seguy, 1940 syn. n., Sciara solispina Hardy, 1956 syn. n., and Cosmosciara hartii (Johannsen, 1912) comb. n. = Plastosciara perniciosa Edwards, 1922 syn. n. The last species is a new record for Australia. Bradysia tilicola (Loew) and Pnyxia scabiei (Hopkins) are potential pest species, but they have not been reported yet from Australia. An identification key to enable separation of the pest species is provided. Species with uncertain connections to plant and mushroom cultures are B. pallipes (Fabricius), B. strenua (Winnertz, 1867) = B. watsoni Colless, 1962 syn. n., Corynoptera concinna (Winnertz), (all three species are new records for the Australian mainland) and Hyperlasion aliens Mohrig (a new record for Tasmania). Bradysia spatitergum (Hardy) and Scatopsciara atomaria (Zetterstedt) were intercepted during the on-arrival biosecurity inspections of live plants imported from China and Canada respectively. Both species are widespread overseas but are not known to occur in Australia.</t>
  </si>
  <si>
    <t>[Broadley, Adam] Dept Agr &amp; Water Resources, POB 1006, Tullamarine, Vic 3043, Australia; [Kauschke, Ellen] Justus Liebig Univ Giessen, Inst Zool, Stephanstr 24, D-35390 Giessen, Germany; [Mohrig, Werner] Puddemin 6, D-18574 Poseritz Rugen, Germany</t>
  </si>
  <si>
    <t>Justus Liebig University Giessen</t>
  </si>
  <si>
    <t>Broadley, A (corresponding author), Dept Agr &amp; Water Resources, POB 1006, Tullamarine, Vic 3043, Australia.</t>
  </si>
  <si>
    <t>adam.broadley@agriculture.gov.au; Ellen.Kauschke@allzool.bio.uni-giessen.de; wmohrig@hotmail.com</t>
  </si>
  <si>
    <t>Centre for Biodiversity Genomics, University of Guelph, Canada [2017-103]</t>
  </si>
  <si>
    <t>Centre for Biodiversity Genomics, University of Guelph, Canada</t>
  </si>
  <si>
    <t>We thank Peter Gillespie and Birgit Loecker of the New South Wales Department of Primary Industries, for kindly arranging the loan of the slide collection (Loan No. 365). The following people helped with the collection of specimens from greenhouses: David Robbins and Peter Symes of the Royal Botanic Gardens Melbourne; Mary Finlay-Doney, Northern Territory Department of Primary Industry and Resources; Andrew Manners, Justin Bartlett, Dean Beasley and Sarah Corcoran of the Department of Agriculture, Fisheries and Forestry, Queensland; Mark Blacket and Mallik Malipatil, Agriculture Victoria (Loan No. VAIC-2014-03); Lionel Hill, Jamie Davies, Guy Westmore, Graeme Anderson of the Department of Primary Industries, Parks, Water &amp; Environment, Tasmania (Loan No. 442004) and Natalie Tapson, Royal Tasmanian Botanical Gardens. We thank Alan Landford (ANIC) for the loan of the Bradysia watsoni paratypes (ANIC-00732), Peter Hudson (South Australian Museum) for the loan of a Bradysia watsoni specimen (Loan No. 20161207) and the Sciara womersleyi syntypes, and Jim Boone and Neal Evenhuis (Bernice Pauahi Bishop Museum, Hawaii) for the loan of the Sciara solispina holotype. We also thank Melissa Houghton of the Australian Antarctic Division for her efforts in collecting specimens from Macquarie Island. Thanks also to Valerie Levesque-Beaudin, Centre for Biodiversity Genomics, University of Guelph, Canada, for the loan of Australian Sciaridae material acquired through the Global Malaise Program (Transaction 2017-103). We also thank the following staff of the Australian Government Department of Agriculture and Water Resources who provided assistance and support: Bill Crowe, Andrew Tomkins, Mark Whattam, Ben Boyd, Graham Teakle, Thomas Wallenius, Champa Rajapakse, Luke Halling, Elaine Tou, Luke Watson, Kate Sparks, Luke Sullivan, Leanne Woodward, Ross Rickard, Jacqui Otley, Nathan Luke, Reinaldo Vong. Thanks also to Dr Frank Menzel, Germany, for providing helpful comments on the manuscript and the determination of B. strenua and C. concinna, and Ann Stocker (University of Melbourne) for helpful feedback regarding B. tilicola.</t>
  </si>
  <si>
    <t>1175-5326</t>
  </si>
  <si>
    <t>1175-5334</t>
  </si>
  <si>
    <t>Zootaxa</t>
  </si>
  <si>
    <t>APR 30</t>
  </si>
  <si>
    <t>10.11646/zootaxa.4415.2.1</t>
  </si>
  <si>
    <t>GE6SD</t>
  </si>
  <si>
    <t>WOS:000431358500001</t>
  </si>
  <si>
    <t>Millar, CI; Delany, DL; Hersey, KA; Jeffres, MR; Smit, AT; Van Gunst, KJ; Westfall, RD</t>
  </si>
  <si>
    <t>Millar, Constance, I; Delany, Diane L.; Hersey, Kimberly A.; Jeffres, Mackenzie R.; Smit, Andrew T.; Van Gunst, K. Jane; Westfall, Robert D.</t>
  </si>
  <si>
    <t>Distribution, climatic relationships, and status of American pikas (Ochotona princeps) in the Great Basin, USA</t>
  </si>
  <si>
    <t>American pika; climate change; Great Basin; geographic distribution; Ochotona princeps; population extirpation; population occurrence</t>
  </si>
  <si>
    <t>POPULATIONS; TEMPERATURE; LAGOMORPHA; PATTERNS; NEVADA; SITES</t>
  </si>
  <si>
    <t>To advance understanding of the distribution, climatic relationships, and status of American pikas (Ochotona princeps) in the Great Basin, United States, we compiled 2,387 records of extant pika sites surveyed since 2005,89 records of documented extirpated sites (resurvey of historic sites), and 774 records of sites with old sign only. Extant sites extended across five degrees latitude and ten degrees longitude, encompassed six subregions, traversed forty mountain ranges, spanned 2,378 m in elevation (1,631-4,009 m), and comprised three of five currently described pika subspecies. A climate envelope for extant sites using the PRISM climate model expands the range of temperature and precipitation values that have been previously described. Extirpated and old-sign sites were mostly found within the geographic and climatic space of extant sites, but often in warmer and drier portions. Considerable overlap of extirpated, old, and extant groups within the same climate space suggests that nonclimatic factors have also contributed to population losses. The broad distribution and enlarged climate envelope of extant pika sites indicate that despite some localized extirpations, pika populations are persisting across Great Basin mountains, and appear to be able to tolerate a broader set of habitat conditions than previously understood.</t>
  </si>
  <si>
    <t>[Millar, Constance, I; Delany, Diane L.; Westfall, Robert D.] US Forest Serv, USDA, Pacific Southwest Res Stn, Albany, CA 94710 USA; [Hersey, Kimberly A.] Utah Div Wildlife, Salt Lake City, UT USA; [Jeffres, Mackenzie R.] Nevada Dept Wildlife, Elko, NV USA; [Smit, Andrew T.] Arizona State Univ, Sch Life Sci, Tempe, AZ USA; [Van Gunst, K. Jane] Nevada Dept Wildlife, Winnemucca, NV USA</t>
  </si>
  <si>
    <t>United States Department of Agriculture (USDA); United States Forest Service; Arizona State University; Arizona State University-Tempe</t>
  </si>
  <si>
    <t>Millar, CI (corresponding author), US Forest Serv, USDA, Pacific Southwest Res Stn, Albany, CA 94710 USA.</t>
  </si>
  <si>
    <t>cmillar@fs.fed.us</t>
  </si>
  <si>
    <t>e1436296</t>
  </si>
  <si>
    <t>10.1080/15230430.2018.1436296</t>
  </si>
  <si>
    <t>GN1FB</t>
  </si>
  <si>
    <t>WOS:000438730300001</t>
  </si>
  <si>
    <t>Darelius, E; Sallée, JB</t>
  </si>
  <si>
    <t>Darelius, E.; Sallee, J. B.</t>
  </si>
  <si>
    <t>Seasonal Outflow of Ice ShelfWater Across the Front of the Filchner Ice Shelf, Weddell Sea, Antarctica</t>
  </si>
  <si>
    <t>WATER MASS MODIFICATION; RONNE ICE; CONTINENTAL-SHELF; CIRCULATION; OCEAN; OVERFLOW; ADJACENT; DRIVEN; MODEL</t>
  </si>
  <si>
    <t>The ice shelf water (ISW) found in the Filchner Trough, located in the southern Weddell Sea, Antarctica, is climatically important; it descends into the deep Weddell Sea contributing to bottom water formation, and it blocks warm off-shelf waters from accessing the Filchner ice shelf cavity. Yet the circulation of ISW within the Filchner Trough and the processes determining its exchange across the ice shelf front are to a large degree unknown. Here mooring records from the ice shelf front are presented, the longest of which is 4 years long. They show that the coldest (T = -2.3 degrees C) ISW, which originates from the Ronne Trough in the west, exits the cavity across the western part of the ice shelf front during late austral summer and early autumn. The supercooled ISW escaping the cavity flows northward with a velocity of about 0.03 m/s. During the rest of the year, there is no outflow at the western site: the current is directed eastward, parallel to the ice shelf front, and the temperatures at the mooring site are slightly higher (T = -2.0 degrees C). The eastern records show a more persistent outflow of ISW. Plain Language Summary Antarctica is surrounded by large, floating ice shelves covering vast ice shelf cavities that are filled with sea water. The circulation of water within the cavity brings heat toward the ice shelf base, which causes the ice shelves to melt from below. To understand the future evolution of the Antarctic ice shelves and the ice sheet upstream, we need to understand the physics governing the sub-ice shelf circulation and the processes determining the heat transport across the ice shelf front. Here we present mooring records from the front of the Filchner ice shelf in the Weddell Sea, Antarctica. The unique records show that there is a seasonal outflow of water that has been cooled down below the surface freezing point temperature through interaction with the glacial ice, across the western part of the front. The outflow across the eastern part of the front is stronger, more persistent, and slightly warmer. It is hypothesized that the seasonality in the western outflow is caused by changes in the stratification. The findings reopens the question about the potential blocking effect caused by the large step in bathymetry effectuated by the ice shelf front.</t>
  </si>
  <si>
    <t>[Darelius, E.] Univ Bergen, Geophys Inst, Bergen, Norway; [Darelius, E.] Bjerknes Ctr Climate Res, Bergen, Norway; [Sallee, J. B.] Sorbonne Univ, CNRS, LOCEAN, Paris, France</t>
  </si>
  <si>
    <t>University of Bergen; Bjerknes Centre for Climate Research; Centre National de la Recherche Scientifique (CNRS); Sorbonne Universite; Museum National d'Histoire Naturelle (MNHN)</t>
  </si>
  <si>
    <t>Darelius, E (corresponding author), Univ Bergen, Geophys Inst, Bergen, Norway.;Darelius, E (corresponding author), Bjerknes Ctr Climate Res, Bergen, Norway.</t>
  </si>
  <si>
    <t>elin.darelius@uib.no</t>
  </si>
  <si>
    <t>SALLEE, Jean baptiste/HDO-5355-2022; SALLEE, Jean baptiste/A-5837-2010; Darelius, Elin/O-4096-2015</t>
  </si>
  <si>
    <t>SALLEE, Jean baptiste/0000-0002-6109-5176; Darelius, Elin/0000-0003-3060-0317</t>
  </si>
  <si>
    <t>project obsFRIS (Polarprog, Norges Forskningsrad); FRINATEK, Norges Forskningsrad [WARM 23149]; European Research Council (ERC) under the European Union's Horizon 2020 research and innovation program [637770]</t>
  </si>
  <si>
    <t>project obsFRIS (Polarprog, Norges Forskningsrad); FRINATEK, Norges Forskningsrad; European Research Council (ERC) under the European Union's Horizon 2020 research and innovation program(European Research Council (ERC))</t>
  </si>
  <si>
    <t>The authors are thankful to H. Bryhni, M. Jensen, K. Vaage, M. Schroder, S. Osterhus, S. Semper, H. LeGoff, A. Laurenzo, V. Tallaindaier, P. Lazeravitchthe, and the crew of RRS Ernest Shackleton (ES060), Polarstern (PS82), and RRS James Clark Ross (JC16004) for assistance with mooring and CTD work. Comments from H. Hellmer (AWI), K. Makinson (BAS), and two anonymous reviewers on earlier versions of the manuscript were greatly appreciated. E. D. received funding from the projects obsFRIS (Polarprog, Norges Forskningsrad) and WARM 23149 (FRINATEK, Norges Forskningsrad). J. B. S. has received funding from the European Research Council (ERC) under the European Union's Horizon 2020 research and innovation program (grant agreement 637770). Mooring data (Darelius &amp; Fer, 2017; Darelius et al., 2018) and CTD data (Darelius &amp; Fer, 2015) can be obtained from www.pangea.de. CTD data from 2017 (Sallee, 2018) can be obtained from www.seanoe.org.</t>
  </si>
  <si>
    <t>APR 28</t>
  </si>
  <si>
    <t>10.1002/2017GL076320</t>
  </si>
  <si>
    <t>GJ9SQ</t>
  </si>
  <si>
    <t>WOS:000435745500030</t>
  </si>
  <si>
    <t>Anderson, JG; Clapp, CE</t>
  </si>
  <si>
    <t>Anderson, J. G.; Clapp, C. E.</t>
  </si>
  <si>
    <t>Coupling free radical catalysis, climate change, and human health</t>
  </si>
  <si>
    <t>PHYSICAL CHEMISTRY CHEMICAL PHYSICS</t>
  </si>
  <si>
    <t>IN-SITU MEASUREMENTS; STRATOSPHERIC WATER-VAPOR; ARCTIC POLAR VORTEX; OZONE DEPLETION; ULTRAVIOLET-RADIATION; ANTARCTIC OZONE; CHLORINE; MODEL; TEMPERATURE; CONVECTION</t>
  </si>
  <si>
    <t>We present the chain of mechanisms linking free radical catalytic loss of stratospheric ozone, specifically over the central United States in summer, to increased climate forcing by CO2 and CH4 from fossil fuel use. This case directly engages detailed knowledge, emerging from in situ aircraft observations over the polar regions in winter, defining the temperature and water vapor dependence of the kinetics of heterogeneous catalytic conversion of inorganic chlorine (HCl and ClONO2) to free radical form (ClO). Analysis is placed in the context of irreversible changes to specific subsystems of the climate, most notably coupled feedbacks that link rapid changes in the Arctic with the discovery that convective storms over the central US in summer both suppress temperatures and inject water vapor deep into the stratosphere. This places the lower stratosphere over the US in summer within the same photochemical catalytic domain as the lower stratosphere of the Arctic in winter engaging the risk of amplifying the rate limiting step in the ClO dimer catalytic mechanism by some six orders of magnitude. This transitions the catalytic loss rate of ozone in lower stratosphere over the United States in summer from HOx radical control to ClOx radical control, increasing the overall ozone loss rate by some two orders of magnitude over that of the unperturbed state. Thus we address, through a combination of observations and modeling, the mechanistic foundation defining why stratospheric ozone, vulnerable to increased climate forcing, is one of the most delicate aspects of habitability on the planet.</t>
  </si>
  <si>
    <t>[Anderson, J. G.; Clapp, C. E.] Harvard Univ, Dept Chem &amp; Chem Biol, Cambridge, MA 02138 USA; [Anderson, J. G.] Harvard Univ, John A Paulson Sch Engn &amp; Appl Sci, Cambridge, MA 02138 USA; [Anderson, J. G.] Harvard Univ, Dept Earth &amp; Planetary Sci, 20 Oxford St, Cambridge, MA 02138 USA</t>
  </si>
  <si>
    <t>Harvard University; Harvard University; Harvard University</t>
  </si>
  <si>
    <t>Anderson, JG (corresponding author), Harvard Univ, Dept Chem &amp; Chem Biol, Cambridge, MA 02138 USA.;Anderson, JG (corresponding author), Harvard Univ, John A Paulson Sch Engn &amp; Appl Sci, Cambridge, MA 02138 USA.;Anderson, JG (corresponding author), Harvard Univ, Dept Earth &amp; Planetary Sci, 20 Oxford St, Cambridge, MA 02138 USA.</t>
  </si>
  <si>
    <t>anderson@huarp.harvard.edu</t>
  </si>
  <si>
    <t>National Aeronautics and Space Administration (NASA) [NNX15AF60G, NNX15AD87G]; National Science Foundation (NSF) Arctic Observing Network (AON) Program under NSF [1203583]; Office of Polar Programs (OPP); Directorate For Geosciences [1203583] Funding Source: National Science Foundation</t>
  </si>
  <si>
    <t>National Aeronautics and Space Administration (NASA)(National Aeronautics &amp; Space Administration (NASA)); National Science Foundation (NSF) Arctic Observing Network (AON) Program under NSF(National Science Foundation (NSF)); Office of Polar Programs (OPP); Directorate For Geosciences(National Science Foundation (NSF)NSF - Directorate for Geosciences (GEO))</t>
  </si>
  <si>
    <t>This work has been supported by the National Aeronautics and Space Administration (NASA) under NASA award numbers NNX15AF60G (UV Absorption Cross Sections and Equilibrium Constant of ClOOCl Determined from New Laboratory Spectroscopy Studies of ClOOCl and ClO) and NNX15AD87G (New Laboratory Bromine Kinetics for Improving Models and Projections of Stratospheric Ozone), and a grant from the National Science Foundation (NSF) Arctic Observing Network (AON) Program under NSF award number 1203583 (Collaborative Research: Multi- Regional Scale Aircraft Observations of Methane and Carbon Dioxide Isotopic Fluxes in the Arctic).</t>
  </si>
  <si>
    <t>ROYAL SOC CHEMISTRY</t>
  </si>
  <si>
    <t>THOMAS GRAHAM HOUSE, SCIENCE PARK, MILTON RD, CAMBRIDGE CB4 0WF, CAMBS, ENGLAND</t>
  </si>
  <si>
    <t>1463-9076</t>
  </si>
  <si>
    <t>1463-9084</t>
  </si>
  <si>
    <t>PHYS CHEM CHEM PHYS</t>
  </si>
  <si>
    <t>Phys. Chem. Chem. Phys.</t>
  </si>
  <si>
    <t>10.1039/c7cp08331a</t>
  </si>
  <si>
    <t>Chemistry, Physical; Physics, Atomic, Molecular &amp; Chemical</t>
  </si>
  <si>
    <t>Chemistry; Physics</t>
  </si>
  <si>
    <t>GF3CI</t>
  </si>
  <si>
    <t>WOS:000431821800002</t>
  </si>
  <si>
    <t>Bozkurt, D; Rondanelli, R; Marín, JC; Garreaud, R</t>
  </si>
  <si>
    <t>Bozkurt, D.; Rondanelli, R.; Marin, J. C.; Garreaud, R.</t>
  </si>
  <si>
    <t>Foehn Event Triggered by an Atmospheric River Underlies Record-Setting Temperature Along Continental Antarctica</t>
  </si>
  <si>
    <t>foehn wind; extreme high temperature; atmospheric river; climate variability; meteorology; regional climate modeling</t>
  </si>
  <si>
    <t>CLIMATE MODEL REGCM2; MCMURDO DRY VALLEYS; RADIATIVE-TRANSFER; MARCH 2015; PENINSULA; PRECIPITATION; ICE; WINDS; REPRESENTATION; ASSIMILATION</t>
  </si>
  <si>
    <t>A record-setting temperature of 17.5 degrees C occurred on 24 March 2015 at the Esperanza station located near the northern tip of the Antarctic Peninsula (AP). We studied the event using surface station data, satellite imagery, reanalysis data, and numerical simulations. The Moderate Resolution Imaging Spectroradiometer Antarctic Ice Shelf Image Archive provides clear evidence for disintegration and advection of sea ice, as well as the formation of melt ponds on the ice sheet surface at the base of the AP mountain range. A deep low-pressure center over the Amundsen-Bellingshausen Sea and a blocking ridge over the southeast Pacific provided favorable conditions for the development of an atmospheric river with a northwest-southeast orientation, directing warm and moist air toward the AP, and triggering a widespread foehn episode. A control simulation using a regional climate model shows the existence of local topographically induced warming along the northern tip of the AP (approximate to 60% of the full temperature signal) and the central part of the eastern AP (&gt;90% of the full temperature signal) with respect to a simulation without topography. These modeling results suggest that more than half of the warming experienced at Esperanza can be attributed to the foehn effect (a local process), rather than to the large-scale advection of warm air from the midlatitudes. Nevertheless, the local foehn effect also has a large-scale advection component, since the atmospheric river provides water vapor for orographic precipitation enhancement and latent heat release, which makes it difficult to completely disentangle the role of local versus large-scale processes in explaining the extreme event.</t>
  </si>
  <si>
    <t>[Bozkurt, D.; Rondanelli, R.; Garreaud, R.] Univ Chile, Ctr Climate &amp; Resilience Res, Santiago, Chile; [Rondanelli, R.] Univ Chile, Dept Geophys, Santiago, Chile; [Marin, J. C.] Univ Valparaiso, Dept Meteorol, Valparaiso, Chile; [Marin, J. C.] Univ Valparaiso, Interdisciplinary Ctr Atmospher &amp; Astrostat Studi, Valparaiso, Chile</t>
  </si>
  <si>
    <t>Universidad de Chile; Universidad de Chile; Universidad de Valparaiso; Universidad de Valparaiso</t>
  </si>
  <si>
    <t>Bozkurt, D (corresponding author), Univ Chile, Ctr Climate &amp; Resilience Res, Santiago, Chile.</t>
  </si>
  <si>
    <t>dbozkurt@dgf.uchile.cl</t>
  </si>
  <si>
    <t>Bozkurt, Deniz/C-9797-2013; Garreaud, Rene/I-6298-2016; Bozkurt, Deniz/AAC-4563-2021; Garreaud, Rene/JFS-4440-2023; Rondanelli, Roberto/A-4717-2012; Marin, Julio/HZJ-5354-2023</t>
  </si>
  <si>
    <t>Garreaud, Rene/0000-0002-7875-2443; Bozkurt, Deniz/0000-0003-1021-8241; Rondanelli, Roberto/0000-0002-7440-7810; Marin, Julio/0000-0001-8112-722X</t>
  </si>
  <si>
    <t>FONDAP/CONICYT Chile [15110009-CR2]; Scientific Committee on Antarctic Research (SCAR); University of Wisconsin-Madison Antarctic Meteorological Research Center for the data set, data display, and information (NSF grant) [ANT-1535632]; NLHPC [ECM-02]</t>
  </si>
  <si>
    <t>FONDAP/CONICYT Chile(Comision Nacional de Investigacion Cientifica y Tecnologica (CONICYT)CONICYT FONDAP); Scientific Committee on Antarctic Research (SCAR); University of Wisconsin-Madison Antarctic Meteorological Research Center for the data set, data display, and information (NSF grant); NLHPC</t>
  </si>
  <si>
    <t>This study was supported by FONDAP/CONICYT Chile (grant 15110009-CR2). Deniz Bozkurt acknowledges the Scientific Committee on Antarctic Research (SCAR) for travel funding to the 12th Workshop on Antarctic Meteorology and Climate (WAMC) workshop as well as the Year of Polar Prediction in the Southern Hemisphere (YOPP-SH) meeting at NCAR, Boulder, Colorado, USA, between 26 and 29 June 2017. Deniz Bozkurt also acknowledges David Bromwich and the organizers and participants of the meetings for their valuable feedback on this study. The authors are grateful to the British Antarctic Survey that provides the SCAR meteorological data used in this study. Both surface and upper air data are available at ftp://ftp.bas.ac.uk/src/SCAR_EGOMA/. The GHCN data are available at the Chilean Climate Explorer's website (http://explorador.cr2.cl). The authors appreciate the support of the University of Wisconsin-Madison Antarctic Meteorological Research Center for the data set, data display, and information (NSF grant ANT-1535632, data available at ftp://amrc.ssec.wisc.edu/archive/2015/). The authors also are grateful to the National Snow and Ice Data Center (NSIDC) for providing the MODIS Antarctic Ice Shelf Image Archive, available at https://nsidc.org/data/iceshelves_images/. We thank Valeria Rudloff for compiling surface precipitation data over Antarctica. Deniz Bozkurt benefited from useful discussions with Maximiliano Viale on atmospheric rivers, blocking, and stability. Deniz Bozkurt also thanks to Eurasia Institute of Earth Sciences and Polar Research Center at Istanbul Technical University for their logistical support during the visit to Turkey. Powered@NLHPC: This research was supported by the supercomputing infrastructure of the NLHPC (ECM-02). We are grateful to Irina Gorodetskaya and two anonymous referees for their constructive and helpful comments which helped to improve the manuscript.</t>
  </si>
  <si>
    <t>APR 27</t>
  </si>
  <si>
    <t>10.1002/2017JD027796</t>
  </si>
  <si>
    <t>GH0DC</t>
  </si>
  <si>
    <t>WOS:000433071200003</t>
  </si>
  <si>
    <t>Gasiorek, P; Stec, D; Morek, W; Michalczyk, L</t>
  </si>
  <si>
    <t>Gasiorek, Piotr; Stec, Daniel; Morek, Witold; Michalczyk, Lukasz</t>
  </si>
  <si>
    <t>An integrative redescription of Hypsibius dujardini (Doyere, 1840), the nominal taxon for Hypsibioidea (Tardigrada: Eutardigrada)</t>
  </si>
  <si>
    <t>Hypsibiidae; Hypsibiinae; H. exemplaris sp nov.; H. fuhrmanni; model organism; polyphyly; Ramazzottius arcticus comb. nov.; R. conifer comb. nov.; Z151 strain</t>
  </si>
  <si>
    <t>HORIZONTAL GENE-TRANSFER; ANNOTATED ZOOGEOGRAPHY; SOUTH-AMERICA; ZETLANDICUS EUTARDIGRADA; ACUTUNCUS-ANTARCTICUS; MOLECULAR PHYLOGENY; PHYLUM TARDIGRADA; HUFELANDI GROUP; NORTH-AMERICA; DNA</t>
  </si>
  <si>
    <t>A laboratory strain identified as Hypsibius dujardini is one of the best studied tardigrade strains: it is widely used as a model organism in a variety of research projects, ranging from developmental and evolutionary biology through physiology and anatomy to astrobiology. Hypsibius dujardini, originally described from the Ile-de-France by Doyere in the first half of the 19th century, is now the nominal species for the superfamily Hypsibioidea. The species was traditionally considered cosmopolitan despite the fact that insufficient, old and sometimes contradictory descriptions and records prevented adequate delineations of similar Hypsibius species. As a consequence, H. dujardini appeared to occur globally, from Norway to Samoa. In this paper, we provide the first integrated taxonomic redescription of H. dujardini. In addition to classic imaging by light microscopy and a comprehensive morphometric dataset, we present scanning electron photomicrographs, and DNA sequences for three nuclear markers (18S rRNA, 28S rRNA, ITS-2) and one mitochondrial marker (COI) that are characterised by various mutation rates. The results of our study reveal that a commercially available strain that is maintained in many laboratories throughout the world, and assumed to represent H. dujardini sensu stricto, represents, in fact, a new species: H. exemplaris sp. nov. Redescribing the nominal taxon for Hypsibiidae, we also redefine the family and amend the definitions of the subfamily Hypsibiinae and the genus Hypsibius. Moreover, we transfer H. arcticus (Murray, 1907) and Hypsibius conifer Mihelcic, 1938 to the genus Ramazzottius since the species exhibit claws and eggs of the Ramazzottius type. Finally, we designate H. fuhrmanni as subjectively invalid because the extremely poor description precludes identifying neotype material.</t>
  </si>
  <si>
    <t>[Gasiorek, Piotr; Stec, Daniel; Morek, Witold; Michalczyk, Lukasz] Jagiellonian Univ, Inst Zool &amp; Biomed Res, Gronostajowa 9, PL-30387 Krakow, Poland</t>
  </si>
  <si>
    <t>Jagiellonian University</t>
  </si>
  <si>
    <t>Michalczyk, L (corresponding author), Jagiellonian Univ, Inst Zool &amp; Biomed Res, Gronostajowa 9, PL-30387 Krakow, Poland.</t>
  </si>
  <si>
    <t>LM@tardigrada.net</t>
  </si>
  <si>
    <t>Stec, Daniel/AAL-3532-2020; Gąsiorek, Piotr/L-3152-2017; Michalczyk, Lukasz/D-1362-2009</t>
  </si>
  <si>
    <t>Gąsiorek, Piotr/0000-0002-2814-8117; Michalczyk, Lukasz/0000-0002-2912-4870; Stec, Daniel/0000-0001-6876-0717; Morek, Witold/0000-0003-3547-9755</t>
  </si>
  <si>
    <t>Polish National Science Centre via the Sonata Bis programme [2016/22/E/NZ8/00417]; Jagiellonian University [K/ZDS/007357]</t>
  </si>
  <si>
    <t>Polish National Science Centre via the Sonata Bis programme; Jagiellonian University</t>
  </si>
  <si>
    <t>We are grateful to Brian Blagden (Scottish Environment Protection Agency, UK) for sending slides with R. cf. conifer and Genowefa Przybycien (Poland) is acknowledged for sampling in Kamienna Gora. We would also like to thank Bob McNuff (Sciento, UK) and Professor Bob Goldstein (University of North Carolina at Chapel Hill, USA) for their his comments on a draft of the manuscript. Moreover, we are grateful to Zootaxa Associate Editor, Dr. Sandra McInnes (British Antarctic Survey, UK), and anonymous reviewers for their comments and suggestions that improved our manuscript. The study was supported by the Polish National Science Centre via the Sonata Bis programme (grant no. 2016/22/E/NZ8/00417 awarded to LM) and by the Jagiellonian University (subsidy no. K/ZDS/007357).</t>
  </si>
  <si>
    <t>10.11646/zootaxa.4415.1.2</t>
  </si>
  <si>
    <t>GE6RU</t>
  </si>
  <si>
    <t>WOS:000431357600002</t>
  </si>
  <si>
    <t>Hackerott, JA; Pezzi, LP; Paskyabi, MB; Oliveira, AP; Reuder, J; de Souza, RB; de Camargo, R</t>
  </si>
  <si>
    <t>Hackerott, J. A.; Pezzi, L. P.; Paskyabi, M. Bakhoday; Oliveira, A. P.; Reuder, J.; de Souza, R. B.; de Camargo, R.</t>
  </si>
  <si>
    <t>The Role of Roughness and Stability on the Momentum Flux in the Marine Atmospheric Surface Layer: A Study on the Southwestern Atlantic Ocean</t>
  </si>
  <si>
    <t>Brazil-Malvinas Confluence region; Marine Atmospheric Surface Layer; wave-induced roughness layer; air-sea interaction; turbulent kinetic energy budget; eddy covariance</t>
  </si>
  <si>
    <t>BRAZILIAN CONTINENTAL-SHELF; MONIN-OBUKHOV SIMILARITY; TURBULENT KINETIC-ENERGY; IN-SITU OBSERVATIONS; AIR-SEA INTERACTION; BOUNDARY-LAYER; WAVES; WIND; DISSIPATION; FLOW</t>
  </si>
  <si>
    <t>For the first time, in situ turbulence measurements collected in the vicinity of the Brazil-Malvinas Confluence are used to determine the influence of the ocean waves and atmospheric stability on the Marine Atmospheric Surface Layer. From the analysis of 187 high-frequency sampled segments of temperature and wind velocity, carefully selected from three ship campaigns of the Air-Sea Interaction at Brazil-Malvinas Confluence project, we found a particular behavior of the drag coefficient, with a negative trend for a calm wind speed up to 10m/s when the significant wave height was lower than 2.5m, and a continuous decrease of the drag coefficient with increasing wind speed for significant wave height higher than 2.5m. The results suggest that waves act as roughness elements during high wave conditions, inducing a zero-plane displacement in the order of 0.1 to 1m as an indication for a wave-induced roughness layer. In addition, the analysis of the turbulent kinetic energy (TKE) budget indicates the occurrence of upward TKE transport mainly during stable conditions, while the general patterns of transport and dissipation of TKE are similar to observations taken over land surfaces.</t>
  </si>
  <si>
    <t>[Hackerott, J. A.; Oliveira, A. P.; de Camargo, R.] Univ Sao Paulo, Inst Astron Geophys &amp; Atmospher Sci, Sao Paulo, Brazil; [Pezzi, L. P.] Natl Inst Space Res, Earth Observat Gen Coordinat, Sao Jose Dos Campos, Brazil; [Paskyabi, M. Bakhoday] Nansen Environm &amp; Remote Sensing Ctr, Bergen, Norway; [Paskyabi, M. Bakhoday; Reuder, J.] Bjerknes Ctr Climate Res, Bergen, Norway; [Reuder, J.] Univ Bergen, Geophys Inst, Bergen, Norway; [de Souza, R. B.] Natl Inst Space Res, Southern Reg Ctr Space Res, Santa Maria, RS, Brazil</t>
  </si>
  <si>
    <t>Universidade de Sao Paulo; Instituto Nacional de Pesquisas Espaciais (INPE); Nansen Environmental &amp; Remote Sensing Center (NERSC); Bjerknes Centre for Climate Research; University of Bergen; Instituto Nacional de Pesquisas Espaciais (INPE)</t>
  </si>
  <si>
    <t>Hackerott, JA (corresponding author), Univ Sao Paulo, Inst Astron Geophys &amp; Atmospher Sci, Sao Paulo, Brazil.</t>
  </si>
  <si>
    <t>joao.hackerott@gmail.com</t>
  </si>
  <si>
    <t>Oliveira, Amauri/B-3848-2013; Pezzi, Luciano Ponzi/A-6473-2011; Pezzi, Luciano Ponzi/N-7271-2017; Souza, Ronald Buss de/R-5867-2016; de Souza, Ronald Buss/AAP-7586-2021; de Camargo, Ricardo/E-2762-2012</t>
  </si>
  <si>
    <t>Pezzi, Luciano Ponzi/0000-0001-6016-4320; Souza, Ronald Buss de/0000-0003-3346-3370; de Souza, Ronald Buss/0000-0003-3346-3370; Oliveira, Amauri/0000-0001-6585-454X; de Camargo, Ricardo/0000-0002-9425-5391; Reuder, Joachim/0000-0002-0802-4838</t>
  </si>
  <si>
    <t>Brazilian Agency National Council for Scientific and Technological Development (CNPq) [CNPq 558108/2009-1, CNPq 465690/2014-13, FAPERGS 17/2551-0000518-0, CAPES 23038.004304/2014-28]; Brazilian Agency Coordination for the Improvement of Higher Education Personnel (CAPES) [CNPq 558108/2009-1, CNPq 465690/2014-13, FAPERGS 17/2551-0000518-0, CAPES 23038.004304/2014-28]; CAPES; CNPq; International Cooperation Program CAPES/COFECUB; CNPq's fellowships on scientific productivity [CNPq 304009/2016-4]</t>
  </si>
  <si>
    <t>Brazilian Agency National Council for Scientific and Technological Development (CNPq)(Conselho Nacional de Desenvolvimento Cientifico e Tecnologico (CNPQ)Fundacao de Apoio a Pesquisa do Distrito Federal (FAPDF)); Brazilian Agency Coordination for the Improvement of Higher Education Personnel (CAPES)(Coordenacao de Aperfeicoamento de Pessoal de Nivel Superior (CAPES)); CAPES(Coordenacao de Aperfeicoamento de Pessoal de Nivel Superior (CAPES)); CNPq(Conselho Nacional de Desenvolvimento Cientifico e Tecnologico (CNPQ)); International Cooperation Program CAPES/COFECUB(Coordenacao de Aperfeicoamento de Pessoal de Nivel Superior (CAPES)); CNPq's fellowships on scientific productivity</t>
  </si>
  <si>
    <t>The authors acknowledge the Brazilian Ministry of Science, Technology, Innovation and Communication (MCTIC), the Brazilian Antarctic Program (PROANTAR), and the Brazilian Navy for their support during the field campaigns and for providing the in situ data. We also thank the financial support of the Brazilian Agencies National Council for Scientific and Technological Development (CNPq) and Coordination for the Improvement of Higher Education Personnel (CAPES) for funding the projects ACEx (CNPq 558108/2009-1), INCT Cryosphere (CNPq 465690/2014-13, FAPERGS 17/2551-0000518-0), and Advanced Studies in Medium and High Latitudes Oceanography (CAPES 23038.004304/2014-28). J. A. Hackerott has also been supported by CAPES, CNPq, and the International Cooperation Program CAPES/COFECUB. L. P. Pezzi is supported by CNPq's fellowships on scientific productivity (CNPq 304009/2016-4). The helpful comments of two anonymous reviewers are greatly appreciated. The data are available at the repository of the Earth Observation General Coordination, National Institute for Space Research, in the link http://www.dpi.inpe.br/INTERCONF/Data_Paper_Hackerott_et_al2018. csv.</t>
  </si>
  <si>
    <t>10.1002/2017JD027994</t>
  </si>
  <si>
    <t>WOS:000433071200005</t>
  </si>
  <si>
    <t>Liu, CL; Kirchengast, G; Sun, YQ; Zhang, KF; Norman, R; Schwaerz, M; Bai, WH; Du, QF; Li, Y</t>
  </si>
  <si>
    <t>Liu, Congliang; Kirchengast, Gottfried; Sun, Yueqiang; Zhang, Kefei; Norman, Robert; Schwaerz, Marc; Bai, Weihua; Du, Qifei; Li, Ying</t>
  </si>
  <si>
    <t>Analysis of ionospheric structure influences on residual ionospheric errors in GNSS radio occultation bending angles based on ray tracing simulations</t>
  </si>
  <si>
    <t>ATMOSPHERIC MEASUREMENT TECHNIQUES</t>
  </si>
  <si>
    <t>TO-END SIMULATIONS; EARTHS ATMOSPHERE; CLIMATE; PROFILES; MODEL; TEMPERATURE; RETRIEVAL; IMPACT; ENSEMBLES; RECORDS</t>
  </si>
  <si>
    <t>The Global Navigation Satellite System (GNSS) radio occultation (RO) technique is widely used to observe the atmosphere for applications such as numerical weather prediction and global climate monitoring. The ionosphere is a major error source to RO at upper stratospheric altitudes, and a linear dual-frequency bending angle correction is commonly used to remove the first-order ionospheric effect. However, the higher-order residual ionospheric error (RIE) can still be significant, so it needs to be further mitigated for high-accuracy applications, especially from 35 km altitude upward, where the RIE is most relevant compared to the decreasing magnitude of the atmospheric bending angle. In a previous study we quantified RIEs using an ensemble of about 700 quasi-realistic end-to-end simulated RO events, finding typical RIEs at the 0.1 to 0.5 mu rad noise level, but were left with 26 exceptional events with anomalous RIEs at the 1 to 10 mu rad level that remained unexplained. In this study, we focused on investigating the causes of the high RIE of these exceptional events, employing detailed alongray-path analyses of atmospheric and ionospheric refractivities, impact parameter changes, and bending angles and RIEs under asymmetric and symmetric ionospheric structures. We found that the main causes of the high RIEs are a combination of physics-based effects - where asymmetric ionospheric conditions play the primary role, more than the ionization level driven by solar activity - and technical ray tracer effects due to occasions of imperfect smoothness in ionospheric refractivity model derivatives. We also found that along-ray impact parameter variations of more than 10 to 20m are possible due to ionospheric asymmetries and, depending on prevailing horizontal refractivity gradients, are positive or negative relative to the initial impact parameter at the GNSS transmitter. Furthermore, mesospheric RIEs are found generally higher than upper-stratospheric ones, likely due to being closer in tangent point heights to the ionospheric E layer peaking near 105 km, which increases RIE vulnerability. In the future we will further improve the alongray modeling system to fully isolate technical from physicsbased effects and to use it beyond this work for additional GNSS RO signal propagation studies.</t>
  </si>
  <si>
    <t>[Liu, Congliang; Kirchengast, Gottfried; Sun, Yueqiang; Bai, Weihua; Du, Qifei] Chinese Acad Sci, Natl Space Sci Ctr, Beijing Key Lab Space Environm Explorat, Beijing, Peoples R China; [Kirchengast, Gottfried; Schwaerz, Marc] Karl Franzens Univ Graz, Wegener Ctr Climate &amp; Global Change WEGC, Graz, Austria; [Kirchengast, Gottfried; Schwaerz, Marc] Karl Franzens Univ Graz, Inst Geophys Astrophys &amp; Meteorol, Inst Phys, Graz, Austria; [Liu, Congliang; Kirchengast, Gottfried; Sun, Yueqiang; Schwaerz, Marc; Bai, Weihua; Du, Qifei] Chinese Acad Sci, NSSC, JLOAC, Beijing, Peoples R China; [Liu, Congliang; Kirchengast, Gottfried; Sun, Yueqiang; Schwaerz, Marc; Bai, Weihua; Du, Qifei] Karl Franzens Univ Graz, Beijing, Peoples R China; [Sun, Yueqiang; Bai, Weihua] Univ Chinese Acad Sci, Beijing, Peoples R China; [Kirchengast, Gottfried; Zhang, Kefei; Norman, Robert] RMIT Univ, SPACE Res Ctr, Melbourne, Vic, Australia; [Zhang, Kefei] China Univ Min &amp; Technol, Sch Environm Sci &amp; Spatial Informat, Xuzhou, Peoples R China; [Li, Ying] Chinese Acad Sci, IGG, Wuhan, Peoples R China</t>
  </si>
  <si>
    <t>Chinese Academy of Sciences; National Space Science Center, CAS; University of Graz; University of Graz; Chinese Academy of Sciences; Chinese Academy of Sciences; University of Chinese Academy of Sciences, CAS; Royal Melbourne Institute of Technology (RMIT); Melbourne Genomics Health Alliance; China University of Mining &amp; Technology; Chinese Academy of Sciences</t>
  </si>
  <si>
    <t>Liu, CL (corresponding author), Chinese Acad Sci, Natl Space Sci Ctr, Beijing Key Lab Space Environm Explorat, Beijing, Peoples R China.;Liu, CL (corresponding author), Chinese Acad Sci, NSSC, JLOAC, Beijing, Peoples R China.;Liu, CL (corresponding author), Karl Franzens Univ Graz, Beijing, Peoples R China.</t>
  </si>
  <si>
    <t>liucongliang1985@gmail.com</t>
  </si>
  <si>
    <t>Kirchengast, Gottfried/D-4990-2016; zhang, ke/AAH-8217-2019; Zhang, Kefei/R-5239-2019</t>
  </si>
  <si>
    <t>Kirchengast, Gottfried/0000-0001-9187-937X; Norman, Robert/0000-0001-8306-9588; Zhang, Kefei/0000-0001-9376-1148</t>
  </si>
  <si>
    <t>National Natural Science Foundation of China [41405039, 41775034, 41405040, 41505030, 41606206, 41730109]; FengYun-3 (FY-3) Global Navigation Satellite System Occultation Sounder (GNOS) development and manufacture project; European Space Agency (ESA) project OPSGRAS; European Space Agency (ESA) project MMValRO; Austrian Research Promotion Agency (FFG) project OPSCLIMPROP (ASAP-9 project) [840070]; Australian Research Council (ARC) [LP0883288]; Australian Antarctic Division [4159]; CAS/SAFEA International Partnership Program for Creative Research Teams [KZZD-EW-TZ-05]; Jiangsu dual creative talents project; Jiangsu dual creative team program project; Australian Research Council [LP0883288] Funding Source: Australian Research Council</t>
  </si>
  <si>
    <t>National Natural Science Foundation of China(National Natural Science Foundation of China (NSFC)); FengYun-3 (FY-3) Global Navigation Satellite System Occultation Sounder (GNOS) development and manufacture project; European Space Agency (ESA) project OPSGRAS; European Space Agency (ESA) project MMValRO; Austrian Research Promotion Agency (FFG) project OPSCLIMPROP (ASAP-9 project); Australian Research Council (ARC)(Australian Research Council); Australian Antarctic Division; CAS/SAFEA International Partnership Program for Creative Research Teams(Chinese Academy of Sciences); Jiangsu dual creative talents project; Jiangsu dual creative team program project; Australian Research Council(Australian Research Council)</t>
  </si>
  <si>
    <t>This research was partially supported by the National Natural Science Foundation of China (grant nos. 41405039, 41775034, 41405040, 41505030, 41606206, and 41730109) and the FengYun-3 (FY-3) Global Navigation Satellite System Occultation Sounder (GNOS) development and manufacture project led by NSSC, CAS. The research at WEGC/University of Graz was supported by the European Space Agency (ESA) projects OPSGRAS and MMValRO and the Austrian Research Promotion Agency (FFG) project OPSCLIMPROP (ASAP-9 project no. 840070). We acknowledge Johannes Fritzer (WEGC) for his support in EGOPS software developments valuable to this study. The research at SPACE/RMIT University was supported by the Australian Research Council (ARC) (LP0883288), the Australian Antarctic Division (project no. 4159), and the CAS/SAFEA International Partnership Program for Creative Research Teams (grant no. KZZD-EW-TZ-05). The support from the Jiangsu dual creative talents and Jiangsu dual creative team program projects awarded to CUMT in 2017 is acknowledged.</t>
  </si>
  <si>
    <t>1867-1381</t>
  </si>
  <si>
    <t>1867-8548</t>
  </si>
  <si>
    <t>ATMOS MEAS TECH</t>
  </si>
  <si>
    <t>Atmos. Meas. Tech.</t>
  </si>
  <si>
    <t>APR 26</t>
  </si>
  <si>
    <t>10.5194/amt-11-2427-2018</t>
  </si>
  <si>
    <t>GE1VY</t>
  </si>
  <si>
    <t>WOS:000431006100003</t>
  </si>
  <si>
    <t>Khatri, H; Berloff, P</t>
  </si>
  <si>
    <t>Khatri, Hemant; Berloff, Pavel</t>
  </si>
  <si>
    <t>A mechanism for jet drift over topography</t>
  </si>
  <si>
    <t>JOURNAL OF FLUID MECHANICS</t>
  </si>
  <si>
    <t>baroclinic flows; quasi-geostrophic flows; topographic effects</t>
  </si>
  <si>
    <t>MULTIPLE ZONAL JETS; ANTARCTIC CIRCUMPOLAR CURRENT; SHALLOW-WATER TURBULENCE; BETA-PLANE TURBULENCE; SOUTHERN-OCEAN; BAROCLINIC INSTABILITY; GEOSTROPHIC TURBULENCE; JUPITERS ATMOSPHERE; SPECTRAL-ANALYSIS; BAROTROPIC MODEL</t>
  </si>
  <si>
    <t>The dynamics of multiple alternating oceanic jets has been studied in the presence of a simple bottom topography with constant slope in the zonal direction. A baroclinic quasi-geostrophic model forced with a horizontally uniform and vertically sheared background flow generates mesoscale eddies and jets that are tilted from the zonal direction and drift with constant speed. The governing dynamical equations are rewritten in a tilted frame of reference moving with the jets, and the cross-jet time-mean profiles of the linear and nonlinear stress terms are analysed. Here, the linear stress terms are present because of the zonally asymmetric topography. It is demonstrated that the linear dynamics controls the drift mechanism. Also, it is found that the drifting jets are directly forced by the imposed vertical shear, whereas the eddies oppose the jets, although this is limited to continuously forced dissipative systems. This role of the eddies is opposite to the one in the classical baroclinic model of stationary, zonally symmetric multiple jets. This is expected to be more generic in the ocean, which is zonally asymmetric nearly everywhere.</t>
  </si>
  <si>
    <t>[Khatri, Hemant; Berloff, Pavel] Imperial Coll London, Dept Math, London SW7 2AZ, England</t>
  </si>
  <si>
    <t>Imperial College London</t>
  </si>
  <si>
    <t>Khatri, H (corresponding author), Imperial Coll London, Dept Math, London SW7 2AZ, England.</t>
  </si>
  <si>
    <t>h.khatri16@imperial.ac.uk</t>
  </si>
  <si>
    <t>Berloff, Pavel/T-2851-2019</t>
  </si>
  <si>
    <t>Khatri, Hemant/0000-0001-6559-9059</t>
  </si>
  <si>
    <t>Mathematics of Planet Earth CDT, Imperial College; EPSRC [EP/I019111/1]; NERC [NE/R011567/1]; NERC [NE/R011567/1] Funding Source: UKRI</t>
  </si>
  <si>
    <t>Mathematics of Planet Earth CDT, Imperial College; EPSRC(UK Research &amp; Innovation (UKRI)Engineering &amp; Physical Sciences Research Council (EPSRC)); NERC(UK Research &amp; Innovation (UKRI)Natural Environment Research Council (NERC)); NERC(UK Research &amp; Innovation (UKRI)Natural Environment Research Council (NERC))</t>
  </si>
  <si>
    <t>H.K. would like to acknowledge the support from the President's Scholarship and the Mathematics of Planet Earth CDT, Imperial College. P.B. has been supported by EPSRC Mathematics Platform grant EP/I019111/1 and NERC grant NE/R011567/1. The authors thank I. Kamenkovich and two anonymous reviewers for their comments and suggestions that helped to improve the paper. The authors also thank A. Thompson, I. Shevchenko, N. Constantinou, M. Haigh and M. O'Donnell for their comments on the manuscript. I. Shevchenko also helped with the numerical simulations. The authors would also like to express their gratitude to the HPC team at Imperial College and A. Thomas for their help with computer clusters.</t>
  </si>
  <si>
    <t>0022-1120</t>
  </si>
  <si>
    <t>1469-7645</t>
  </si>
  <si>
    <t>J FLUID MECH</t>
  </si>
  <si>
    <t>J. Fluid Mech.</t>
  </si>
  <si>
    <t>10.1017/jfm.2018.260</t>
  </si>
  <si>
    <t>Mechanics; Physics, Fluids &amp; Plasmas</t>
  </si>
  <si>
    <t>Mechanics; Physics</t>
  </si>
  <si>
    <t>GE1ZK</t>
  </si>
  <si>
    <t>WOS:000431015100002</t>
  </si>
  <si>
    <t>Guillaumot, C; Martin, A; Eléaume, M; Saucède, T</t>
  </si>
  <si>
    <t>Guillaumot, Charlene; Martin, Alexis; Eleaume, Marc; Saucede, Thomas</t>
  </si>
  <si>
    <t>Methods for improving species distribution models in data-poor areas: example of sub-Antarctic benthic species on the Kerguelen Plateau</t>
  </si>
  <si>
    <t>Species distribution modeling; Model performance; Historical datasets; Kerguelen Plateau; Presence-only data</t>
  </si>
  <si>
    <t>SPATIAL AUTOCORRELATION; SAMPLE-SIZE; ENVIRONMENTAL NICHE; PSEUDO-ABSENCES; CONSERVATION; BIODIVERSITY; UNCERTAINTY; PERFORMANCE; BIAS; TRANSFERABILITY</t>
  </si>
  <si>
    <t>Species distribution models (SDMs) are essential tools to aid conservation biologists in evaluating the combined effects of environmental change and human activities on natural habitats and for the development of relevant conservation plans. However, modeling species distributions over vast and remote regions is often challenging due to poor and heterogeneous data sets, and this raises questions regarding the relevance of the modeling procedures. In recent years, there have been many methodological developments in SDM procedures using virtual species and broad data sets, but few solutions have been proposed to deal with poor or heterogeneous data. In the present work, we address this methodological challenge by studying the performance of different modeling procedures based on 4 real species, using presence-only data compiled from various oceanographic surveys on the Kerguelen Plateau (Southern Ocean). We followed a practical protocol to test for the reliability and performance of the models and to correct for limited and aggregated data, as well as accounting for spatial and temporal sampling biases. Our results show that producing reliable SDMs is feasible as long as the amount and quality of available data allow testing and correcting for these biases. However, we found that SDMs could be corrected for spatial and temporal heterogeneities in only 1 of the 4 species we examined, highlighting the need to consider all potential biases when modeling species distributions. Finally, we show that model reliability and performance also depend on the interaction between the incompleteness of the data and species niches, with the distribution of narrow-niche species being less sensitive to data gaps than species occupying wider niches.</t>
  </si>
  <si>
    <t>[Guillaumot, Charlene] Univ Libre Bruxelles, Lab Biol Marine, Ave FD Roosevelt 50,CP 160-15, B-1150 Brussels, Belgium; [Martin, Alexis] Museum Natl Hist Nat, Dept Adaptat Vivant, UMR BOREA 7208, 57 Rue Cuvier, F-75231 Paris 05, France; [Eleaume, Marc] Museum Natl Hist Nat, Dept Origine &amp; Evolut, UMR ISYEB 7205, 57 Rue Cuvier, F-75231 Paris 05, France; [Saucede, Thomas] Univ Bourgogne Franche Comte, UMR 6282, Biogeosci, CNRS, 6 Bd Gabriel, F-21000 Dijon, France</t>
  </si>
  <si>
    <t>Universite Libre de Bruxelles; Centre National de la Recherche Scientifique (CNRS); Institut de Recherche pour le Developpement (IRD); Museum National d'Histoire Naturelle (MNHN); Sorbonne Universite; Museum National d'Histoire Naturelle (MNHN); Universite de Bourgogne; Centre National de la Recherche Scientifique (CNRS)</t>
  </si>
  <si>
    <t>Guillaumot, C (corresponding author), Univ Libre Bruxelles, Lab Biol Marine, Ave FD Roosevelt 50,CP 160-15, B-1150 Brussels, Belgium.</t>
  </si>
  <si>
    <t>charleneguillaumot21@gmail.com</t>
  </si>
  <si>
    <t>French polar institute (IPEV program) [1044]; Belgian Science Policy Office (BELSPO) [BR/132/A1/vERSO, 21]</t>
  </si>
  <si>
    <t>French polar institute (IPEV program); Belgian Science Policy Office (BELSPO)(Belgian Federal Science Policy Office)</t>
  </si>
  <si>
    <t>This work is a contribution to the IPEV program PROTEKER funded by the French polar institute (IPEV program no. 1044) and contribution no. 21 to the vERSO project (www.versoproject.be) funded by the Belgian Science Policy Office (BELSPO, contract no. BR/132/A1/vERSO). We thank the 19 scientific cruises for the collection of the data used to realise this work (Table 1, Guillaumot et al. 2016, see also Supplement 3).</t>
  </si>
  <si>
    <t>10.3354/meps12538</t>
  </si>
  <si>
    <t>GE4RH</t>
  </si>
  <si>
    <t>WOS:000431203900011</t>
  </si>
  <si>
    <t>Borruso, L; Sannino, C; Selbmann, L; Battistel, D; Zucconi, L; Azzaro, M; Turchetti, B; Buzzini, P; Guglielmin, M</t>
  </si>
  <si>
    <t>Borruso, Luigimaria; Sannino, Ciro; Selbmann, Laura; Battistel, Dario; Zucconi, Laura; Azzaro, Maurizio; Turchetti, Benedetta; Buzzini, Pietro; Guglielmin, Mauro</t>
  </si>
  <si>
    <t>A thin ice layer segregates two distinct fungal communities in Antarctic brines from Tarn Flat (Northern Victoria Land)</t>
  </si>
  <si>
    <t>BACTERIAL DIVERSITY; DRY VALLEYS; HABITATS; YEASTS; WATER; LIFE; ECOSYSTEMS; MARS</t>
  </si>
  <si>
    <t>Brines are hypersaline solutions which have been found within the Antarctic permafrost from the Tarn Flat area (Northern Victoria Land). Here, an investigation on the possible presence and diversity of fungal life within those peculiar ecosystems has been carried out for the first time. Brines samples were collected at 4-and 5-meter depths (TF1 and TF2, respectively), from two brines separated by a thin ice layer. The samples were analyzed via Illumina MiSeq targeting the ITS region specific for both yeasts and filamentous fungi. An unexpected high alpha diversity was found. Beta diversity analysis revealed that the two brines were inhabited by two phylogenetically diverse fungal communities (Unifrac value: 0.56, p value &lt; 0.01; Martin's P-test p-value &lt; 0.001) characterized by several specialist taxa. The most abundant fungal genera were Candida sp., Leucosporidium sp., Naganishia sp. and Sporobolomyces sp. in TF1, and Leucosporidium sp., Malassezia sp., Naganishia sp. and Sporobolomyces sp. in TF2. A few hypotheses on such differentiation have been done: i) the different chemical and physical composition of the brines; ii) the presence in situ of a thin layer of ice, acting as a physical barrier; and iii) the diverse geological origin of the brines.</t>
  </si>
  <si>
    <t>[Borruso, Luigimaria] Free Univ Bozen Bolzano, Fac Sci &amp; Technol, Bozen Bolzano, Italy; [Sannino, Ciro; Turchetti, Benedetta; Buzzini, Pietro] Univ Perugia, Dept Agr Food &amp; Environm Sci, Perugia, Italy; [Selbmann, Laura; Zucconi, Laura] Univ Tuscia, Dept Ecol &amp; Biol Sci, Viterbo, Italy; [Selbmann, Laura] Italian Natl Antarctic Museum MNA, Mycol Sect, Genoa, Italy; [Battistel, Dario] Univ Ca Foscari, Dept Environm Sci Informat &amp; Stat, Venice, Italy; [Battistel, Dario] CNR, IDPA, Inst Dynam Environm Proc, Venice, Italy; [Azzaro, Maurizio] CNR, Inst Coastal Marine Environm, Messina, Italy; [Guglielmin, Mauro] Insubria Univ, Dept Theoret &amp; Appl Sci, Varese, Italy</t>
  </si>
  <si>
    <t>Free University of Bozen-Bolzano; University of Perugia; Tuscia University; Universita Ca Foscari Venezia; Consiglio Nazionale delle Ricerche (CNR); Istituto per la Dinamica dei Processi Ambientali (IDPA-CNR); Consiglio Nazionale delle Ricerche (CNR); University of Insubria</t>
  </si>
  <si>
    <t>Buzzini, P (corresponding author), Univ Perugia, Dept Agr Food &amp; Environm Sci, Perugia, Italy.</t>
  </si>
  <si>
    <t>pietro.buzzini@uning.it</t>
  </si>
  <si>
    <t>azzaro, Maurizio/AAE-6784-2019; Turchetti, Benedetta/AAC-8847-2019; Selbmann, Laura/L-3056-2013; Zucconi, L./U-9781-2018</t>
  </si>
  <si>
    <t>azzaro, Maurizio/0000-0001-7885-2340; Selbmann, Laura/0000-0002-8967-3329; Zucconi, L./0000-0001-9793-2303; Buzzini, Pietro/0000-0001-6793-0606; turchetti, benedetta/0000-0002-7370-3028; Borruso, Luigimaria/0000-0002-7445-3454</t>
  </si>
  <si>
    <t>National Antarctic Research Program (PNRA); Italian Ministry of Education and Research [PNRA AZ/1.05]; National Antarctic Museum (MNA)</t>
  </si>
  <si>
    <t>National Antarctic Research Program (PNRA); Italian Ministry of Education and Research(Ministry of Education, Universities and Research (MIUR)); National Antarctic Museum (MNA)</t>
  </si>
  <si>
    <t>The authors are grateful to all of the staff at Mario Zucchelli Station for the logistic help and support, which made possible the expedition. This research was supported by grants from the National Antarctic Research Program (PNRA), Italian Ministry of Education and Research (Research Project PNRA AZ/1.05) and from the National Antarctic Museum (MNA). The authors thank Samuel Senoner (eurac/unibz) for IT technical support. The computational results presented have been achieved [in part] using the Vienna Scientific Cluster (VSC).</t>
  </si>
  <si>
    <t>10.1038/s41598-018-25079-3</t>
  </si>
  <si>
    <t>GE0QH</t>
  </si>
  <si>
    <t>WOS:000430919900031</t>
  </si>
  <si>
    <t>Novaglio, C; Smith, ADM; Frusher, S; Ferretti, F; Klaer, N; Fulton, EA</t>
  </si>
  <si>
    <t>Novaglio, Camilla; Smith, Anthony D. M.; Frusher, Stewart; Ferretti, Francesco; Klaer, Neil; Fulton, Elizabeth A.</t>
  </si>
  <si>
    <t>Fishery Development and Exploitation in South East Australia</t>
  </si>
  <si>
    <t>ecological baseline; fishing history; fisheries management and sustainability; long-term fishing impacts; Aboriginal and colonial fisheries; bottom trawling; marine historical ecology</t>
  </si>
  <si>
    <t>IMPLEMENTING HARVEST STRATEGIES; GULF-OF-CALIFORNIA; DEPENDENT COMMUNITIES; HUMAN IMPACTS; ABUNDANCE; TRAWL; MANAGEMENT; ANECDOTES; RECOVERY; HISTORY</t>
  </si>
  <si>
    <t>Understanding the full extent of past ecological changes in human-in fluenced marine systems is needed to inform present management policies, but is often hampered by the scarcity of information about exploitation practices and population status over the entire history of fishing. The history of commercial fishing in South East Australia is relatively recent and thus easier to document. Our aim is to reconstruct such history and to use this information to understand general patterns and consequences of fishing exploitation. Intense exploitation of marine resources arrived in South East Australia with European colonization in the early 1800s, and unregulated sealing, whaling and oyster dredging resulted in the first documented significant impact on local marine populations. Exploitation extended to demersal resources in 1915 when the trawl fishery developed. Between the early 1800s and the 1980s, some of the exploited stocks collapsed, but fishing moved further offshore and in deeper waters as technology improved and new resources became available or were discovered. This phase of fisheries expansion masked the unsustainable nature of some fishing industries, such as trawling and whaling, and postponed the need for management regulations. From the 1990s onward, an increasing awareness of the depleted nature of some fisheries led to the establishment of management strategies aiming at a more sustainable exploitation of target stocks and, from the mid-2000s onwards, management strategies were revised and improved to better address the effect of fishing on multiple components of marine ecosystems. This led to the recovery of some depleted populations and to increased habitat protection. The relatively short history of fishing exploitation and the small scale of the fishing industry in South East Australia played a significant role in limiting the magnitude of fishing impacts on local populations and helped to achieve recoveries when fisheries restrictions were imposed. However, the experience in South East Australia also shows that ecological improvements for some depleted populations can be slow, suggesting that the time to recovery may be longer than expected despite relatively low historical and present levels of exploitation, favorable social conditions and a large investment in resource management and scientific research.</t>
  </si>
  <si>
    <t>[Novaglio, Camilla; Smith, Anthony D. M.; Klaer, Neil; Fulton, Elizabeth A.] Commonwealth &amp; Ind Res Org, Ocean &amp; Atmosphere, Hobart, Tas, Australia; [Novaglio, Camilla; Smith, Anthony D. M.; Frusher, Stewart; Fulton, Elizabeth A.] Univ Tasmania, Ctr Marine Socioecol, Hobart, Tas, Australia; [Frusher, Stewart; Klaer, Neil] Univ Tasmania, Inst Marine &amp; Antarctic Studies, Hobart, Tas, Australia; [Ferretti, Francesco] Stanford Univ, Hopkins Marine Stn, Pacific Grove, CA 93950 USA</t>
  </si>
  <si>
    <t>University of Tasmania; University of Tasmania; Stanford University</t>
  </si>
  <si>
    <t>Novaglio, C (corresponding author), Commonwealth &amp; Ind Res Org, Ocean &amp; Atmosphere, Hobart, Tas, Australia.;Novaglio, C (corresponding author), Univ Tasmania, Ctr Marine Socioecol, Hobart, Tas, Australia.</t>
  </si>
  <si>
    <t>camilla.novaglio@gmail.com</t>
  </si>
  <si>
    <t>Klaer, Neil L/F-9099-2010; Fulton, Beth/A-2871-2008; Ferretti, Francesco/AAR-2545-2020; Fulton, Beth/AAJ-1398-2021</t>
  </si>
  <si>
    <t>Ferretti, Francesco/0000-0001-9510-3552; Fulton, Beth/0000-0002-5904-7917; Klaer, Neil/0000-0002-5178-2490; Novaglio, Camilla/0000-0003-3681-1377</t>
  </si>
  <si>
    <t>Oceans and Atmosphere Flagship, Commonwealth Scientific and Industrial Research Organization; Institute for Marine and Antarctic Studies; Lenfest Ocean Program</t>
  </si>
  <si>
    <t>Funding for this study was provided by the Oceans and Atmosphere Flagship, Commonwealth Scientific and Industrial Research Organization, the Institute for Marine and Antarctic Studies, and the Lenfest Ocean Program.</t>
  </si>
  <si>
    <t>APR 25</t>
  </si>
  <si>
    <t>10.3389/fmars.2018.00145</t>
  </si>
  <si>
    <t>HJ3QA</t>
  </si>
  <si>
    <t>WOS:000457086100001</t>
  </si>
  <si>
    <t>Gerum, R; Richter, S; Fabry, B; Le Bohec, C; Bonadonna, F; Nesterova, A; Zitterbart, DP</t>
  </si>
  <si>
    <t>Gerum, Richard; Richter, Sebastian; Fabry, Ben; Le Bohec, Celine; Bonadonna, Francesco; Nesterova, Anna; Zitterbart, Daniel P.</t>
  </si>
  <si>
    <t>Structural organisation and dynamics in king penguin colonies</t>
  </si>
  <si>
    <t>king penguin; molecular dynamics; 2D liquid; Lennard-Jones potential; radial distribution function; jamming; glass transition</t>
  </si>
  <si>
    <t>During breeding, king penguins do not build nests, however they show strong territorial behaviour and keep a pecking distance to neighbouring penguins. Penguin positions in breeding colonies are highly stable over weeks and appear regularly spaced, but thus far no quantitative analysis of the structural order inside a colony has been performed. In this study, we use the radial distribution function to analyse the spatial coordinates of penguin positions. Coordinates are obtained from aerial images of two colonies that were observed for several years. Our data demonstrate that the structural order in king penguin colonies resembles a 2D liquid of particles with a Lennard-Jones-type interaction potential. We verify this using a molecular dynamics simulation with thermally driven particles, whereby temperature corresponds to penguin movements, the energy well depth is an element of of the attractive potential corresponds to the strength of the colony-forming behaviour, and the repulsive zone corresponds to the pecking radius. We can recapitulate the liquid disorder of the colony, as measured by the radial distribution function, when the particles have a temperature of several ?(1.4-10) is an element of/kB and a normally distributed repulsive radius. To account for the observation that penguin positions are stable over the entire breeding period, we hypothesize that the liquid disorder is quenched during the colony formation process. Quenching requires the temperature to fall considerably below 1 is an element of/kB, which corresponds to a glass transition, or the repulsion radius to exceed the distance between neighbouring penguins, which corresponds to a jamming transition. Video recordings of a breeding colony together with simulations suggest that quenching is achieved by a behavioural motility arrest akin to a glass transition. We suggest that a liquid disordered colony structure provides an ideal compromise between high density and high flexibility to respond to external disturbances that require a repositioning of penguins.</t>
  </si>
  <si>
    <t>[Gerum, Richard; Richter, Sebastian; Fabry, Ben; Zitterbart, Daniel P.] Univ Erlangen Nurnberg, Dept Phys, Erlangen, Germany; [Le Bohec, Celine; Nesterova, Anna] Univ Strasbourg, CNRS, IPHC, UMR 7178, Strasbourg, France; [Le Bohec, Celine] Principal Monaco, Dept Biol Polaire, Ctr Sci Monaco, Monaco, Monaco; [Le Bohec, Celine] Principal Monaco, LIA BioSensib CSM CNRS Unistra 647, Monaco, Monaco; [Bonadonna, Francesco; Nesterova, Anna] Univ Paul Valery Montpellier, Univ Montpellier, CNRS, EPHE,CEFE UMR 5175, Montpellier, France; [Zitterbart, Daniel P.] Woods Hole Oceanog Inst, Appl Ocean Phys &amp; Engn, Woods Hole, MA 02543 USA</t>
  </si>
  <si>
    <t>University of Erlangen Nuremberg; Universites de Strasbourg Etablissements Associes; Universite de Strasbourg; Centre National de la Recherche Scientifique (CNRS); CNRS - National Institute of Nuclear and Particle Physics (IN2P3); Universite Paul-Valery; Universite PSL; Ecole Pratique des Hautes Etudes (EPHE); Centre National de la Recherche Scientifique (CNRS); CNRS - Institute of Ecology &amp; Environment (INEE); Universite de Montpellier; Woods Hole Oceanographic Institution</t>
  </si>
  <si>
    <t>Gerum, R (corresponding author), Univ Erlangen Nurnberg, Dept Phys, Erlangen, Germany.</t>
  </si>
  <si>
    <t>richard.gerum@fau.de</t>
  </si>
  <si>
    <t>Zitterbart, Daniel P/N-7489-2013; Fabry, Ben/C-5496-2013; Gerum, Richard Carl/AAW-8732-2021; Bonadonna, Francesco/A-7456-2008; LE BOHEC, CELINE/AAD-3589-2022; Nesterova, Anna Alexandrovna/ACA-9089-2022</t>
  </si>
  <si>
    <t>Fabry, Ben/0000-0003-1737-0465; Gerum, Richard Carl/0000-0001-5893-2650; Bonadonna, Francesco/0000-0002-2702-5801; Nesterova, Anna Alexandrovna/0000-0002-8106-4887; Richter, Sebastian/0000-0002-1948-7088; LE BOHEC, Celine/0000-0003-0149-6477; Zitterbart, Daniel/0000-0001-9429-4350</t>
  </si>
  <si>
    <t>Institut Polaire Francais Paul-Emile Victor (IPEV) [137, 354]; Deutsche Forschungsgemeinschaft (DFG) [FA336/5-1, ZI1525/3-1, SPP 1158]; National Institutes of Health (NIH) [HL65960]</t>
  </si>
  <si>
    <t>Institut Polaire Francais Paul-Emile Victor (IPEV); Deutsche Forschungsgemeinschaft (DFG)(German Research Foundation (DFG)); National Institutes of Health (NIH)(United States Department of Health &amp; Human ServicesNational Institutes of Health (NIH) - USA)</t>
  </si>
  <si>
    <t>We thank the overwinter team at Possession Island that recorded the video: Laetitia Kernaleguen, Fiona Le Faro, Benoit Vallas, and Marine Benoiste. This work was supported by the Institut Polaire Francais Paul-Emile Victor (IPEV, Programs no. 137 to CLB and 354 to FB), by Deutsche Forschungsgemeinschaft (DFG) grant FA336/5-1 and ZI1525/3-1 in the framework of the priority program 'Antarctic research with comparative investigations in Arctic ice areas' SPP 1158, and by National Institutes of Health (NIH) grant HL65960.</t>
  </si>
  <si>
    <t>IOP Publishing Ltd</t>
  </si>
  <si>
    <t>10.1088/1361-6463/aab46b</t>
  </si>
  <si>
    <t>GB7BT</t>
  </si>
  <si>
    <t>WOS:000429230600001</t>
  </si>
  <si>
    <t>Frigola, A; Prange, M; Schulz, M</t>
  </si>
  <si>
    <t>Frigola, Amanda; Prange, Matthias; Schulz, Michael</t>
  </si>
  <si>
    <t>Boundary conditions for the Middle Miocene Climate Transition (MMCT v1.0)</t>
  </si>
  <si>
    <t>GEOSCIENTIFIC MODEL DEVELOPMENT</t>
  </si>
  <si>
    <t>ANTARCTIC ICE-SHEET; ATMOSPHERIC CARBON-DIOXIDE; EVOLUTION; CO2; SENSITIVITY; MODEL; LAND; SIMULATIONS; INSOLATION; HISTORY</t>
  </si>
  <si>
    <t>The Middle Miocene Climate Transition was characterized by major Antarctic ice sheet expansion and global cooling during the interval similar to 15-13 Ma. Here we present two sets of boundary conditions for global general circulation models characterizing the periods before (Middle Miocene Climatic Optimum; MMCO) and after (Middle Miocene Glaciation; MMG) the transition. These boundary conditions include Middle Miocene global topography, bathymetry, and vegetation. Additionally, Antarctic ice volume and geometry, sea level, and atmospheric CO2 concentration estimates for the MMCO and the MMG are reviewed. The MMCO and MMG boundary conditions have been successfully applied to the Community Climate System Model version 3 (CCSM3) to provide evidence of their suitability for global climate modeling. The boundary-condition files are available for use as input in a wide variety of global climate models and constitute a valuable tool for modeling studies with a focus on the Middle Miocene.</t>
  </si>
  <si>
    <t>[Frigola, Amanda; Prange, Matthias; Schulz, Michael] Univ Bremen, MARUM Ctr Marine Environm Sci, D-28359 Bremen, Germany; [Prange, Matthias; Schulz, Michael] Univ Bremen, Fac Geosci, D-28359 Bremen, Germany</t>
  </si>
  <si>
    <t>University of Bremen; University of Bremen</t>
  </si>
  <si>
    <t>Frigola, A (corresponding author), Univ Bremen, MARUM Ctr Marine Environm Sci, D-28359 Bremen, Germany.</t>
  </si>
  <si>
    <t>afrigola@marum.de</t>
  </si>
  <si>
    <t>; Schulz, Michael/P-7276-2016</t>
  </si>
  <si>
    <t>Frigola, Amanda/0000-0002-4681-7476; Prange, Matthias/0000-0001-5874-756X; Schulz, Michael/0000-0001-6500-2697</t>
  </si>
  <si>
    <t>E.U. 7th Framework Programme on Research, Technological Development and Demonstration</t>
  </si>
  <si>
    <t>E.U. 7th Framework Programme on Research, Technological Development and Demonstration(European Union (EU))</t>
  </si>
  <si>
    <t>This research is part of the Marie Curie Initial Training Network Throughflow, funded by the E.U. 7th Framework Programme on Research, Technological Development and Demonstration. The CCSM3 simulations were performed on the Cray XC30/40 supercomputer of the Norddeutscher Verbund fur Hoch- und Hochstleistungsrechnen (HLRN). We are particularly grateful to Robert Hall, Nicholas Herold, David Pollard, and Matthew Pound for their contributions in the assemblage of boundary conditions, with further acknowledgement going to Lydie Dupont, Sandra Passchier, and Matthew Huber. We are grateful to Gary Strand, Sam Levis, Esther Brady, Stephen Yeager, and in particular to Nan Rosenbloom (NCAR) for their help with the model setup procedure. A very special thanks goes to Gabriel Gaus and Lars Nerger (HLRN) for their support in the execution of the model runs. Thanks also to Andreas Manschke for the IT support, to Ute Merkel and Gerlinde Jung for sharing their expertise in CCSM3, to Hanno Keil for his introduction to ArcGIS, and to Alexandra-Jane Henrot and Petra Langebroek for their constructive reviews that helped improve the manuscript. We are also grateful to the Throughflow Network, and the Bremen International Graduate School for Marine Sciences GLOMAR.</t>
  </si>
  <si>
    <t>1991-959X</t>
  </si>
  <si>
    <t>1991-9603</t>
  </si>
  <si>
    <t>GEOSCI MODEL DEV</t>
  </si>
  <si>
    <t>Geosci. Model Dev.</t>
  </si>
  <si>
    <t>APR 24</t>
  </si>
  <si>
    <t>10.5194/gmd-11-1607-2018</t>
  </si>
  <si>
    <t>GD8XQ</t>
  </si>
  <si>
    <t>WOS:000430798000001</t>
  </si>
  <si>
    <t>Lamina, C; Braga, D; Castro, R; Guimaraes, C; de Castilho, LVA; Freire, DMG; Barrientos, L</t>
  </si>
  <si>
    <t>Lamina, Claudio; Braga, Douglas; Castro, Rui; Guimaraes, Carolina; de Castilho, Livia V. A.; Freire, Denise M. G.; Barrientos, Leticia</t>
  </si>
  <si>
    <t>⁢Streptomyces luridus⁢ So3.2 from Antarctic soil as a novel producer of compounds with bioemulsification potential</t>
  </si>
  <si>
    <t>NEIGHBOR-JOINING METHOD; STREPTOMYCES SP; BIOSURFACTANT PRODUCTION; MARINE ACTINOBACTERIA; BACTERIA; METABOLITES; MICROORGANISM; SURFACTANTS; PHYLOGENIES; DIVERSITY</t>
  </si>
  <si>
    <t>The present study aimed to identify novel microbial producers of bioemulsificant compounds from Antarctic soils. Fifty-nine microbial strains were isolated from five different locations at South Shetland Islands, Antarctica, and screened for biosurfactant production by beta-hemolytic activity. Strain So 3.2 was determined as bioemulsifier-producer and identified by phenotypic and molecular characterization as Streptomyces luridus. Emulsification activity, oil displacement method and drop-collapsing test were performed to evaluate the biosurfactant activity with different oils and hydrocarbons using two different culture media (Luria Bertani and Bushnell Haas in the presence of different carbon sources: glucose, glycerol, olive oil and n-Hexadecane). Cell free supernatant of Bushnell Haas culture supplemented with n-Hexadecane showed the best results for all tests. Emulsification of hydrocarbons exceeded 60%, reaching up to 90% on oil with high API grade, while displacement tests ranged from 8 cm to 4 cm in diameter according the culture media and tested oils. Our results revealed that Streptomyces luridus So3.2 is able to produce bioemulsifiers capable of emulsifying hydrocarbons and oils, which could be used in different biotechnological applications, particularly for bioremediation of environments contaminated by oil leaks.</t>
  </si>
  <si>
    <t>[Lamina, Claudio; Barrientos, Leticia] Ctr Excellence Translat Med, Lab Appl Mol Biol, Temuco, Chile; [Lamina, Claudio; Barrientos, Leticia] Univ La Frontera, Sci &amp; Technol Bioresource Nucleus BIOREN, Temuco, Chile; [Braga, Douglas; Castro, Rui; Guimaraes, Carolina; de Castilho, Livia V. A.; Freire, Denise M. G.] Univ Fed Rio de Janeiro, Ctr Tecnol, Inst Quim, Dept Bioquim,Lab Biotecnol Microbiana, Av Athos Silveira Ramos,Cidade Univ, Rio De Janeiro, RJ, Brazil</t>
  </si>
  <si>
    <t>Universidad de La Frontera; Universidade Federal do Rio de Janeiro</t>
  </si>
  <si>
    <t>Barrientos, L (corresponding author), Ctr Excellence Translat Med, Lab Appl Mol Biol, Temuco, Chile.;Barrientos, L (corresponding author), Univ La Frontera, Sci &amp; Technol Bioresource Nucleus BIOREN, Temuco, Chile.;Freire, DMG (corresponding author), Univ Fed Rio de Janeiro, Ctr Tecnol, Inst Quim, Dept Bioquim,Lab Biotecnol Microbiana, Av Athos Silveira Ramos,Cidade Univ, Rio De Janeiro, RJ, Brazil.</t>
  </si>
  <si>
    <t>freire@iq.ufrj.br; leticia.barrientos@ufrontera.cl</t>
  </si>
  <si>
    <t>de Castilho, Lívia Vieira Araujo/S-3944-2019; Lamilla, Claudio/HSF-0976-2023; Guimarães, Carolina R/I-9281-2017; Barrientos, Leticia/R-6205-2017; FREIRE, Denise Maria G/D-8699-2014</t>
  </si>
  <si>
    <t>de Castilho, Lívia Vieira Araujo/0000-0001-5719-9629; Barrientos, Leticia/0000-0002-5344-054X; FREIRE, Denise Maria G/0000-0002-8298-5936; Lamilla, Claudio Andres/0000-0003-0490-6945; de Paula Vieira de Castro, Rui/0000-0002-7641-8724</t>
  </si>
  <si>
    <t>Instituto Antartico Chileno, Ministerio de Relaciones Exteriores de Chile [INACH DT_05-15 CL, INACH RT_14-12, INACH DT_05-15, RT_14-12]; Universidad de La Frontera/Fundacao de Amparo a Pesquisa do Estado do Rio de Janeiro FAPERJ [FPJ15-0009]; Universidade Federal do Rio de Janeiro/ Fundacao de Amparo a Pesquisa do Estado do Rio de Janeiro FAPERJ; Direccion de Investigacion Universidad de La Frontera [DI17-0116]; Consejo Nacional de Ciencia y Tecnologia CONICYT [21140691]; Universidad de La Frontera/Fundacao de Amparo a Pesquisa do Estado do Rio de Janeiro FAPERJ; Universidad de La Frontera [DI17-0116]; Conicyt [21140691]</t>
  </si>
  <si>
    <t>Instituto Antartico Chileno, Ministerio de Relaciones Exteriores de Chile; Universidad de La Frontera/Fundacao de Amparo a Pesquisa do Estado do Rio de Janeiro FAPERJ; Universidade Federal do Rio de Janeiro/ Fundacao de Amparo a Pesquisa do Estado do Rio de Janeiro FAPERJ; Direccion de Investigacion Universidad de La Frontera; Consejo Nacional de Ciencia y Tecnologia CONICYT(Consejo Nacional de Ciencia y Tecnologia (CONACyT)Comision Nacional de Investigacion Cientifica y Tecnologica (CONICYT)); Universidad de La Frontera/Fundacao de Amparo a Pesquisa do Estado do Rio de Janeiro FAPERJ; Universidad de La Frontera; Conicyt(Comision Nacional de Investigacion Cientifica y Tecnologica (CONICYT))</t>
  </si>
  <si>
    <t>This work was supported by the Instituto Antartico Chileno, Ministerio de Relaciones Exteriores de Chile (http://www.inach.cl/inach/) Grants INACH DT_05-15 CL and Grant INACH RT_14-12 to LB and had a role in Data collection and logistical support. This was also funded by Universidad de La Frontera/Fundacao de Amparo a Pesquisa do Estado do Rio de Janeiro FAPERJ, (http://www.ufro.cl/) Grant FPJ15-0009 to LB and provided data analysis; Universidade Federal do Rio de Janeiro/ Fundacao de Amparo a Pesquisa do Estado do Rio de Janeiro FAPERJ (https://ufrj.br) D.F; R.C.; C.A.; L.A and provided data analysis; Direccion de Investigacion Universidad de La Frontera (http://www.ufro.cl/) Grant DI17-0116 to LB and provided data analysis and the Consejo Nacional de Ciencia y Tecnologia CONICYT (http://www.conicyt.cl/becasconicyt/2014/03/11/doctorado-en-chile-2014/) Grant No 21140691 to CL. The funders had no role in study design, data collection and analysis, decision to publish, or preparation of the manuscript.; We thank Ms. Judith Hoffman (Northern Light Translations &amp; Editing) for her revision of the English manuscript. The authors gratefully acknowledge Grants INACH DT_05-15 and RT_14-12 from the Instituto Antartico Chileno, Ministerio de Relaciones Exteriores de Chile; Grant FPJ15-0009 from Universidad de La Frontera/Fundacao de Amparo a Pesquisa do Estado do Rio de Janeiro FAPERJ, and Grant DI17-0116 from Universidad de La Frontera -for logistical support. Claudio Lamilla is grateful for Conicyt Grant No 21140691.</t>
  </si>
  <si>
    <t>APR 23</t>
  </si>
  <si>
    <t>e0196054</t>
  </si>
  <si>
    <t>10.1371/journal.pone.0196054</t>
  </si>
  <si>
    <t>GD7AK</t>
  </si>
  <si>
    <t>WOS:000430660600035</t>
  </si>
  <si>
    <t>Smeets, PCJP; Munneke, PK; van As, D; van den Broeke, MR; Boot, W; Oerlemans, H; Snellen, H; Reijmer, CH; van de Wal, RSW</t>
  </si>
  <si>
    <t>Smeets, Paul C. J. P.; Munneke, Peter Kuipers; van As, Dirk; van den Broeke, Michiel R.; Boot, Wim; Oerlemans, Hans; Snellen, Henk; Reijmer, Carleen H.; van de Wal, Roderik S. W.</t>
  </si>
  <si>
    <t>The K-transect in west Greenland: Automatic weather station data (1993-2016)</t>
  </si>
  <si>
    <t>K-transect; Greenland; automatic weather station</t>
  </si>
  <si>
    <t>MASS-BALANCE OBSERVATIONS; REGIONAL CLIMATE MODEL; ICE-SHEET; ENERGY-BALANCE; ABLATION ZONE; MELT; PRECIPITATION; TEMPERATURE; VARIABILITY; RUNOFF</t>
  </si>
  <si>
    <t>We present twenty-three years (1993-2016) of automatic weather station (AWS) data, collected along the K-transect near Kangerlussuaq in west Greenland. The transect runs from east to west, roughly perpendicular to the ice sheet edge at about 67 degrees N. The K-transect originated from the Greenland Ice Margin Experiments (GIMEX), held in the summers of 1990 and 1991. Until recently, surface mass balance and ice velocity measurements were performed at nine locations along the K-transect, of which four are equipped with AWS: two in the ablation zone at approximately 500 m and 1,000 m asl, one at the approximate equilibrium-line altitude (similar to 1,500 m asl), and one in the lower accumulation zone (similar to 1,850 m asl) at distances of 5, 38, 88, and 140 km from the ice edge, respectively. Here, we present an overview of the various AWS types and their data corrections, quality, and availability, including a preliminary trend analysis. Recent increases in temperature and radiation components are associated with the frequent occurrence of anti-cyclonic conditions in west Greenland, resulting in clear skies and relatively warm summers. Strong melt concurs with a decrease in winter accumulation, lowering the surface albedo of the ice sheet. The AWS situated at 1,500 m asl, the former equilibrium-line altitude (ELA), observed almost a doubling of the summertime net shortwave radiation since 2004; as a result, the ELA along the K-transect has been steadily increasing and is currently situated well above 1,700 m asl.</t>
  </si>
  <si>
    <t>[Smeets, Paul C. J. P.; Munneke, Peter Kuipers; van den Broeke, Michiel R.; Boot, Wim; Oerlemans, Hans; Snellen, Henk; Reijmer, Carleen H.; van de Wal, Roderik S. W.] Univ Utrecht, Inst Marine &amp; Atmospher Res, Dept Glaciol &amp; Climate, Utrecht, Netherlands; [van As, Dirk] Geol Survey Denmark &amp; Greenland, Copenhagen K, Denmark</t>
  </si>
  <si>
    <t>Utrecht University; Geological Survey Of Denmark &amp; Greenland</t>
  </si>
  <si>
    <t>Smeets, PCJP (corresponding author), Univ Utrecht, Inst Marine &amp; Atmospher Res, Dept Glaciol &amp; Climate, Utrecht, Netherlands.</t>
  </si>
  <si>
    <t>c.j.p.p.smeets@uu.nl</t>
  </si>
  <si>
    <t>Reijmer, Carleen H/G-8736-2011; van de wal, roderik/D-1705-2011; Van den Broeke, Michiel R./F-7867-2011</t>
  </si>
  <si>
    <t>Reijmer, Carleen H/0000-0001-8299-3883; van de wal, roderik/0000-0003-2543-3892; Van den Broeke, Michiel R./0000-0003-4662-7565; van As, Dirk/0000-0002-6553-8982</t>
  </si>
  <si>
    <t>NWO (Netherlands Institute for Scientific Research); Netherlands Polar Programme (NPP); NWO-Spinoza programme; NESSC (Netherlands Earth System Science Centre); KNAW (Royal Netherlands Academy of Sciences)</t>
  </si>
  <si>
    <t>We acknowledge funding from many sources, the most important ones being NWO (Netherlands Institute for Scientific Research), its Netherlands Polar Programme (NPP), NWO-Spinoza programme, NESSC (Netherlands Earth System Science Centre), and KNAW (Royal Netherlands Academy of Sciences). We thank numerous people for help in the field and for the construction and maintenance of the automatic weather stations. Data from the Programme for Monitoring of the Greenland Ice Sheet (PROMICE) were kindly provided by Dirk van As from the Geological Survey of Denmark and Greenland (GEUS). The positive feedback from the editor and two reviewers is kindly acknowledged.</t>
  </si>
  <si>
    <t>APR 20</t>
  </si>
  <si>
    <t>e1420954</t>
  </si>
  <si>
    <t>10.1080/15230430.2017.1420954</t>
  </si>
  <si>
    <t>GN1IM</t>
  </si>
  <si>
    <t>WOS:000438742700001</t>
  </si>
  <si>
    <t>Thompson, HA; White, JR; Pratt, LM</t>
  </si>
  <si>
    <t>Thompson, Hilary A.; White, Jeffrey R.; Pratt, Lisa M.</t>
  </si>
  <si>
    <t>Spatial variation in stable isotopic composition of organic matter of macrophytes and sediments from a small Arctic lake in west Greenland</t>
  </si>
  <si>
    <t>Arctic; lakes; macrophytes; sediment; stable carbon isotopes</t>
  </si>
  <si>
    <t>CARBON-ISOTOPE; INORGANIC CARBON; METHANE OXIDATION; NITROGEN; PLANTS; RATIOS; VARIABILITY; CLIMATE; DISCRIMINATION; PRESERVATION</t>
  </si>
  <si>
    <t>Stable isotope compositions of organic carbon (delta C-13(org)) and nitrogen (delta N-15) in macrophytes and sediments are useful in assessing sources of lake productivity and diagenesis of organic matter from formation through sedimentation to decomposition. Despite the increasing importance of high-latitude landscapes to carbon cycling under amplified and accelerating warming in the Arctic, the high density of small closed-basin lakes in this landscape, and the utility of stable isotopes in the study of carbon dynamics, limited data are available on within-lake spatial variability of delta C-13(org) and delta N-15 in these systems. The goal of this study was to investigate the spatial variability in stable isotopic composition of three dominant macrophyte species (Hippuris vulgaris, Eriophorum angustifolium, Warnstorfia exannulata) and sediments from littoral and profundal areas of a single closed-basin system among the common small Arctic lakes that populate the ice-free margin of Greenland. The range in delta C-13(org) of macrophytes (-33.9%o to -27.1 parts per thousand) was within the typical range of plants utilizing the C-3 pathway for carbon fixation. No notable differences were observed in delta C-13(org) between segments of the individual macrophytes (emergent, submergent, and root tissues), indicating that the isotopic fractionation of carbon was similar throughout the plant. Between-species variations in delta C-13(org) were small, but significant (p &lt; 0.01), with the moss most depleted in C-13. The range of delta N-15 in littoral and profundal sediments (-0.52%o to 1.33%o) was small, with littoral surface sediments 1%o less enriched in N-15 than surface sediments in the profundal zone. The C/N ratios of macrophytes (mean +/- SD: 27.0 +/- 12.6), littoral sediments (mean +/- SD: 11.0 +/- 1.0), and profundal sediments (mean +/- SD: 9.1 +/- 0.9) point to diagenetic alteration. Combined isotopic and elemental (C/N) compositions of littoral and profundal sediments suggest that organic matter accumulating in the study lake originate primarily from in-lake primary production of macrophytes. Terrestrial sources are likely minor because of the hydrologically closed basin and limited aeolian inputs, suggesting that the majority of organic matter produced by the dominant littoral macrophyte community was decomposed between production and sediment deposition.</t>
  </si>
  <si>
    <t>[Thompson, Hilary A.; White, Jeffrey R.] Indiana Univ, Sch Publ &amp; Environm Affairs, Bloomington, IN 47405 USA; [White, Jeffrey R.] Indiana Univ, Integrated Program Environm, Bloomington, IN 47405 USA; [White, Jeffrey R.; Pratt, Lisa M.] Indiana Univ, Dept Geol Sci, Bloomington, IN 47405 USA</t>
  </si>
  <si>
    <t>Indiana University System; Indiana University Bloomington; Indiana University System; Indiana University Bloomington; Indiana University System; Indiana University Bloomington</t>
  </si>
  <si>
    <t>White, JR (corresponding author), Indiana Univ, Sch Publ &amp; Environm Affairs, Bloomington, IN 47405 USA.;White, JR (corresponding author), Indiana Univ, Integrated Program Environm, Bloomington, IN 47405 USA.;White, JR (corresponding author), Indiana Univ, Dept Geol Sci, Bloomington, IN 47405 USA.</t>
  </si>
  <si>
    <t>whitej@indiana.edu</t>
  </si>
  <si>
    <t>White, Jeffrey/A-6965-2017</t>
  </si>
  <si>
    <t>White, Jeffrey/0000-0002-7541-3737</t>
  </si>
  <si>
    <t>NASA ASTEP [NNX11AJ01G]; NASA [143660, NNX11AJ01G] Funding Source: Federal RePORTER</t>
  </si>
  <si>
    <t>NASA ASTEP(National Aeronautics &amp; Space Administration (NASA)); NASA(National Aeronautics &amp; Space Administration (NASA))</t>
  </si>
  <si>
    <t>Funding was provided by NASA ASTEP Grant #NNX11AJ01G.</t>
  </si>
  <si>
    <t>e1420282</t>
  </si>
  <si>
    <t>10.1080/15230430.2017.1420282</t>
  </si>
  <si>
    <t>GN1JR</t>
  </si>
  <si>
    <t>WOS:000438746400001</t>
  </si>
  <si>
    <t>Burpee, BT; Anderson, D; Saros, JE</t>
  </si>
  <si>
    <t>Burpee, Benjamin T.; Anderson, Dennis; Saros, Jasmine E.</t>
  </si>
  <si>
    <t>Assessing ecological effects of glacial meltwater on lakes fed by the Greenland Ice Sheet: The role of nutrient subsidies and turbidity</t>
  </si>
  <si>
    <t>Greenland; glacial lakes; phosphorus; turbidity; diatoms</t>
  </si>
  <si>
    <t>ARCTIC LAKES; ALPINE LAKES; FOOD-WEB; PHOSPHORUS AVAILABILITY; ENZYME-ACTIVITY; PHYTOPLANKTON; NITROGEN; IMPACTS; ROCK; STOICHIOMETRY</t>
  </si>
  <si>
    <t>Meltwater discharge from the Greenland Ice Sheet (GrIS) exports sediment, solutes, total phosphorus (TP), dissolved inorganic nitrogen (DIN), and other macro- and micronutrients to associated aquatic ecosystems. It remains unclear how this meltwater affects the ecology of glacially fed (GF) lakes. We assessed a suite of physical, chemical, and biological features of four GF lakes, and compared them to those of four nearby snow- and groundwater-fed (SF) lakes. We found that TP concentrations were six times higher in GF compared to SF lakes, but microbial extracellular enzyme activities and aluminum, iron, and phosphorus sediment fractions suggested that much of this TP in GF lakes is likely not biologically available. Turbidity was fifteen times higher in GF lakes, and DIN was twice as high than in SF lakes, but these nitrogen differences were not significant. While diatom species richness did not significantly differ between lake types, GF lakes had higher water column chlorophyll a (Chl a). Diatom species distributions across all lakes were strongly associated with turbidity, TP, and dissolved organic carbon (DOC). While cosmopolitan diatom taxa such as Discostella stelligera were found in both lake types, diatom communities differed across lake types. For instance, Fragilaria and Psammothidium species dominated GF lakes, while Achnanthes species and Lindavia ocellata were dominant in SF lakes. In addition to turbidity, the moderate amounts of DIN in GF lakes may play an important role in shaping diatom communities. This is supported by the high abundance in GF lakes of taxa such as Fragilaria tenera and D. stelligera, which reflect nitrogen enrichment in some lakes. Our results demonstrate how GrIS meltwaters alter the ecology of Arctic lakes, and contribute to the growing body of literature that reveals spatial variability in the effects of glacial meltwaters on lake ecosystems.</t>
  </si>
  <si>
    <t>[Burpee, Benjamin T.; Anderson, Dennis; Saros, Jasmine E.] Univ Maine, Sch Biol &amp; Ecol, Climate Change Inst, 127 Sawyer Hall, Orono, ME 04469 USA</t>
  </si>
  <si>
    <t>University of Maine System; University of Maine Orono</t>
  </si>
  <si>
    <t>Burpee, BT (corresponding author), Univ Maine, Sch Biol &amp; Ecol, Climate Change Inst, 127 Sawyer Hall, Orono, ME 04469 USA.</t>
  </si>
  <si>
    <t>benjaminburpee@gmail.com</t>
  </si>
  <si>
    <t>U.S. National Science Foundation [1203434, 1144423]; Division Of Graduate Education; Direct For Education and Human Resources [1144423] Funding Source: National Science Foundation</t>
  </si>
  <si>
    <t>Funding for this project was provided by the U.S. National Science Foundation (Grants no. 1203434 and 1144423).</t>
  </si>
  <si>
    <t>e1420953</t>
  </si>
  <si>
    <t>10.1080/15230430.2017.1420953</t>
  </si>
  <si>
    <t>GN1KE</t>
  </si>
  <si>
    <t>WOS:000438747900001</t>
  </si>
  <si>
    <t>Hasholt, B; van As, D; Mikkelsen, AB; Mernild, SH; Yde, JC</t>
  </si>
  <si>
    <t>Hasholt, Bent; van As, Dirk; Mikkelsen, Andreas B.; Mernild, Sebastian H.; Yde, Jacob C.</t>
  </si>
  <si>
    <t>Observed sediment and solute transport from the Kangerlussuaq sector of the Greenland ice Sheet (2006-2016)</t>
  </si>
  <si>
    <t>Glacial erosion; Greenland Ice Sheet; Kangerlussuaq; sediment transport; solute transport; Watson River</t>
  </si>
  <si>
    <t>CHEMICAL DENUDATION; SUSPENDED SEDIMENT; GLACIAL EROSION; RUSSELL GLACIER; WEST GREENLAND; MELTWATER; EXPORT; PHOSPHORUS; CATCHMENT; NITROGEN</t>
  </si>
  <si>
    <t>New measurements of Watson River sediment and solute concentrations and an extended river discharge record improved by acoustic Doppler current profiler (ADCP) measurements are used to calculate the total sediment and solute transport from a large ice-sheet sector in southern west Greenland. For the 2006-2016 period, the mean annual sediment and solute transport was 17.5 +/- 7.2 x 10(6) t and 85 +/- 30 x 10(3) t, respectively (standard deviation given). The highest annual transport occurred in 2010, attaining values of 29.6 x 10(6) t and 138 x 10(3) t, respectively. The corresponding annual average values of specific transport are 1.39 x 10 3 t km(-2) a(-1) for sediment and 6.7 t km(-2) a(-1) for solutes from the approximately 12,600 km(2) (95% ice covered) catchment, yielding an area-average erosion rate of 0.5 mm a(-1). The specific transport is likely several times higher under the ice sheet near the margin where all meltwater passes than it is in the interior where the ice sheet is frozen to the bed. We conclude that the Greenland Ice Sheet is a large supplier of sediment and solutes to the surrounding fjords and seas. We find that the proglacial area can be a net source of sediments during high floods and we confirm that an increased amount of meltwater-transported sediments can explain the expansion of deltas around Greenland, contradictory to delta erosion observed elsewhere in the Arctic in recent years.</t>
  </si>
  <si>
    <t>[Hasholt, Bent; Mikkelsen, Andreas B.] Univ Copenhagen, Dept Geosci &amp; Nat Resource Management, Copenhagen K, Denmark; [van As, Dirk] Geol Survey Denmark &amp; Greenland GEUS, Dept Glaciol &amp; Climate, Copenhagen K, Denmark; [Mernild, Sebastian H.] Nansen Environm &amp; Remote Sensing Ctr, Bergen, Norway; [Mernild, Sebastian H.] Univ Magallanes, Antarctic &amp; Subantarctic Program, Punta Arenas, Chile; [Mernild, Sebastian H.; Yde, Jacob C.] Western Norway Univ Appl Sci, Dept Environm Sci, Sogndal, Norway</t>
  </si>
  <si>
    <t>University of Copenhagen; Geological Survey Of Denmark &amp; Greenland; Nansen Environmental &amp; Remote Sensing Center (NERSC); Universidad de Magallanes; Western Norway University of Applied Sciences</t>
  </si>
  <si>
    <t>Hasholt, B (corresponding author), Univ Copenhagen, Dept Geosci &amp; Nat Resource Management, Copenhagen K, Denmark.</t>
  </si>
  <si>
    <t>bh@ign.ku.dk</t>
  </si>
  <si>
    <t>Hasholt, Bent/E-3615-2015; Mernild, Sebastian H./M-5516-2013</t>
  </si>
  <si>
    <t>Hasholt, Bent/0000-0003-4075-2584; Yde, Jacob Clement/0000-0002-6211-2601; Mernild, Sebastian H./0000-0003-0797-3975; van As, Dirk/0000-0002-6553-8982</t>
  </si>
  <si>
    <t>Commission for Scientific Research in Greenland [07-015998, 09-064628, 2138-08-0003]; Danish Natural Science Research Council [272-07-0645]; Center for Permafrost (CENPERM); Department of Geosciences and Natural Resource Management (IGN); Greenland Analogue Project (GAP); Danish Energy Agency (ENS); Centre for Ice and Climate (CIC/NBI); CH2M HILL Polar Services (CPSpolar); Kangerlussuaq International Science Support (KISS); Greenland Survey (Asiaq)</t>
  </si>
  <si>
    <t>Commission for Scientific Research in Greenland; Danish Natural Science Research Council(Danish Natural Science Research Council); Center for Permafrost (CENPERM); Department of Geosciences and Natural Resource Management (IGN); Greenland Analogue Project (GAP); Danish Energy Agency (ENS); Centre for Ice and Climate (CIC/NBI); CH2M HILL Polar Services (CPSpolar); Kangerlussuaq International Science Support (KISS); Greenland Survey (Asiaq)</t>
  </si>
  <si>
    <t>Over the years, the Watson River discharge monitoring has been financed through various funding sources: the Commission for Scientific Research in Greenland grants 07-015998, 09-064628 and 2138-08-0003, the Danish Natural Science Research Council grant 272-07-0645, the Center for Permafrost (CENPERM), the Department of Geosciences and Natural Resource Management (IGN), the Greenland Analogue Project (GAP), and the Danish Energy Agency (ENS) through the WASEIS and PROMICE projects. We acknowledge local support by the Centre for Ice and Climate (CIC/NBI), CH2M HILL Polar Services (CPSpolar), Kangerlussuaq International Science Support (KISS), and the Greenland Survey (Asiaq).</t>
  </si>
  <si>
    <t>e1433789</t>
  </si>
  <si>
    <t>10.1080/15230430.2018.1433789</t>
  </si>
  <si>
    <t>GN1JC</t>
  </si>
  <si>
    <t>WOS:000438744700001</t>
  </si>
  <si>
    <t>Peters, BD; Jenkins, WJ; Swift, JH; German, CR; Moffett, JW; Cutter, GA; Brzezinski, MA; Casciotti, KL</t>
  </si>
  <si>
    <t>Peters, Brian D.; Jenkins, William J.; Swift, James H.; German, Christopher R.; Moffett, James W.; Cutter, Gregory A.; Brzezinski, Mark A.; Casciotti, Karen L.</t>
  </si>
  <si>
    <t>Water mass analysis of the 2013 US GEOTRACES eastern Pacific zonal transect (GP16)</t>
  </si>
  <si>
    <t>MARINE CHEMISTRY</t>
  </si>
  <si>
    <t>Conference on US Geotraces Eastern Tropical Pacific Transect (GP)</t>
  </si>
  <si>
    <t>OCT 05-07, 2013</t>
  </si>
  <si>
    <t>Seattle, WA</t>
  </si>
  <si>
    <t>Water masses; Hydrography; GEOTRACES; Trace metals; Pacific Ocean</t>
  </si>
  <si>
    <t>OXYGEN MINIMUM ZONE; OPTIMUM MULTIPARAMETER ANALYSIS; GLOBAL OCEAN CIRCULATION; SOUTH-PACIFIC; HYDROTHERMAL PROCESSES; HYDROGRAPHIC SECTION; ATLANTIC; THERMOCLINE; TRANSPORT; MANGANESE</t>
  </si>
  <si>
    <t>The 2013 US GEOTRACES Eastern Pacific Zonal Transect (GP16) extended from the Peruvian coast to Tahiti, along a line that fell between 10 and 15 degrees S. This transect sampled the Peruvian oxygen deficient zone (ODZ) and the hydrothermal plume extending from the East Pacific Rise (EPR) for a variety of trace elements and isotopes (TEIs). Here we report nutrient and hydrographic measurements collected on this cruise, as well as results from an Optimum Multiparameter Analysis (OMPA) to quantify the fractional contributions of endmember water masses in each sample. The primary goals of this study were to better understand the distribution of water masses in the eastern tropical Pacific, and to help interpret TEI measurements collected on this cruise, as well as related studies carried out in the region. In the thermocline, Equatorial Subsurface Water (ESSW) dominated the low oxygen waters of the eastern tropical South Pacific, blending into Eastern South Pacific Intermediate Water (ESPIW) and South Pacific Central Water (SPCW) further west. Below the thermocline, distributions of Antarctic Intermediate Water (AAIW) and Equatorial Pacific Intermediate Water (EqPIW) were relatively homogenous along the section between 800 and 1200 m depth. Deeper in the water column, distinct water mass signatures were found on opposite sides of the EPR: southward flowing Pacific Deep Water (PDW) dominated the basin east of the EPR, while the northward flowing Antarctic Bottom Water (AABW) and Lower Circumpolar Deep Water (LCDW) had the strongest contributions on the western side of the EPR. These findings support previous studies that indicate the Peruvian ODZ is largely contained within ESSW and that the EPR plays an important role in steering water mass distributions in the deep waters of the tropical Pacific. Overall, these results agree well with previous water mass analyses in this region and are consistent with the general circulation patterns in the eastern tropical Pacific.</t>
  </si>
  <si>
    <t>[Peters, Brian D.; Casciotti, Karen L.] Stanford Univ, Dept Earth Syst Sci, Stanford, CA 94305 USA; [Jenkins, William J.; German, Christopher R.] Woods Hole Oceanog Inst, Dept Marine Chem &amp; Geochem, Woods Hole, MA 02543 USA; [Swift, James H.] Scripps Inst Oceanog, Dept Climate Atmospher Sci &amp; Phys Oceanog, La Jolla, CA 92037 USA; [Moffett, James W.] Univ Southern Calif, Dept Biol Sci, Los Angeles, CA 90033 USA; [Cutter, Gregory A.] Old Dominion Univ, Dept Ocean Earth &amp; Atmospher Sci, Norfolk, VA 23529 USA; [Brzezinski, Mark A.] Univ Calif Santa Barbara, Marine Sci Inst, Santa Barbara, CA 93106 USA</t>
  </si>
  <si>
    <t>Stanford University; Woods Hole Oceanographic Institution; University of California System; University of California San Diego; Scripps Institution of Oceanography; University of Southern California; Old Dominion University; University of California System; University of California Santa Barbara</t>
  </si>
  <si>
    <t>Casciotti, KL (corresponding author), Stanford Univ, Dept Earth Syst Sci, Stanford, CA 94305 USA.</t>
  </si>
  <si>
    <t>kcasciotti@stanford.edu</t>
  </si>
  <si>
    <t>Swift, James/0000-0003-0957-5444; Casciotti, Karen/0000-0002-5286-7795</t>
  </si>
  <si>
    <t>NSF Chemical Oceanography awards [OCE-1233339, OCE-1233028, OCE-1130870, OCE-1232991, OCE-1130245]</t>
  </si>
  <si>
    <t>NSF Chemical Oceanography awards</t>
  </si>
  <si>
    <t>We sincerely thank the ODF group members Susan Becker, Melissa Miller, Rob Palomares, and Mary Johnson for their hard work and dedication in collecting, organizing, and distributing all of the hydro graphic measurements from GP16. We also thank the captain and crew of the RN Thomas G. Thompson for their outstanding support of this work at sea. This work was made possible with funding from NSF Chemical Oceanography awards OCE-1233339 to KLC, OCE-1233028 to MB, OCE-1130870 to CRG and JS, OCE-1232991 to WJJ, and OCE-1130245 to GC. Finally, we thank Lynne Talley for helpful comments, and Leif Thomas for helpful conversations and comments.</t>
  </si>
  <si>
    <t>0304-4203</t>
  </si>
  <si>
    <t>1872-7581</t>
  </si>
  <si>
    <t>MAR CHEM</t>
  </si>
  <si>
    <t>Mar. Chem.</t>
  </si>
  <si>
    <t>10.1016/j.marchem.2017.09.007</t>
  </si>
  <si>
    <t>Chemistry, Multidisciplinary; Oceanography</t>
  </si>
  <si>
    <t>Chemistry; Oceanography</t>
  </si>
  <si>
    <t>GE0KA</t>
  </si>
  <si>
    <t>WOS:000430901500002</t>
  </si>
  <si>
    <t>Hancock, AM; Davidson, AT; McKinlay, J; McMinn, A; Schulz, KG; van den Enden, RL</t>
  </si>
  <si>
    <t>Hancock, Alyce M.; Davidson, Andrew T.; McKinlay, John; McMinn, Andrew; Schulz, Kai G.; van den Enden, Rick L.</t>
  </si>
  <si>
    <t>Ocean acidification changes the structure of an Antarctic coastal protistan community</t>
  </si>
  <si>
    <t>CARBON-CONCENTRATING MECHANISMS; SOUTHERN-OCEAN; ANNUAL CYCLE; PRYDZ BAY; ICE-ZONE; HIGH CO2; SEA-ICE; PHYTOPLANKTON; GROWTH; MICROZOOPLANKTON</t>
  </si>
  <si>
    <t>Antarctic near-shore waters are amongst the most sensitive in the world to ocean acidification. Microbes occupying these waters are critical drivers of ecosystem productivity, elemental cycling and ocean biogeochemistry, yet little is known about their sensitivity to ocean acidification. A six-level, dose-response experiment was conducted using 650 L incubation tanks (minicosms) adjusted to a gradient in fugacity of carbon dioxide (f CO2) from 343 to 1641 mu atm. The six minicosms were filled with near-shore water from Prydz Bay, East Antarctica, and the protistan composition and abundance was determined by microscopy during 18 days of incubation. No CO2-related change in the protistan community composition was observed during the initial 8 day acclimation period under low light. Thereafter, the response of both autotrophic and heterotrophic protists to f CO2 was species-specific. The response of diatoms was mainly cell size related; microplanktonic diatoms (&gt; 20 mu m) increased in abundance with low to moderate f CO2 (343-634 mu atm) but decreased at f CO2 &gt;= 953 mu atm. Similarly, the abundance of Phaeocystis antarctica increased with increasing f CO2 peaking at 634 mu atm. Above this threshold the abundance of micro-sized diatoms and P. antarctica fell dramatically, and nanoplanktonic diatoms (&lt;= 20 mu m) dominated, therefore culminating in a significant change in the protistan community composition. Comparisons of these results with previous experiments conducted at this site show that the f CO2 thresholds are similar, despite seasonal and interannual differences in the physical and biotic environment. This suggests that near-shore microbial communities are likely to change significantly near the end of this century if anthropogenic CO2 release continues unabated, with profound ramifications for near-shore Antarctic ecosystem food webs and biogeochemical cycling.</t>
  </si>
  <si>
    <t>[Hancock, Alyce M.; McMinn, Andrew] Univ Tasmania, Inst Marine &amp; Antarctic Studies, 20 Castray Esplanade, Battery Point, Tas 7004, Australia; [Hancock, Alyce M.; McMinn, Andrew] Antarctic Gateway Partnership, 20 Castray Esplanade, Battery Point, Tas 7004, Australia; [Hancock, Alyce M.; Davidson, Andrew T.; McMinn, Andrew] Antarctic Climate &amp; Ecosyst Cooperat Res Ctr, 20 Castray Esplanade, Battery Point, Tas 7004, Australia; [Davidson, Andrew T.; McKinlay, John; van den Enden, Rick L.] Australian Antarctic Div, 203 Channel Hwy, Kingston, Tas 7050, Australia; [Schulz, Kai G.] Southern Cross Univ, Sch Environm Sci &amp; Engn, Ctr Coastal Biogeochem0, Lismore, NSW 2480, Australia</t>
  </si>
  <si>
    <t>University of Tasmania; Antarctic Climate &amp; Ecosystems Cooperative Research Centre (ACE CRC); Australian Antarctic Division; Southern Cross University</t>
  </si>
  <si>
    <t>Hancock, AM (corresponding author), Univ Tasmania, Inst Marine &amp; Antarctic Studies, 20 Castray Esplanade, Battery Point, Tas 7004, Australia.;Hancock, AM (corresponding author), Antarctic Gateway Partnership, 20 Castray Esplanade, Battery Point, Tas 7004, Australia.;Hancock, AM (corresponding author), Antarctic Climate &amp; Ecosyst Cooperat Res Ctr, 20 Castray Esplanade, Battery Point, Tas 7004, Australia.</t>
  </si>
  <si>
    <t>alyce.hancock@utas.edu.au</t>
  </si>
  <si>
    <t>Schulz, Kai/AEZ-9073-2022; Hancock, Alyce M./AAX-3151-2020; McMinn, Andrew/A-9910-2008</t>
  </si>
  <si>
    <t>Schulz, Kai/0000-0002-8481-4639; Hancock, Alyce M./0000-0001-6049-5592; McKinlay, John/0000-0003-4858-2604</t>
  </si>
  <si>
    <t>Australian Government Department of Environment and Energy as part of Australian Antarctic Science project at the Australian Antarctic Division [4026]; Australian Research Council's Special Research Initiative for Antarctic Gateway Partnership [SR140300001]; Australian Governments Cooperative Research Centres Program through the Antarctic Climate and Ecosystems Cooperative Research Centre (ACE CRC)</t>
  </si>
  <si>
    <t>Australian Government Department of Environment and Energy as part of Australian Antarctic Science project at the Australian Antarctic Division; Australian Research Council's Special Research Initiative for Antarctic Gateway Partnership(Australian Research Council); Australian Governments Cooperative Research Centres Program through the Antarctic Climate and Ecosystems Cooperative Research Centre (ACE CRC)(Australian GovernmentDepartment of Industry, Innovation and ScienceCooperative Research Centres (CRC) Programme)</t>
  </si>
  <si>
    <t>This work was supported by the Australian Government Department of Environment and Energy as part of Australian Antarctic Science project 4026 at the Australian Antarctic Division, as well as the Australian Research Council's Special Research Initiative for Antarctic Gateway Partnership (Project ID SR140300001) and the Australian Governments Cooperative Research Centres Program through the Antarctic Climate and Ecosystems Cooperative Research Centre (ACE CRC). We would like to acknowledge the Australian Antarctic Division for technical and logistical support, as well as the other members of the minicosm experimental team at Davis Station 2014 and the expedition members at Davis Station the summer of 2014 and 2015 for their support and assistance. We would also like to thank Simon Reeves for providing R code that created the temporal graphs.</t>
  </si>
  <si>
    <t>10.5194/bg-15-2393-2018</t>
  </si>
  <si>
    <t>GD4YP</t>
  </si>
  <si>
    <t>gold, Green Accepted, Green Submitted</t>
  </si>
  <si>
    <t>WOS:000430510700001</t>
  </si>
  <si>
    <t>Reisinger, RR; Landman, M; Mgibantaka, N; Smale, MJ; Bester, MN; De Bruyn, PJN; Pistorius, PA</t>
  </si>
  <si>
    <t>Reisinger, Ryan R.; Landman, Marietjie; Mgibantaka, Nonkoliso; Smale, Malcolm J.; Bester, Marthan N.; De Bruyn, P. J. Nico; Pistorius, Pierre A.</t>
  </si>
  <si>
    <t>Overlap and temporal variation in the diets of sympatric Antarctic and Subantarctic fur seals (Arctocephalus spp.) at Marion Island, Prince Edward Islands</t>
  </si>
  <si>
    <t>Prey; scats; foraging; marine mammal; pinniped; Southern Ocean; CI: confidence interval; PERMANOVA: permutational multivariate analysis of variance</t>
  </si>
  <si>
    <t>SOUTHERN-OCEAN PREDATOR; POPULATION-CHANGES; FORAGING BEHAVIOR; SEASONAL-CHANGES; STABLE-ISOTOPES; GEORGE ISLAND; PUP GROWTH; GAZELLA; TROPICALIS; WINTER</t>
  </si>
  <si>
    <t>Antarctic (Arctocephalus gazella) and Subantarctic (A. tropicalis) fur seals are important predators in the Southern Ocean. Marion Island (southern Indian Ocean) hosts the largest sympatric breeding populations of these two species. Environmental and population changes here over two decades may have influenced their diet and trophic interactions. To quantify diet, we analysed prey remains in scat samples from Antarctic (661 scats) and Subantarctic (750 scats) fur seals collected at Marion Island (2006-2010). We assessed diet composition over time and calculated dietary overlap. The diet of both species was dominated by fish prey (98.2% and 99.4% of prey items), mainly myctophids. Antarctic fur seals consumed small numbers of penguins, cephalopods and crustaceans. In Subantarctic fur seal scats, crustaceans and cephalopods were rare and penguin remains were absent. The diets of the two species overlapped substantially (Pianka's index=0.98), however, small but significant differences in the relative proportions of prey were evident. Seasonal and annual diet changes suggest that their diet is similarly influenced by patterns of local prey availability and abundance. Despite substantial changes in the population size and trajectory of Antarctic and Subantarctic fur seals - which would be expected to influence trophic interactions between them - comparing our data to those from earlier studies (1989-2000) did not reveal significant long-term dietary changes in either species.</t>
  </si>
  <si>
    <t>[Reisinger, Ryan R.; Mgibantaka, Nonkoliso; Smale, Malcolm J.; Pistorius, Pierre A.] Nelson Mandela Univ, Percy Fitzpatrick Inst African Ornithol, Dept Zool, DST NRF Ctr Excellence, Port Elizabeth, South Africa; [Landman, Marietjie] Nelson Mandela Univ, Dept Zool, Ctr African Conservat Ecol, Port Elizabeth, South Africa; [Smale, Malcolm J.] Port Elizabeth Museum Bayworld, Port Elizabeth, South Africa; [Bester, Marthan N.; De Bruyn, P. J. Nico] Univ Pretoria, Mammal Res Inst, Dept Zool &amp; Entomol, Hatfield, South Africa</t>
  </si>
  <si>
    <t>Nelson Mandela University; National Research Foundation - South Africa; Nelson Mandela University; University of Pretoria</t>
  </si>
  <si>
    <t>Reisinger, RR (corresponding author), Univ La Rochelle, Ctr Etud Biol Chize, UMR 7372, CNRS, F-79360 Villiers En Bois, France.</t>
  </si>
  <si>
    <t>ryan.r.reisinger@gmail.com</t>
  </si>
  <si>
    <t>Reisinger, Ryan R/D-6151-2014; de Bruyn, P. J. Nico/E-4176-2010; Bester, Marthán N/E-5387-2010</t>
  </si>
  <si>
    <t>Reisinger, Ryan R/0000-0002-8933-6875; de Bruyn, P. J. Nico/0000-0002-9114-9569; Smale, Malcolm/0000-0002-1135-8687; Pistorius, Pierre/0000-0001-6561-7069</t>
  </si>
  <si>
    <t>National Research Foundation (South Africa) [SNA93071]; National Research Foundation SANCOR [94916]</t>
  </si>
  <si>
    <t>National Research Foundation (South Africa)(National Research Foundation - South Africa); National Research Foundation SANCOR</t>
  </si>
  <si>
    <t>This work was supported by the National Research Foundation (South Africa) under grant number SNA93071. RRR was supported by a National Research Foundation SANCOR post-doctoral fellowship (grant 94916).</t>
  </si>
  <si>
    <t>10.1080/17518369.2018.1451142</t>
  </si>
  <si>
    <t>GD4WZ</t>
  </si>
  <si>
    <t>WOS:000430505100001</t>
  </si>
  <si>
    <t>Munneke, PK; Smeets, CJPP; Reijmer, CH; Oerlemans, J; van de Wal, RSW; van den Broeke, MR</t>
  </si>
  <si>
    <t>Munneke, P. Kuipers; Smeets, C. J. P. P.; Reijmer, C. H.; Oerlemans, J.; van de Wal, R. S. W.; van den Broeke, M. R.</t>
  </si>
  <si>
    <t>The K-transect on the western Greenland Ice Sheet: Surface energy balance (2003-2016)</t>
  </si>
  <si>
    <t>Greenland; surface melt; automatic weather station; surface energy balance; albedo</t>
  </si>
  <si>
    <t>ABLATION ZONE; DARK REGION; MELT; TEMPERATURE; FLUXES; SNOW; AREA; VARIABILITY; ROUGHNESS; EXCHANGE</t>
  </si>
  <si>
    <t>We present thirteen years (2003-2016) of surface energy balance calculations from automatic weather stations (AWS) along the K-transect in west Greenland. Although short in a climatological sense, these time series start to become long enough to provide valuable insight into the interannual variability and drivers of melt in this part of Greenland and into trends in certain components of the surface energy balance. For instance, the data clearly reveal that albedo variations explain most of the interannual melt variability at the higher stations in the accumulation zone. Sensible heat becomes a major heat source for melt in the lower ablation zone, while latent heat modulates annual melt by up to 20 W m(-2). Also, at two locations with the longest uninterrupted time series, we see a decreasing trend of incoming longwave radiation (-1.2 to -1.4 W m(-2) y(-1), p &lt; 0.10) concurrent with an increase in incoming shortwave radiation (+2.4 to +3.8 W m(-2) y(-1), p &lt; 0.10) during the observation period. This suggests that decreasing cloud cover plays a role in the increased availability of melt energy (+0.7 to +2.2 W m(-2) y(-1), not statistically significant at p &lt; 0.10). At the AWS situated around the equilibrium line altitude (ELA), the observed negative trend in albedo is strongest of all stations (-0.0087 y(-1)), as the ELA moves upward and bare ice becomes exposed. These insights are important for modeling the future response of the ice sheet to continued global warming, which is expected to be dominated by surface processes.</t>
  </si>
  <si>
    <t>[Munneke, P. Kuipers; Smeets, C. J. P. P.; Reijmer, C. H.; Oerlemans, J.; van de Wal, R. S. W.; van den Broeke, M. R.] Univ Utrecht, Inst Marine &amp; Atmospher Res, POB 80000, NL-3508 TA Utrecht, Netherlands</t>
  </si>
  <si>
    <t>Munneke, PK (corresponding author), Univ Utrecht, Inst Marine &amp; Atmospher Res, POB 80000, NL-3508 TA Utrecht, Netherlands.</t>
  </si>
  <si>
    <t>p.kuipersmunneke@uu.nl</t>
  </si>
  <si>
    <t>van de wal, roderik/D-1705-2011; Reijmer, Carleen H/G-8736-2011; Van den Broeke, Michiel R./F-7867-2011</t>
  </si>
  <si>
    <t>van de wal, roderik/0000-0003-2543-3892; Reijmer, Carleen H/0000-0001-8299-3883; Van den Broeke, Michiel R./0000-0003-4662-7565</t>
  </si>
  <si>
    <t>We acknowledge funding from many sources, the most important ones being NWO (Netherlands Institute for Scientific Research), its Netherlands Polar Programme (NPP), NWO-Spinoza programme, NESSC (Netherlands Earth System Science Centre), and KNAW (Royal Netherlands Academy of Sciences).</t>
  </si>
  <si>
    <t>e1420952</t>
  </si>
  <si>
    <t>10.1080/15230430.2017.1420952</t>
  </si>
  <si>
    <t>WOS:000438742700002</t>
  </si>
  <si>
    <t>van Wessem, JM; van de Berg, WJ; Noël, BPY; van Meijgaard, E; Amory, C; Birnbaum, G; Jakobs, CL; Krüger, K; Lenaerts, JTM; Lhermitte, S; Ligtenberg, SRM; Medley, B; Reijmer, CH; van Tricht, K; Trusel, LD; van Ulft, LH; Wouters, B; Wuite, J; van den Broeke, MR</t>
  </si>
  <si>
    <t>van Wessem, Jan Melchior; van de Berg, Willem Jan; Noel, Brice P. Y.; van Meijgaard, Erik; Amory, Charles; Birnbaum, Gerit; Jakobs, Constantijn L.; Krueger, Konstantin; Lenaerts, Jan T. M.; Lhermitte, Stef; Ligtenberg, Stefan R. M.; Medley, Brooke; Reijmer, Carleen H.; van Tricht, Kristof; Trusel, Luke D.; van Ulft, Lambertus H.; Wouters, Bert; Wuite, Jan; van den Broeke, Michiel R.</t>
  </si>
  <si>
    <t>Modelling the climate and surface mass balance of polar ice sheets using RACMO2-Part 2: Antarctica (1979-2016)</t>
  </si>
  <si>
    <t>AUTOMATIC WEATHER STATIONS; DIGITAL ELEVATION MODEL; ENERGY-BALANCE; EAST ANTARCTICA; AIRBORNE-RADAR; DRIFTING SNOW; BLOWING SNOW; LASER DATA; GREENLAND; FIRN</t>
  </si>
  <si>
    <t>We evaluate modelled Antarctic ice sheet (AIS) near-surface climate, surface mass balance (SMB) and surface energy balance (SEB) from the updated polar version of the regional atmospheric climate model, RACMO2 (1979-2016). The updated model, referred to as RACMO2.3p2, incorporates upper-air relaxation, a revised topography, tuned parameters in the cloud scheme to generate more precipitation towards the AIS interior and modified snow properties reducing drifting snow sublimation and increasing surface snowmelt.&amp; para;&amp; para;Comparisons of RACMO2 model output with several independent observational data show that the existing biases in AIS temperature, radiative fluxes and SMB components are further reduced with respect to the previous model version. The model-integrated annual average SMB for the ice sheet including ice shelves (minus the Antarctic Peninsula, AP) now amounts to 2229 Gt y(-1), with an interannual variability of 109 Gt y(-1). The largest improvement is found in modelled surface snowmelt, which now compares well with satellite and weather station observations. For the high-resolution (similar to 5.5 km) AP simulation, results remain comparable to earlier studies.&amp; para;&amp; para;The updated model provides a new, high-resolution data set of the contemporary near-surface climate and SMB of the AIS; this model version will be used for future climate scenario projections in a forthcoming study.</t>
  </si>
  <si>
    <t>[van Wessem, Jan Melchior; van de Berg, Willem Jan; Noel, Brice P. Y.; Jakobs, Constantijn L.; Ligtenberg, Stefan R. M.; Reijmer, Carleen H.; Wouters, Bert; van den Broeke, Michiel R.] Univ Utrecht, Inst Marine &amp; Atmospher Res Utrecht, Utrecht, Netherlands; [van Meijgaard, Erik; van Ulft, Lambertus H.] Royal Netherlands Meteorol Inst, De Bilt, Netherlands; [Amory, Charles] Univ Liege, Dept Geog, Liege, Belgium; [Birnbaum, Gerit; Krueger, Konstantin] Helmholtz Ctr Polar &amp; Marine Res, Alfred Wegener Inst, Bremerhaven, Germany; [Lenaerts, Jan T. M.] Univ Colorado, Dept Atmospher &amp; Ocean Sci, Boulder, CO 80309 USA; [Lhermitte, Stef] Delft Univ Technol, Dept Geosci &amp; Remote Sensing, Delft, Netherlands; [Medley, Brooke] NASA, Cryospher Sci Lab, Goddard Space Flight Ctr, Greenbelt, MD USA; [van Tricht, Kristof] Katholieke Univ Leuven, Dept Earth &amp; Environm Sci, Leuven, Belgium; [Trusel, Luke D.] Rowan Univ, Dept Geol, Glassboro, NJ USA; [Wuite, Jan] ENVEO IT GmbH, Innsbruck, Austria</t>
  </si>
  <si>
    <t>Utrecht University; Royal Netherlands Meteorological Institute; University of Liege; Helmholtz Association; Alfred Wegener Institute, Helmholtz Centre for Polar &amp; Marine Research; University of Colorado System; University of Colorado Boulder; Delft University of Technology; National Aeronautics &amp; Space Administration (NASA); NASA Goddard Space Flight Center; KU Leuven; Rowan University</t>
  </si>
  <si>
    <t>van Wessem, JM (corresponding author), Univ Utrecht, Inst Marine &amp; Atmospher Res Utrecht, Utrecht, Netherlands.</t>
  </si>
  <si>
    <t>j.m.vanwessem@uu.nl</t>
  </si>
  <si>
    <t>Van den Broeke, Michiel R./F-7867-2011; Trusel, Luke D/E-2578-2013; Wouters, Bert/AAA-4254-2019; Ligtenberg, Stefan/AAF-8290-2020; Wouters, Bert/A-5301-2017; Reijmer, Carleen H/G-8736-2011; Jakobs, Stan/AAF-1744-2020; van Wessem, Melchior/AAB-1987-2019; Lhermitte, Stef (Stefaan)/A-3385-2013; van de Berg, Willem Jan/H-4385-2011; Lenaerts, Jan/D-9423-2012</t>
  </si>
  <si>
    <t>Van den Broeke, Michiel R./0000-0003-4662-7565; Wouters, Bert/0000-0002-1086-2435; Reijmer, Carleen H/0000-0001-8299-3883; Jakobs, Stan/0000-0001-8707-2223; Lhermitte, Stef (Stefaan)/0000-0002-1622-0177; van de Berg, Willem Jan/0000-0002-8232-2040; Lenaerts, Jan/0000-0003-4309-4011</t>
  </si>
  <si>
    <t>Netherlands Organization for Scientific Research [866.15.201]; Netherlands Earth System Science Center (NESSC); French Polar Institute IPEV [CALVA-1013]</t>
  </si>
  <si>
    <t>Netherlands Organization for Scientific Research(Netherlands Organization for Scientific Research (NWO)); Netherlands Earth System Science Center (NESSC); French Polar Institute IPEV</t>
  </si>
  <si>
    <t>We acknowledge financial contributions made by the Netherlands Organization for Scientific Research (grant 866.15.201) and the Netherlands Earth System Science Center (NESSC). We thank the ECMWF for the use of their supercomputing facilities. Drifting snow observations in Adelie Land (Charles Amory) would not have been possible without the financial and logistical support of the French Polar Institute IPEV (programme CALVA-1013) Graphics and calculations were made using the NCAR Command Language (version 6.3.0, 2017).</t>
  </si>
  <si>
    <t>10.5194/tc-12-1479-2018</t>
  </si>
  <si>
    <t>GD4TG</t>
  </si>
  <si>
    <t>WOS:000430494900002</t>
  </si>
  <si>
    <t>Goelzer, H; Nowicki, S; Edwards, T; Beckley, M; Abe-Ouchi, A; Aschwanden, A; Calov, R; Gagliardini, O; Gillet-Chaulet, F; Golledge, NR; Gregory, J; Greve, R; Humbert, A; Huybrechts, P; Kennedy, JH; Larour, E; Lipscomb, WH; Le Clec'h, S; Lee, V; Morlighem, M; Pattyn, F; Payne, AJ; Rodehacke, C; Rückamp, M; Saito, F; Schlegel, N; Seroussi, H; Shepherd, A; Sun, S; van de Wal, R; Ziemen, FA</t>
  </si>
  <si>
    <t>Goelzer, Heiko; Nowicki, Sophie; Edwards, Tamsin; Beckley, Matthew; Abe-Ouchi, Ayako; Aschwanden, Andy; Calov, Reinhard; Gagliardini, Olivier; Gillet-Chaulet, Fabien; Golledge, Nicholas R.; Gregory, Jonathan; Greve, Ralf; Humbert, Angelika; Huybrechts, Philippe; Kennedy, Joseph H.; Larour, Eric; Lipscomb, William H.; Le Clec'h, Sebastien; Lee, Victoria; Morlighem, Mathieu; Pattyn, Frank; Payne, Antony J.; Rodehacke, Christian; Rueckamp, Martin; Saito, Fuyuki; Schlegel, Nicole; Seroussi, Helene; Shepherd, Andrew; Sun, Sainan; van de Wal, Roderik; Ziemen, Florian A.</t>
  </si>
  <si>
    <t>Design and results of the ice sheet model initialisation initMIP-Greenland: an ISMIP6 intercomparison</t>
  </si>
  <si>
    <t>SURFACE MASS-BALANCE; FUTURE SEA-LEVEL; HEAT-FLUX; SPATIAL SENSITIVITIES; ENVIRONMENTAL-CHANGE; ELEVATION FEEDBACK; OUTLET GLACIERS; CLIMATE; PROJECT; RESOLUTION</t>
  </si>
  <si>
    <t>Earlier large-scale Greenland ice sheet sea-level projections (e.g. those run during the ice2sea and SeaRISE initiatives) have shown that ice sheet initial conditions have a large effect on the projections and give rise to important uncertainties. The goal of this initMIP-Greenland intercomparison exercise is to compare, evaluate, and improve the initialisation techniques used in the ice sheet modelling community and to estimate the associated uncertainties in modelled mass changes. initMIP-Greenland is the first in a series of ice sheet model intercomparison activities within ISMIP6 (the Ice Sheet Model Intercomparison Project for CMIP6), which is the primary activity within the Coupled Model Intercomparison Project Phase 6 (CMIP6) focusing on the ice sheets. Two experiments for the large-scale Greenland ice sheet have been designed to allow intercomparison between participating models of (1) the initial present-day state of the ice sheet and (2) the response in two idealised forward experiments. The forward experiments serve to evaluate the initialisation in terms of model drift (forward run without additional forcing) and in response to a large perturbation (prescribed surface mass balance anomaly); they should not be interpreted as sea-level projections. We present and discuss results that highlight the diversity of data sets, boundary conditions, and initialisation techniques used in the community to generate initial states of the Greenland ice sheet. We find good agreement across the ensemble for the dynamic response to surface mass balance changes in areas where the simulated ice sheets overlap but differences arising from the initial size of the ice sheet. The model drift in the control experiment is reduced for models that participated in earlier intercomparison exercises.</t>
  </si>
  <si>
    <t>[Goelzer, Heiko; van de Wal, Roderik] Univ Utrecht, Inst Marine &amp; Atmospher Res IMAU, Utrecht, Netherlands; [Goelzer, Heiko; Pattyn, Frank; Sun, Sainan] Univ Libre Bruxelles, Lab Glaciol, Brussels, Belgium; [Nowicki, Sophie; Beckley, Matthew] NASA, GSFC, Cryospher Sci Branch, Greenbelt, MD USA; [Edwards, Tamsin] Open Univ, Sch Environm Earth &amp; Ecosyst Sci, Milton Keynes, Bucks, England; [Abe-Ouchi, Ayako] Univ Tokyo, Atmosphere Ocean Res Inst, Kashiwa, Chiba, Japan; [Aschwanden, Andy] Univ Alaska Fairbanks, Geophys Inst, Fairbanks, AK USA; [Calov, Reinhard] Potsdam Inst Climate Impact Res, Potsdam, Germany; [Gagliardini, Olivier; Gillet-Chaulet, Fabien] Univ Grenoble Alpes, CNRS, IRD, Grenoble INP,IGE, F-38000 Grenoble, France; [Golledge, Nicholas R.] Victoria Univ Wellington, Antarctic Res Ctr, Wellington, New Zealand; [Gregory, Jonathan] Univ Reading, Dept Meteorol, Reading, Berks, England; [Gregory, Jonathan] Met Off Hadley Ctr, Exeter, Devon, England; [Greve, Ralf] Hokkaido Univ, Inst Low Temp Sci, Sapporo, Hokkaido, Japan; [Humbert, Angelika; Rodehacke, Christian; Rueckamp, Martin] Alfred Wegener Inst Polar &amp; Marine Res, Bremerhaven, Germany; [Humbert, Angelika] Univ Bremen, Bremen, Germany; [Huybrechts, Philippe] Vrije Univ Brussel, Brussels, Belgium; [Kennedy, Joseph H.] Oak Ridge Natl Lab, Climate Change Sci Inst, Oak Ridge, TN USA; [Kennedy, Joseph H.] Oak Ridge Natl Lab, Computat Sci &amp; Engn Div, Oak Ridge, TN USA; [Larour, Eric; Schlegel, Nicole; Seroussi, Helene] CALTECH, Jet Prop Lab, Pasadena, CA USA; [Lipscomb, William H.] Los Alamos Natl Lab, Los Alamos, NM USA; [Lipscomb, William H.] Natl Ctr Atmospher Res, Boulder, CO 80307 USA; [Le Clec'h, Sebastien] CEA CNRS UVSQ, Lab Sci Climat &amp; Environm, LSCE IPSL, Gif Sur Yvette, France; [Lee, Victoria; Payne, Antony J.] Univ Bristol, Bristol, Avon, England; [Morlighem, Mathieu] Univ Calif Irvine, Irvine, CA USA; [Rodehacke, Christian] Danish Meteorol Inst, Copenhagen, Denmark; [Saito, Fuyuki] Japan Agcy Marine Earth Sci &amp; Technol, Yokohama, Kanagawa, Japan; [Shepherd, Andrew] Univ Leeds, Sch Earth &amp; Environm, Leeds, W Yorkshire, England; [Ziemen, Florian A.] Max Planck Inst Meteorol, Hamburg, Germany; [Edwards, Tamsin] Kings Coll London, Dept Geog, London, England</t>
  </si>
  <si>
    <t>Utrecht University; Universite Libre de Bruxelles; National Aeronautics &amp; Space Administration (NASA); NASA Goddard Space Flight Center; Open University - UK; University of Tokyo; University of Alaska System; University of Alaska Fairbanks; Potsdam Institut fur Klimafolgenforschung; Centre National de la Recherche Scientifique (CNRS); Institut de Recherche pour le Developpement (IRD); Communaute Universite Grenoble Alpes; Institut National Polytechnique de Grenoble; Universite Grenoble Alpes (UGA); Victoria University Wellington; University of Reading; Met Office - UK; Hadley Centre; Hokkaido University; Helmholtz Association; Alfred Wegener Institute, Helmholtz Centre for Polar &amp; Marine Research; University of Bremen; Vrije Universiteit Brussel; United States Department of Energy (DOE); Oak Ridge National Laboratory; United States Department of Energy (DOE); Oak Ridge National Laboratory; California Institute of Technology; National Aeronautics &amp; Space Administration (NASA); NASA Jet Propulsion Laboratory (JPL); United States Department of Energy (DOE); Los Alamos National Laboratory; National Center Atmospheric Research (NCAR) - USA; CEA; Centre National de la Recherche Scientifique (CNRS); Universite Paris Saclay; University of Bristol; University of California System; University of California Irvine; Danish Meteorological Institute DMI; Japan Agency for Marine-Earth Science &amp; Technology (JAMSTEC); University of Leeds; Max Planck Society; University of London; King's College London</t>
  </si>
  <si>
    <t>Goelzer, H (corresponding author), Univ Utrecht, Inst Marine &amp; Atmospher Res IMAU, Utrecht, Netherlands.;Goelzer, H (corresponding author), Univ Libre Bruxelles, Lab Glaciol, Brussels, Belgium.</t>
  </si>
  <si>
    <t>h.goelzer@uu.nl</t>
  </si>
  <si>
    <t>Gregory, Jonathan/J-2939-2016; Goelzer, Heiko/M-2367-2016; Seroussi, Helene/AAX-5342-2021; SAITO, Fuyuki/B-8776-2013; Gagliardini, Olivier/GQQ-1222-2022; van de wal, roderik/D-1705-2011; Pattyn, Frank/AAA-9640-2019; Lipscomb, William/AAR-8668-2021; Morlighem, Mathieu/O-9942-2014; Le Clec'h, Sebastien/AAN-5186-2020; Abe-Ouchi, Ayako A/M-6359-2013; payne, antony/A-8916-2008; Greve, Ralf/G-2336-2010; Huybrechts, Philippe/J-5278-2013</t>
  </si>
  <si>
    <t>Gregory, Jonathan/0000-0003-1296-8644; Goelzer, Heiko/0000-0002-5878-9599; Seroussi, Helene/0000-0001-9201-1644; Gagliardini, Olivier/0000-0001-9162-3518; van de wal, roderik/0000-0003-2543-3892; Pattyn, Frank/0000-0003-4805-5636; Morlighem, Mathieu/0000-0001-5219-1310; Abe-Ouchi, Ayako A/0000-0003-1745-5952; Golledge, Nicholas/0000-0001-7676-8970; payne, antony/0000-0001-8825-8425; Ruckamp, Martin/0000-0003-2512-7238; Humbert, Angelika/0000-0002-0244-8760; Schlegel, Nicole-Jeanne/0000-0001-8035-448X; Greve, Ralf/0000-0002-1341-4777; Le clec'h, Sebastien/0000-0003-1203-8682; Shepherd, Andrew/0000-0002-4914-1299; Edwards, Tamsin/0000-0002-4760-4704; Kennedy, Joseph/0000-0002-9348-693X; Ziemen, Florian Andreas/0000-0001-7095-5740; Huybrechts, Philippe/0000-0003-1406-0525</t>
  </si>
  <si>
    <t>Climate and Cryosphere (CliC) project; World Climate Research Programme (WCRP); NASA; programme of the Netherlands Earth System Science Centre (NESSC) - Dutch Ministry of Education, Culture and Science (OCW) [024.002.001]; Royal Society of New Zealand Rutherford Discovery Fellowship [15-VUW-004]; iceMOD project - Research Foundation - Flanders (FWO-Vlaanderen); Regional and Global Climate Modeling programme of the U.S. Department of Energy's Office of Science; National Science Foundation; NASA [NNX15AD55G]; National Science Foundation's Arctic System Science Program (ARCSS) [1504230]; European Research Council under the European Community's Seventh Framework Programme/ERC as part of the Ice2Ice project [610055]; Nordic Center of Excellence eSTICC (eScience Tool for In-vestigating Climate Change in northern high latitudes) - Nordforsk [57001]; BMBF project PALMOD; Rhone-Alpes region [CPER07_13 CIRA]; OSUG laBex [ANR10 LABX56]; Equip@Meso project [ANR-10-EQPX-29-01]; GENCI-CINES [2016-016066]; Arctic Challenge for Sustainability (ArCS) project of the Japanese Ministry of Education, Culture, Sports, Science and Technology (MEXT); Japan Society for the Promotion of Science (JSPS) KAKENHI [17H06104]; JSPS [16H02224, 17K05664]; Integrated Research Program for Advancing Climate Models (TOUGOU program) from MEXT; Leibniz Association [SAW-2014-PIK-1]; Bundesministerium fur Bildung und Forschung (BMBF) [PalMod-1.1-TP5, PalMod-1.3-TP4]; Earth System Modeling programme of the U.S. Department of Energy's Office of Science; NERC [cpom30001, NE/N017978/1, NE/T009470/1] Funding Source: UKRI; Directorate For Geosciences [1504230] Funding Source: National Science Foundation; Office of Polar Programs (OPP) [1504230] Funding Source: National Science Foundation; NASA [808718, NNX15AD55G] Funding Source: Federal RePORTER; Grants-in-Aid for Scientific Research [16H02224, 17K05664] Funding Source: KAKEN</t>
  </si>
  <si>
    <t>Climate and Cryosphere (CliC) project; World Climate Research Programme (WCRP); NASA(National Aeronautics &amp; Space Administration (NASA)); programme of the Netherlands Earth System Science Centre (NESSC) - Dutch Ministry of Education, Culture and Science (OCW); Royal Society of New Zealand Rutherford Discovery Fellowship(Royal Society of New Zealand); iceMOD project - Research Foundation - Flanders (FWO-Vlaanderen)(FWO); Regional and Global Climate Modeling programme of the U.S. Department of Energy's Office of Science; National Science Foundation(National Science Foundation (NSF)); NASA(National Aeronautics &amp; Space Administration (NASA)); National Science Foundation's Arctic System Science Program (ARCSS); European Research Council under the European Community's Seventh Framework Programme/ERC as part of the Ice2Ice project; Nordic Center of Excellence eSTICC (eScience Tool for In-vestigating Climate Change in northern high latitudes) - Nordforsk; BMBF project PALMOD(Federal Ministry of Education &amp; Research (BMBF)); Rhone-Alpes region(Region Auvergne-Rhone-Alpes); OSUG laBex; Equip@Meso project; GENCI-CINES; Arctic Challenge for Sustainability (ArCS) project of the Japanese Ministry of Education, Culture, Sports, Science and Technology (MEXT); Japan Society for the Promotion of Science (JSPS) KAKENHI(Ministry of Education, Culture, Sports, Science and Technology, Japan (MEXT)Japan Society for the Promotion of ScienceGrants-in-Aid for Scientific Research (KAKENHI)); JSPS(Ministry of Education, Culture, Sports, Science and Technology, Japan (MEXT)Japan Society for the Promotion of Science); Integrated Research Program for Advancing Climate Models (TOUGOU program) from MEXT; Leibniz Association; Bundesministerium fur Bildung und Forschung (BMBF)(Federal Ministry of Education &amp; Research (BMBF)); Earth System Modeling programme of the U.S. Department of Energy's Office of Science; NERC(UK Research &amp; Innovation (UKRI)Natural Environment Research Council (NERC)); Directorate For Geosciences(National Science Foundation (NSF)NSF - Directorate for Geosciences (GEO)); Office of Polar Programs (OPP)(National Science Foundation (NSF)NSF - Directorate for Geosciences (GEO)); NASA(National Aeronautics &amp; Space Administration (NASA)); Grants-in-Aid for Scientific Research(Ministry of Education, Culture, Sports, Science and Technology, Japan (MEXT)Japan Society for the Promotion of ScienceGrants-in-Aid for Scientific Research (KAKENHI))</t>
  </si>
  <si>
    <t>We acknowledge the Climate and Cryosphere (CliC) project and the World Climate Research Programme (WCRP) for their guidance, support, and sponsorship. We thank the CMIP6 panel members for their continuous leadership of the CMIP6 effort, and the Working Group on Coupled Modeling (WGCM) Infrastructure Panel (WIP) for overseeing the CMIP6 and ISMIP6 infrastructure and data request. We would like to thank Brice Noel for help with the SMB validation data and Xavier Fettweis, Miren Vizcaino, and Vincent Cabot for providing SMB data. We also thank Erika Simon for help with the data processing.; Andy Aschwanden, Eric Larour, Sophie Nowicki, and Helene Seroussi were supported by grants from the NASA Cryospheric Science Program and Modeling, Analysis, and Prediction Program. Heiko Goelzer has received funding from the programme of the Netherlands Earth System Science Centre (NESSC), financially supported by the Dutch Ministry of Education, Culture and Science (OCW) under grant no. 024.002.001. Nicholas R. Golledge is supported by Royal Society of New Zealand Rutherford Discovery Fellowship 15-VUW-004. Philippe Huybrechts acknowledges support from the iceMOD project funded by the Research Foundation - Flanders (FWO-Vlaanderen). William H. Lipscomb and Joseph H. Kennedy were supported by the Regional and Global Climate Modeling and Earth System Modeling programmes of the U.S. Department of Energy's Office of Science. The National Center for Atmospheric Research is sponsored by the National Science Foundation. Victoria Lee, Stephen L. Cornford, and Antony J. Payne carried out work as part of the UKESM contribution for CMIP6. Mathieu Morlighem was supported by NASA's Cryospheric Sciences Program (no. NNX15AD55G) and the National Science Foundation's Arctic System Science Program (ARCSS) (no. 1504230). Christian Rodehacke (DMI) has received funding from the European Research Council under the European Community's Seventh Framework Programme (FP7/2007-2013)/ERC grant agreement 610055 as part of the Ice2Ice project as well as the Nordic Center of Excellence eSTICC (eScience Tool for In-vestigating Climate Change in northern high latitudes) funded by Nordforsk (grant 57001). Florian A. Ziemen was supported by the BMBF project PALMOD. Computational resources for MPI-PISM were made available by DKRZ through support from BMBF. IGE-ELMER simulations were performed using the Froggy platform of the CIMENT infrastructure - which is supported by the Rhone-Alpes region (grant CPER07_13 CIRA), the OSUG@2020 laBex (reference ANR10 LABX56), and the Equip@Meso project (reference ANR-10-EQPX-29-01) - and using HPC resources from GENCI-CINES (grant 2016-016066). Ralf Greve, Ayako Abe-Ouchi, and Fuyuki Saito were supported by the Arctic Challenge for Sustainability (ArCS) project of the Japanese Ministry of Education, Culture, Sports, Science and Technology (MEXT), and by the Japan Society for the Promotion of Science (JSPS) KAKENHI under grant no. 17H06104, Ralf Greve and Ayako Abe-Ouchi were additionally supported under JSPS grant no. 16H02224, and Fuyuki Saito under JSPS grant no. 17K05664. Ayako Abe-Ouchi and Fuyuki Saito were supported by the Integrated Research Program for Advancing Climate Models (TOUGOU program) from MEXT. Reinhard Calov was funded by the Leibniz Association grant SAW-2014-PIK-1 and is now funded by the Bundesministerium fur Bildung und Forschung (BMBF) grants PalMod-1.1-TP5 and PalMod-1.3-TP4.</t>
  </si>
  <si>
    <t>APR 19</t>
  </si>
  <si>
    <t>10.5194/tc-12-1433-2018</t>
  </si>
  <si>
    <t>GD4QA</t>
  </si>
  <si>
    <t>WOS:000430486500002</t>
  </si>
  <si>
    <t>Boberg, F; Langen, PL; Mottram, RH; Christensen, JH; Olesen, M</t>
  </si>
  <si>
    <t>Boberg, F.; Langen, P. L.; Mottram, R. H.; Christensen, J. H.; Olesen, M.</t>
  </si>
  <si>
    <t>21st-century climate change around Kangerlussuaq, west Greenland: From the ice sheet to the shores of Davis Strait</t>
  </si>
  <si>
    <t>Climate change; regional climate modeling; surface mass balance; Kangerlussuaq</t>
  </si>
  <si>
    <t>SURFACE MASS-BALANCE; ENERGY-BALANCE; PROJECTIONS; ABLATION; ZONE; SIMULATIONS; TRANSECT; BENEATH; RUNOFF</t>
  </si>
  <si>
    <t>Using regional climate-model runs with a horizontal resolution of 5.5 km for two future scenarios and two time slices (representative concentration pathway [RCP] 4.5 and 8.5; 2031-2050 and 2081-2100) relative to a historical period (1991-2010), we study the climate change for the Qeqqata municipality in general and for Kangerlussuaq in particular. The climate-model runs are validated against observations of temperature and surface mass balance and a reanalysis simulation with the same model setup as the scenario runs, providing high confidence in the results. Clear increases in temperature and precipitation for the end of the 21st century are shown, both on and off the ice sheet, with an off-ice sheet mean annual temperature increase of 2.5-3 degrees C for the RCP4.5 scenario and 4.8-6.0 degrees C for the RCP8.5 scenario, and for precipitation an increase of 20-30% for the RCP4.5 scenario and 30-80% for the RCP8.5 scenario. Climate analogs for Kangerlussuaq for temperature and precipitation are provided, indicating that end-of-the-century Kangerlussuaq mean annual temperature is comparable with temperatures for the south of Greenland today. The extent of glacial retreat is also estimated for the Qeqqata municipality, suggesting that most of the ice caps south of the Kangerlussuaq fjord will be gone before the end of this century. Furthermore, the high-resolution runs are compared with an ensemble of six models run at a 50 km resolution, showing the need for high-resolution model simulations over Greenland.</t>
  </si>
  <si>
    <t>[Boberg, F.; Langen, P. L.; Mottram, R. H.; Christensen, J. H.; Olesen, M.] Danish Meteorol Inst, Copenhagen, Denmark; [Christensen, J. H.] Univ Copenhagen, Niels Bohr Inst, Copenhagen, Denmark</t>
  </si>
  <si>
    <t>Danish Meteorological Institute DMI; University of Copenhagen; Niels Bohr Institute</t>
  </si>
  <si>
    <t>Boberg, F (corresponding author), Danish Meteorol Inst, Copenhagen, Denmark.</t>
  </si>
  <si>
    <t>fbo@dmi.dk</t>
  </si>
  <si>
    <t>Langen, Peter L/AAR-1120-2021; Christensen, Jens Hesselbjerg/C-4162-2013</t>
  </si>
  <si>
    <t>Langen, Peter L/0000-0003-2185-012X; Christensen, Jens Hesselbjerg/0000-0002-9908-8203; Boberg, Fredrik/0000-0002-2589-8422</t>
  </si>
  <si>
    <t>European Research under the European Community's Seventh Framework Programme (FP7/2007/2013)/ERC [610055]; Danish Cooperation for Environment in the Arctic (DANCEA) under the Danish Energy Agency; Nordic Centers of Excellence eSTICC - Nordforsk [57001]</t>
  </si>
  <si>
    <t>European Research under the European Community's Seventh Framework Programme (FP7/2007/2013)/ERC; Danish Cooperation for Environment in the Arctic (DANCEA) under the Danish Energy Agency; Nordic Centers of Excellence eSTICC - Nordforsk</t>
  </si>
  <si>
    <t>The research leading to these results has received funding from the European Research under the European Community's Seventh Framework Programme (FP7/2007/2013)/ERC grant agreement 610055 as part of the ice2ice project, from the Danish Cooperation for Environment in the Arctic (DANCEA) under the Danish Energy Agency as part of the project Datagrundlag for klimatilpasningsindsatsen I Gronland, and by Nordic Centers of Excellence eSTICC (eScience Tool for Investigating Climate Change in northern high latitudes) funded by Nordforsk grant 57001.</t>
  </si>
  <si>
    <t>e1420862</t>
  </si>
  <si>
    <t>10.1080/15230430.2017.1420862</t>
  </si>
  <si>
    <t>GN1IU</t>
  </si>
  <si>
    <t>WOS:000438743700001</t>
  </si>
  <si>
    <t>Lyons, WB; Saelens, E; Welch, KA</t>
  </si>
  <si>
    <t>Lyons, W. Berry; Saelens, Elsa; Welch, Kathleen A.</t>
  </si>
  <si>
    <t>The impact of fossil fuel burning related to scientific activities in the McMurdo Dry Valleys, Antarctica: Revisited</t>
  </si>
  <si>
    <t>ELEMENTA-SCIENCE OF THE ANTHROPOCENE</t>
  </si>
  <si>
    <t>McMurdo Dry Valleys; management; fossil fuels; emissions; carbon dynamics; nitrogen; science activites; helicopter</t>
  </si>
  <si>
    <t>TAYLOR VALLEY; CARBON; SNOW; RESERVOIRS; ECOSYSTEM; LAKES; LAND</t>
  </si>
  <si>
    <t>Fossil fuel use associated with scientific activities in the Taylor Valley, Antarctic has been examined to determine the fluxes of particulate organic and elemental carbon and nitrogen as well as NOx for the 2015-2016 austral summer field season. These carbon and nitrogen fluxes are compared to our previously published calculations for the 1997-1998 austral summer. In addition, we compile fossil fuel usage and resulting C and N fluxes from the major field camp in Taylor Valley, Lake Hoare Camp (LHC) from the late 1990's through 2017. In general, the annual fluxes do vary from year to year, but there is no significant trend, at least during the primary summer field season. There is indication that increasing the length of scientific operations does increase the C and N inputs via fossil fuel burning. This works supports our original results demonstrating that over long periods of time the anthropogenic flux of N from local fossil fuel burning could become quantitatively important in the region. Although the particulate C fluxes remain very low, the recent finding of black carbon in the Taylor Valley landscape indicates more on-going monitoring of the source of this material is merited.</t>
  </si>
  <si>
    <t>[Lyons, W. Berry; Saelens, Elsa; Welch, Kathleen A.] Ohio State Univ, Sch Earth Sci, Columbus, OH 43210 USA; [Lyons, W. Berry; Saelens, Elsa; Welch, Kathleen A.] Ohio State Univ, Byrd Polar &amp; Climate Res Ctr, Columbus, OH 43210 USA; [Welch, Kathleen A.] Univ Colorado, Inst Arctic &amp; Alpine Res, Boulder, CO 80309 USA</t>
  </si>
  <si>
    <t>University System of Ohio; Ohio State University; University System of Ohio; Ohio State University; University of Colorado System; University of Colorado Boulder</t>
  </si>
  <si>
    <t>Lyons, WB (corresponding author), Ohio State Univ, Sch Earth Sci, Columbus, OH 43210 USA.;Lyons, WB (corresponding author), Ohio State Univ, Byrd Polar &amp; Climate Res Ctr, Columbus, OH 43210 USA.</t>
  </si>
  <si>
    <t>lyons.142@osu.edu</t>
  </si>
  <si>
    <t>Welch, Kathleen/0000-0003-1028-3086</t>
  </si>
  <si>
    <t>National Science Foundation [OPP-ANT-9813061, OPP-ANT-0423595, OPP-1115245]</t>
  </si>
  <si>
    <t>This work was supported by the following National Science Foundation grants: OPP-ANT-9813061, OPP-ANT-0423595, and OPP-1115245.</t>
  </si>
  <si>
    <t>UNIV CALIFORNIA PRESS</t>
  </si>
  <si>
    <t>OAKLAND</t>
  </si>
  <si>
    <t>155 GRAND AVE, SUITE 400, OAKLAND, CA 94612-3758 USA</t>
  </si>
  <si>
    <t>2325-1026</t>
  </si>
  <si>
    <t>ELEMENTA-SCI ANTHROP</t>
  </si>
  <si>
    <t>Elementa-Sci. Anthrop.</t>
  </si>
  <si>
    <t>APR 18</t>
  </si>
  <si>
    <t>10.1525/elementa.288</t>
  </si>
  <si>
    <t>GD6WP</t>
  </si>
  <si>
    <t>WOS:000430649900002</t>
  </si>
  <si>
    <t>Shepherd, RH; King, MD; Marks, AA; Brough, N; Ward, AD</t>
  </si>
  <si>
    <t>Shepherd, Rosalie H.; King, Martin D.; Marks, Amelia A.; Brough, Neil; Ward, Andrew D.</t>
  </si>
  <si>
    <t>Determination of the refractive index of insoluble organic extracts from atmospheric aerosol over the visible wavelength range using optical tweezers</t>
  </si>
  <si>
    <t>ABSORPTION ANGSTROM EXPONENT; AIR-WATER-INTERFACE; HUMIC-LIKE SUBSTANCES; BIOMASS BURNING EMISSIONS; PHOTOACOUSTIC SPECTROMETER; LIGHT-SCATTERING; BROWN CARBON; CHEMICAL-COMPOSITION; HYGROSCOPIC GROWTH; RAMAN-SCATTERING</t>
  </si>
  <si>
    <t>Optical trapping combined with Mie spectroscopy is a new technique used to record the refractive index of insoluble organic material extracted from atmospheric aerosol samples over a wide wavelength range. The refractive index of the insoluble organic extracts was shown to follow a Cauchy equation between 460 and 700 nm for organic aerosol extracts collected from urban (London) and remote (Antarctica) locations. Cauchy coefficients for the remote sample were for the Austral summer and gave the Cauchy coefficients of A = 1.467 and B = 1000 nm(2) with a real refractive index of 1.489 at a wavelength of 589 nm. Cauchy coefficients for the urban samples varied with season, with extracts collected during summer having Cauchy coefficients of A D 1.465 +/- 0.005 and B = 4625 +/- 1200 nm(2) with a representative real refractive index of 1.478 at a wavelength of 589 nm, whilst samples extracted during autumn had larger Cauchy coefficients of A = 1.505 and B = 600 nm(2) with a representative real refractive index of 1.522 at a wavelength of 589 nm. The refractive index of absorbing aerosol was also recorded. The absorption Angstrom exponent was determined for woodsmoke and humic acid aerosol extract. Typical values of the Cauchy coefficient for the woodsmoke aerosol extract were A = 1.541 +/- 0.03 and B = 14800 +/- 2900 nm(2), resulting in a real refractive index of 1.584 +/- 0.007 at a wavelength of 589 nm and an absorption Angstrom exponent of 8.0. The measured values of refractive index compare well with previous monochromatic or very small wavelength range measurements of refractive index. In general, the real component of the refractive index increases from remote to urban to woodsmoke. A one-dimensional radiative-transfer calculation of the top-of-the-atmosphere albedo was applied to model an atmosphere containing a 3 km thick layer of aerosol comprising pure water, pure insoluble organic aerosol, or an aerosol consisting of an aqueous core with an insoluble organic shell. The calculation demonstrated that the top-of-the-atmosphere albedo increases by 0.01 to 0.04 for pure organic particles relative to water particles of the same size and that the top-of-the-atmosphere albedo increases by 0.03 for aqueous core-shell particles as volume fraction of the shell material increases to 25 %.</t>
  </si>
  <si>
    <t>[Shepherd, Rosalie H.; Ward, Andrew D.] STFC Rutherford Appleton Lab, Cent Laser Facil, Res Complex, Oxford OX11 0FA, England; [Shepherd, Rosalie H.; King, Martin D.] Royal Holloway Univ London, Dept Earth Sci, Egham TW20 0EX, Surrey, England; [Marks, Amelia A.; Brough, Neil] British Antarctic Survey, Madingley Rd, Cambridge CB3 0ET, England</t>
  </si>
  <si>
    <t>UK Research &amp; Innovation (UKRI); Science &amp; Technology Facilities Council (STFC); STFC Rutherford Appleton Laboratory; University of London; Royal Holloway University London; UK Research &amp; Innovation (UKRI); Natural Environment Research Council (NERC); NERC British Antarctic Survey</t>
  </si>
  <si>
    <t>King, MD (corresponding author), Royal Holloway Univ London, Dept Earth Sci, Egham TW20 0EX, Surrey, England.</t>
  </si>
  <si>
    <t>m.king@rhul.ac.uk</t>
  </si>
  <si>
    <t>brough, neil/AAG-8550-2019; King, Martin/B-1308-2009; Ward, Andrew D/G-3135-2015</t>
  </si>
  <si>
    <t>brough, neil/0000-0002-2316-5292; King, Martin/0000-0002-0089-7693; Ward, Andrew D/0000-0001-6946-2391</t>
  </si>
  <si>
    <t>Central Laser Facility [15130028]; STFC [ST\L504279\1]; NERC [bas0100032] Funding Source: UKRI</t>
  </si>
  <si>
    <t>Central Laser Facility; STFC(UK Research &amp; Innovation (UKRI)Science &amp; Technology Facilities Council (STFC)); NERC(UK Research &amp; Innovation (UKRI)Natural Environment Research Council (NERC))</t>
  </si>
  <si>
    <t>The authors would like to thank the Central Laser Facility for granting access time on the optical trapping equipment at Rutherford Appleton Laboratories, Oxfordshire, under the grant number 15130028. Rosalie H. Shepherd would like to thank STFC for funding the grant ST\L504279\1.</t>
  </si>
  <si>
    <t>10.5194/acp-18-5235-2018</t>
  </si>
  <si>
    <t>GD4CN</t>
  </si>
  <si>
    <t>gold, Green Accepted</t>
  </si>
  <si>
    <t>WOS:000430450200002</t>
  </si>
  <si>
    <t>Cavitte, MGP; Parrenin, F; Ritz, C; Young, DA; Van Liefferinge, B; Blankenship, DD; Frezzotti, M; Roberts, JL</t>
  </si>
  <si>
    <t>Cavitte, Marie G. P.; Parrenin, Frederic; Ritz, Catherine; Young, Duncan A.; Van Liefferinge, Brice; Blankenship, Donald D.; Frezzotti, Massimo; Roberts, Jason L.</t>
  </si>
  <si>
    <t>Accumulation patterns around Dome C, East Antarctica, in the last 73 kyr</t>
  </si>
  <si>
    <t>SURFACE MASS-BALANCE; SNOW ACCUMULATION; ICE-SHEET; TALOS DOME; OLD ICE; TEMPORAL VARIABILITY; CHRONOLOGY AICC2012; THWAITES GLACIER; AIRBORNE-RADAR; FLOW</t>
  </si>
  <si>
    <t>We reconstruct the pattern of surface accumulation in the region around Dome C, East Antarctica, since the last glacial. We use a set of 18 isochrones spanning all observable depths of the ice column, interpreted from various ice-penetrating radar surveys and a 1-D ice flow model to invert for accumulation rates in the region. The shallowest four isochrones are then used to calculate paleoaccumulation rates between isochrone pairs using a 1-D assumption where horizontal advection is negligible in the time interval of each layer. We observe that the large-scale (100s km) surface accumulation gradient is spatially stable through the last 73 kyr, which reflects current modeled and observed precipitation gradients in the region. We also observe small-scale (10 s km) accumulation variations linked to snow redistribution at the surface, due to changes in its slope and curvature in the prevailing wind direction that remain spatially stationary since the last glacial.</t>
  </si>
  <si>
    <t>[Cavitte, Marie G. P.; Young, Duncan A.; Blankenship, Donald D.] Univ Texas Austin, Inst Geophys, Jackson Sch Geosci, Austin, TX 78712 USA; [Cavitte, Marie G. P.; Blankenship, Donald D.] Univ Texas Austin, Dept Geol Sci, Jackson Sch Geosci, Austin, TX 78712 USA; [Parrenin, Frederic; Ritz, Catherine] Univ Grenoble Alpes, CNRS, IRD, IGE, F-38000 Grenoble, France; [Van Liefferinge, Brice] Univ Libre Bruxelles, Lab Glaciol, CP 160-03,Ave FD Roosevelt 50, B-1050 Brussels, Belgium; [Frezzotti, Massimo] ENEA, Agenzia Nazl Nuove Tecnol Energia &amp; Sviluppo Sost, Rome, Italy; [Roberts, Jason L.] Australian Antarctic Div, Kingston, Tas 7050, Australia; [Roberts, Jason L.] Univ Tasmania, Antarctic Climate &amp; Ecosyst Cooperat Res Ctr, Hobart, Tas 7001, Australia</t>
  </si>
  <si>
    <t>University of Texas System; University of Texas Austin; University of Texas System; University of Texas Austin; Communaute Universite Grenoble Alpes; Universite Grenoble Alpes (UGA); Institut de Recherche pour le Developpement (IRD); Centre National de la Recherche Scientifique (CNRS); Universite Libre de Bruxelles; Italian National Agency New Technical Energy &amp; Sustainable Economics Development; Australian Antarctic Division; University of Tasmania; Antarctic Climate &amp; Ecosystems Cooperative Research Centre (ACE CRC)</t>
  </si>
  <si>
    <t>Cavitte, MGP (corresponding author), Univ Texas Austin, Inst Geophys, Jackson Sch Geosci, Austin, TX 78712 USA.;Cavitte, MGP (corresponding author), Univ Texas Austin, Dept Geol Sci, Jackson Sch Geosci, Austin, TX 78712 USA.</t>
  </si>
  <si>
    <t>mariecavitte@gmail.com</t>
  </si>
  <si>
    <t>Parrenin, Frédéric/H-3054-2014; Roberts, Jason L/B-2235-2012; Cavitte, Marie/AAB-8533-2020; FREZZOTTI, Massimo/AAK-7275-2020; Young, Duncan/G-6256-2010</t>
  </si>
  <si>
    <t>Parrenin, Frédéric/0000-0002-9489-3991; Roberts, Jason L/0000-0002-3477-4069; Cavitte, Marie/0000-0002-5777-0933; FREZZOTTI, Massimo/0000-0002-2461-2883; Young, Duncan/0000-0002-6866-8176; Ritz, Catherine/0000-0003-0785-8571; Van Liefferinge, Brice/0000-0001-7495-1771</t>
  </si>
  <si>
    <t>European Union's Horizon research and innovation programme [730258]; Swiss State Secretariate for Education, Research and Innovation (SERI) [16.0144]; joint French-Italian Concordia Program; NSF [ANT-0733025, ARC-0941678, PLR-1443690]; NASA [NNX08AN68G, NNX09AR52G, NNX11AD33G]; Jackson School of Geosciences; Gale White UTIG Fellowship; G. Unger Vetlesen Foundation; NERC [NE/D003733/1]; British Council; Australian Government's Cooperative Research Centre's Programme through the Antarctic Climate and Ecosystems Cooperative Research Centre (ACE CRC); Australian Antarctic Division [AAS 3103, 4077, 4346]; Kenn Borek Airlines; French ANR Dome A project [ANR-07-BLAN-0125]; CNRS/INSU/LEFE funding IceChrono; CNRS/INSU/LEFE funding CO2Role; Grenoble-Alpes University AGIR funding Oldest Ice; Agence Nationale de la Recherche (ANR) [ANR-07-BLAN-0125] Funding Source: Agence Nationale de la Recherche (ANR); NASA [148741, NNX09AR52G, 106520, NNX08AN68G, 97564, NNX11AD33G] Funding Source: Federal RePORTER</t>
  </si>
  <si>
    <t>European Union's Horizon research and innovation programme(Horizon 2020European Union (EU)Horizon Europe Research Infrastructures); Swiss State Secretariate for Education, Research and Innovation (SERI); joint French-Italian Concordia Program; NSF(National Science Foundation (NSF)); NASA(National Aeronautics &amp; Space Administration (NASA)); Jackson School of Geosciences; Gale White UTIG Fellowship; G. Unger Vetlesen Foundation; NERC(UK Research &amp; Innovation (UKRI)Natural Environment Research Council (NERC)); British Council(The British Council in India); Australian Government's Cooperative Research Centre's Programme through the Antarctic Climate and Ecosystems Cooperative Research Centre (ACE CRC)(Australian GovernmentDepartment of Industry, Innovation and ScienceCooperative Research Centres (CRC) Programme); Australian Antarctic Division; Kenn Borek Airlines; French ANR Dome A project(Agence Nationale de la Recherche (ANR)); CNRS/INSU/LEFE funding IceChrono; CNRS/INSU/LEFE funding CO2Role; Grenoble-Alpes University AGIR funding Oldest Ice; Agence Nationale de la Recherche (ANR)(Agence Nationale de la Recherche (ANR)); NASA(National Aeronautics &amp; Space Administration (NASA))</t>
  </si>
  <si>
    <t>This publication was generated in the frame of Beyond EPICA-Oldest Ice (BE-OI). The project has received funding from the European Union's Horizon 2020 research and innovation programme under grant agreement No. 730258 (BE-OI CSA). It has received funding from the Swiss State Secretariate for Education, Research and Innovation (SERI) under contract number 16.0144. It is furthermore supported by national partners and funding agencies in Belgium, Denmark, France, Germany, Italy, Norway, Sweden, Switzerland, the Netherlands and the UK. Logistic support is mainly provided by AWI, BAS, ENEA and IPEV. This publication also benefited from support by the joint French-Italian Concordia Program, which established and runs the permanent station Concordia at Dome C. This work was supported by NSF grants ANT-0733025, ARC-0941678 and PLR-1443690, NASA grants NNX08AN68G, NNX09AR52G and NNX11AD33G (Operation Ice Bridge) to Texas, the Jackson School of Geosciences, the Gale White UTIG Fellowship, the G. Unger Vetlesen Foundation, NERC grant NE/D003733/1, the Global Innovation Initiative award from the British Council and the Australian Government's Cooperative Research Centre's Programme through the Antarctic Climate and Ecosystems Cooperative Research Centre (ACE CRC). Operational support was provided by the US Antarctic Program and by the Institut Polaire Francais Paul Emile Victor (IPEV) and the Italian Antarctic Program (PNRA and ENEA) and the Australian Antarctic Division provided funding and logistical support (AAS 3103, 4077 and 4346). We acknowledge the support of Kenn Borek Airlines. Additional support was provided by the French ANR Dome A project (ANR-07-BLAN-0125), the CNRS/INSU/LEFE fundings IceChrono and CO2Role and the Grenoble-Alpes University AGIR funding Oldest Ice. The opinions expressed and arguments employed herein do not necessarily reflect the official views of the European Union funding agency, the Swiss Government or other national funding bodies. This is BE-OI publication number 3. This is UTIG contribution 3116.</t>
  </si>
  <si>
    <t>APR 17</t>
  </si>
  <si>
    <t>10.5194/tc-12-1401-2018</t>
  </si>
  <si>
    <t>GD2VX</t>
  </si>
  <si>
    <t>WOS:000430362600002</t>
  </si>
  <si>
    <t>Llubes, M; Seoane, L; Bruinsma, S; Rémy, F</t>
  </si>
  <si>
    <t>Llubes, Muriel; Seoane, Lucia; Bruinsma, Sean; Remy, Frederique</t>
  </si>
  <si>
    <t>Crustal thickness of Antarctica estimated using data from gravimetric satellites</t>
  </si>
  <si>
    <t>SOLID EARTH</t>
  </si>
  <si>
    <t>GRAVITY-FIELD MODELS; DRONNING MAUD LAND; UPPER-MANTLE STRUCTURE; EAST ANTARCTICA; ICE-SHEET; BENEATH ANTARCTICA; RADAR ALTIMETRY; WEST ANTARCTICA; MASS-BALANCE; GRACE</t>
  </si>
  <si>
    <t>Computing a better crustal thickness model is still a necessary improvement in Antarctica. In this remote continent where almost all the bedrock is covered by the ice sheet, seismic investigations do not reach a sufficient spatial resolution for geological and geophysical purposes. Here, we present a global map of Antarctic crustal thickness computed from space gravity observations. The DIR5 gravity field model, built from GOCE and GRACE gravimetric data, is inverted with the Parker-Oldenburg iterative algorithm. The BEDMAP products are used to estimate the gravity effect of the ice and the rocky surface. Our result is compared to crustal thickness calculated from seismological studies and the CRUST1.0 and AN1 models. Although the CRUST1.0 model shows a very good agreement with ours, its spatial resolution is larger than the one we obtain with gravimetric data. Finally, we compute a model in which the crust-mantle density contrast is adjusted to fit the Moho depth from the CRUST1.0 model. In East Antarctica, the resulting density contrast clearly shows higher values than in West Antarctica.</t>
  </si>
  <si>
    <t>[Llubes, Muriel; Seoane, Lucia] Univ Paul Sabatier, CNRS IRD UPS, OMP GET, UM5563, 14 Ave Edouard Belin, F-31400 Toulouse, France; [Bruinsma, Sean] CNES, Dept Terr &amp; Planetary Geodesy, 18 Ave Edouard Belin, F-31401 Toulouse 4, France; [Remy, Frederique] CNRS IRD UPS, OMP LEGOS, UM5566, 14 Ave Edouard Belin, F-31400 Toulouse, France</t>
  </si>
  <si>
    <t>Institut de Recherche pour le Developpement (IRD); Universite de Toulouse; Universite Toulouse III - Paul Sabatier; Universite de Toulouse; Universite Toulouse III - Paul Sabatier; Centre National de la Recherche Scientifique (CNRS); Institut de Recherche pour le Developpement (IRD); Laboratoire d'Etudes en Geophysique et oceanographie spatiales</t>
  </si>
  <si>
    <t>Llubes, M (corresponding author), Univ Paul Sabatier, CNRS IRD UPS, OMP GET, UM5563, 14 Ave Edouard Belin, F-31400 Toulouse, France.</t>
  </si>
  <si>
    <t>muriel.llubes@get.omp.eu</t>
  </si>
  <si>
    <t>Seoane, Lucia/K-1525-2019; Seoane, Lucia/C-6520-2017</t>
  </si>
  <si>
    <t>Seoane, Lucia/0000-0002-7007-3198;</t>
  </si>
  <si>
    <t>University Paul Sabatier (Observatoire Midi-Pyrenees); French space agency CNES</t>
  </si>
  <si>
    <t>University Paul Sabatier (Observatoire Midi-Pyrenees); French space agency CNES(Centre National D'etudes Spatiales)</t>
  </si>
  <si>
    <t>We thank Gaby Laske for the information she provided to us about the CRUST1.0 model. We thank Anne Briais, who made very useful suggestions, and the reviewers for their constructive comments. This work has been supported by University Paul Sabatier (Observatoire Midi-Pyrenees) and the French space agency CNES.</t>
  </si>
  <si>
    <t>1869-9510</t>
  </si>
  <si>
    <t>1869-9529</t>
  </si>
  <si>
    <t>Solid Earth</t>
  </si>
  <si>
    <t>10.5194/se-9-457-2018</t>
  </si>
  <si>
    <t>GD2VR</t>
  </si>
  <si>
    <t>WOS:000430361900001</t>
  </si>
  <si>
    <t>Dvorák, M; Seip, KF; Pedersen-Bjergaard, S; Kubán, P</t>
  </si>
  <si>
    <t>Dvorak, Milos; Seip, Knut Fredrik; Pedersen-Bjergaard, Stig; Kuban, Pavel</t>
  </si>
  <si>
    <t>Semi-automated set-up for exhaustive micro-electromembrane extractions of basic drugs from biological fluids</t>
  </si>
  <si>
    <t>ANALYTICA CHIMICA ACTA</t>
  </si>
  <si>
    <t>Automation; Basic drugs; Body fluids; Exhaustive extraction; Micro-electromembrane extraction; Free liquid membrane</t>
  </si>
  <si>
    <t>FREE LIQUID-MEMBRANES; ELECTRIC-FIELD; HUMAN PLASMA; ACCEPTOR SOLUTIONS; ELECTROLYSIS; PERFORMANCE; CHROMATOGRAPHY; BIOANALYSIS; IMPROVEMENT; SIMULATION</t>
  </si>
  <si>
    <t>Manual handling of microliter volumes of samples and reagents is usually prone to errors and may have direct consequence on the overall performance of microextraction process. Direct connection of a syringe pump and a disposable microextraction unit using flexible polymeric tubing was employed for semi-automated liquid handling in micro-electromembrane extraction (mu-EME). A three-phase mu-EME system was formed by consecutive withdrawal of microliter volumes of donor solution, free liquid membrane (FLM) and acceptor solution into the unit. Excellent repeatability and accuracy of the withdrawal sequence was achieved for solution volumes typically used in mu-EME (1-5 mu L) as well as excellent correlation between the initially withdrawn and the finally collected solution volumes. mu-EMEs were initiated by application of d.c. electric potential to the terminal aqueous solutions and specific mu-EME parameters were optimized in order to ensure complete transfer of model analytes from donor to acceptor solution. Exhaustive mu-EMEs of three basic drugs, nortriptyline, papaverine and haloperidol, were achieved from 1.3 mu L of acidified donor solution (10 mM HCl) across 2.5 mu L of FLM (1-ethyl-2-nitrobenzene) into 1.3 mL of acidified acceptor solution (25mM HCl) in 10 min at 150 V. The three drugs were also exhaustively extracted from salt-and protein-containing standard solutions, human urine and human plasma with extraction recoveries ranging from 79 to 102%. Resulting acceptor solutions were analysed by capillary electrophoresis with ultraviolet detection (CE-UV) and the mu-EME-CE-UV method was characterized by good linearity (coefficients of determination &gt; 0.992), high repeatability (RSD values &lt;= 6.5%) and limits of detection &lt;= 0.15 mg/L. (C) 2017 Elsevier B.V. All rights reserved.</t>
  </si>
  <si>
    <t>[Dvorak, Milos; Kuban, Pavel] Czech Acad Sci, Inst Analyt Chem, Vvi, Veveri 97, CZ-60200 Brno, Czech Republic; [Seip, Knut Fredrik; Pedersen-Bjergaard, Stig] Univ Oslo, Sch Pharm, POB 1068, NO-0316 Oslo, Norway; [Seip, Knut Fredrik] Aker Biomarine Antarctic AS, POB 496, NO-1327 Lysaker, Norway</t>
  </si>
  <si>
    <t>Czech Academy of Sciences; Institute of Analytical Chemistry of the Czech Academy of Sciences; University of Oslo</t>
  </si>
  <si>
    <t>Kubán, P (corresponding author), Czech Acad Sci, Inst Analyt Chem, Vvi, Veveri 97, CZ-60200 Brno, Czech Republic.</t>
  </si>
  <si>
    <t>kuban@iach.cz</t>
  </si>
  <si>
    <t>Kubáň, Pavel/G-6855-2014</t>
  </si>
  <si>
    <t>Dvorak, Milos/0000-0002-9245-1639; Pedersen-Bjergaard, Stig/0000-0002-1666-8043</t>
  </si>
  <si>
    <t>Czech Academy of Sciences [RVO: 68081715]; Grant Agency of the Czech Republic [16-09135S]; Research Council of Norway [231917]</t>
  </si>
  <si>
    <t>Czech Academy of Sciences(Czech Academy of Sciences); Grant Agency of the Czech Republic(Grant Agency of the Czech RepublicNorwegian Agency for Development Cooperation - NORAD); Research Council of Norway(Research Council of Norway)</t>
  </si>
  <si>
    <t>Financial support from the Czech Academy of Sciences (Institute Research Funding RVO: 68081715), the Grant Agency of the Czech Republic (Grant No. 16-09135S) and the Research Council of Norway (Grant No. 231917) is gratefully acknowledged.</t>
  </si>
  <si>
    <t>0003-2670</t>
  </si>
  <si>
    <t>1873-4324</t>
  </si>
  <si>
    <t>ANAL CHIM ACTA</t>
  </si>
  <si>
    <t>Anal. Chim. Acta</t>
  </si>
  <si>
    <t>APR 16</t>
  </si>
  <si>
    <t>10.1016/j.aca.2017.11.081</t>
  </si>
  <si>
    <t>Chemistry, Analytical</t>
  </si>
  <si>
    <t>FS9NI</t>
  </si>
  <si>
    <t>WOS:000422744600004</t>
  </si>
  <si>
    <t>Li, C; Michel, C; Graff, LS; Bethke, I; Zappa, G; Bracegirdle, TJ; Fischer, E; Harvey, BJ; Iversen, T; King, MP; Krishnan, H; Lierhammer, L; Mitchell, D; Scinocca, J; Shiogama, H; Stone, DA; Wettstein, JJ</t>
  </si>
  <si>
    <t>Li, Camille; Michel, Clio; Graff, Lise Seland; Bethke, Ingo; Zappa, Giuseppe; Bracegirdle, Thomas J.; Fischer, Erich; Harvey, Ben J.; Iversen, Trond; King, Martin P.; Krishnan, Harinarayan; Lierhammer, Ludwig; Mitchell, Daniel; Scinocca, John; Shiogama, Hideo; Stone, Daithi A.; Wettstein, Justin J.</t>
  </si>
  <si>
    <t>Midlatitude atmospheric circulation responses under 1.5 and 2.0 °C warming and implications for regional impacts</t>
  </si>
  <si>
    <t>EARTH SYSTEM DYNAMICS</t>
  </si>
  <si>
    <t>EDDY-DRIVEN JET; ATLANTIC STORM-TRACK; CLIMATE-CHANGE; NORTH-ATLANTIC; SENSITIVITY; VARIABILITY; MODEL; SST; PRECIPITATION; SIMULATIONS</t>
  </si>
  <si>
    <t>This study investigates the global response of the midlatitude atmospheric circulation to 1.5 and 2.0 degrees C of warming using the HAPPI (Half a degree Additional warming, Prognosis and Projected Impacts) ensemble, with a focus on the winter season. Characterising and understanding this response is critical for accurately assessing the near-term regional impacts of climate change and the benefits of limiting warming to 1.5 degrees C above pre-industrial levels, as advocated by the Paris Agreement of the United Nations Framework Convention on Climate Change (UNFCCC). The HAPPI experimental design allows an assessment of uncertainty in the circulation response due to model dependence and internal variability. Internal variability is found to dominate the multi-model mean response of the jet streams, storm tracks, and stationary waves across most of the midlatitudes; larger signals in these features are mostly consistent with those seen in more strongly forced warming scenarios. Signals that emerge in the 1.5 degrees C experiment are a weakening of storm activity over North America, an inland shift of the North American stationary ridge, an equatorward shift of the North Pacific jet exit, and an equatorward intensification of the South Pacific jet. Signals that emerge under an additional 0.5 degrees C of warming include a poleward shift of the North Atlantic jet exit, an eastward extension of the North Atlantic storm track, and an intensification on the flanks of the Southern Hemisphere storm track. Case studies explore the implications of these circulation responses for precipitation impacts in the Mediterranean, in western Europe, and on the North American west coast, paying particular attention to possible outcomes at the tails of the response distributions. For example, the projected weakening of the Mediterranean storm track emerges in the 2 degrees C warmer world, with exceptionally dry decades becoming 5 times more likely.</t>
  </si>
  <si>
    <t>[Li, Camille; Michel, Clio] Univ Bergen, Geophys Inst, Bergen, Norway; [Li, Camille; Michel, Clio; Bethke, Ingo; King, Martin P.] Bjerknes Ctr Climate Res, Bergen, Norway; [Graff, Lise Seland] Norwegian Meteorol Inst, Oslo, Norway; [Bethke, Ingo; King, Martin P.] Uni Res, Uni Climate, Bergen, Norway; [Zappa, Giuseppe; Harvey, Ben J.] Univ Reading, Dept Meteorol, Reading, Berks, England; [Bracegirdle, Thomas J.] British Antarctic Survey, Cambridge, England; [Fischer, Erich] Swiss Fed Inst Technol, Inst Atmospher &amp; Climate Sci, Zurich, Switzerland; [Krishnan, Harinarayan] Lawrence Berkeley Natl Lab, Berkeley, CA 94720 USA; [Lierhammer, Ludwig] German Climate Comp Ctr DKRZ, Hamburg, Germany; [Mitchell, Daniel] Univ Bristol, Sch Geog Sci, Bristol, Avon, England; [Scinocca, John] Canadian Ctr Climate Modelling &amp; Anal, Environm &amp; Climate Change Canada, Victoria, BC, Canada; [Shiogama, Hideo; Wettstein, Justin J.] Natl Inst Environm Studies, Tsukuba, Ibaraki, Japan; [Stone, Daithi A.] Global Climate Adaptat Partnership, Oxford, England; [Wettstein, Justin J.] Oregon State Univ, Coll Earth Ocean &amp; Atmospher Sci, Corvallis, OR 97331 USA</t>
  </si>
  <si>
    <t>University of Bergen; Bjerknes Centre for Climate Research; Norwegian Meteorological Institute; University of Reading; UK Research &amp; Innovation (UKRI); Natural Environment Research Council (NERC); NERC British Antarctic Survey; Swiss Federal Institutes of Technology Domain; ETH Zurich; United States Department of Energy (DOE); Lawrence Berkeley National Laboratory; University of Bristol; Environment &amp; Climate Change Canada; Canadian Centre for Climate Modelling &amp; Analysis (CCCma); National Institute for Environmental Studies - Japan; Oregon State University</t>
  </si>
  <si>
    <t>Li, C (corresponding author), Univ Bergen, Geophys Inst, Bergen, Norway.;Li, C (corresponding author), Bjerknes Ctr Climate Res, Bergen, Norway.</t>
  </si>
  <si>
    <t>camille@uib.no</t>
  </si>
  <si>
    <t>Shiogama, Hideo/B-9598-2012; Harvey, Benjamin/HQZ-4821-2023; Bracegirdle, Tom/AAD-6060-2020; Zappa, Giuseppe/AAX-5150-2021; Fischer, Erich/B-6067-2011; Li, Camille/G-5802-2011; Bethke, Ingo/I-1339-2018; Mitchell, Daniel/U-6509-2018</t>
  </si>
  <si>
    <t>Shiogama, Hideo/0000-0001-5476-2148; Harvey, Benjamin/0000-0002-6510-8181; Zappa, Giuseppe/0000-0003-4306-7451; Fischer, Erich/0000-0003-1931-6737; Li, Camille/0000-0002-5439-2973; Bethke, Ingo/0000-0002-6836-9838; Mitchell, Daniel/0000-0002-0117-3486; Seland Graff, Lise/0000-0003-3217-6329; Michel, Clio/0000-0002-5301-0670</t>
  </si>
  <si>
    <t>Norwegian Research Council [261821, 231716, 255027]; ERC [339390]; Natural Environment Research Council [NE/M014932/1]; US Department of Energy, Office of Science, Office of Biological and Environmental Research [DE-AC02-05CH11231]; Bundesministerium fur Bildung und Forschung BMBF; Norwegian Metacenter for Computational Science and Storage Infrastructure (NOTUR) [NN2345k, NS2345k]; NERC [NE/M014932/1, NE/R015244/1, NE/N014057/1, ncas10003] Funding Source: UKRI; European Research Council (ERC) [339390] Funding Source: European Research Council (ERC)</t>
  </si>
  <si>
    <t>Norwegian Research Council(Research Council of Norway); ERC(European Research Council (ERC)); Natural Environment Research Council(UK Research &amp; Innovation (UKRI)Natural Environment Research Council (NERC)); US Department of Energy, Office of Science, Office of Biological and Environmental Research(United States Department of Energy (DOE)); Bundesministerium fur Bildung und Forschung BMBF(Federal Ministry of Education &amp; Research (BMBF)); Norwegian Metacenter for Computational Science and Storage Infrastructure (NOTUR); NERC(UK Research &amp; Innovation (UKRI)Natural Environment Research Council (NERC)); European Research Council (ERC)(European Research Council (ERC)Spanish Government)</t>
  </si>
  <si>
    <t>Clio Michel and Lise Seland Graff contributed equally to the study. This work was supported by the Norwegian Research Council projects no. 261821 HappiEVA (Ingo Bethke, Lise Seland Graff, Trond Iversen, Clio Michel), no. 231716 jetSTREAM (Clio Michel), and no. 255027 DynAMiTe (Martin P. King); the ERC advanced grant project no. 339390 ACRCC (Giuseppe Zappa); the Natural Environment Research Council grant no. NE/M014932/1 (Ben J. Harvey); the US Department of Energy, Office of Science, Office of Biological and Environmental Research contract DE-AC02-05CH11231 (Harinarayan Krishnan, Daithi A. Stone); and funding from the Bundesministerium fur Bildung und Forschung BMBF (Ludwig Lierhammer). We acknowledge the Norwegian Metacenter for Computational Science and Storage Infrastructure (NOTUR and Norstore Projects NN2345k and NS2345k); the European Centre for Medium-Range Weather Forecasts for providing the ERA-Interim data; and the NOAA/OAR/ESRL PSD (Boulder, Colorado, USA) for providing the GPCP precipitation data at www.esrl.noaa.gov/psd. Finally, we thank Monika Esch, Karl-Hermann Wieners, Stefan Hagemann, and Thorsten Mauritsen from MPI-M for technical support with ECHAM6.3-LR; Stephanie Legutke, Erica Madonna, and Stefan Sobolowski for helpful discussions; and two anonymous reviewers for their constructive suggestions.</t>
  </si>
  <si>
    <t>2190-4979</t>
  </si>
  <si>
    <t>2190-4987</t>
  </si>
  <si>
    <t>EARTH SYST DYNAM</t>
  </si>
  <si>
    <t>Earth Syst. Dynam.</t>
  </si>
  <si>
    <t>10.5194/esd-9-359-2018</t>
  </si>
  <si>
    <t>GC9LX</t>
  </si>
  <si>
    <t>WOS:000430120100001</t>
  </si>
  <si>
    <t>Schüpbach, S; Fischer, H; Bigler, M; Erhardt, T; Gfeller, G; Leuenberger, D; Mini, O; Mulvaney, R; Abram, NJ; Fleet, L; Frey, MM; Thomas, E; Svensson, A; Dahl-Jensen, D; Kettner, E; Kjaer, H; Seierstad, I; Steffensen, JP; Rasmussen, SO; Vallelonga, P; Winstrup, M; Wegner, A; Twarloh, B; Wolff, K; Schmidt, K; Goto-Azuma, K; Kuramoto, T; Hirabayashi, M; Uetake, J; Zheng, J; Bourgeois, J; Fisher, D; Zhiheng, D; Xiao, C; Legrand, M; Spolaor, A; Gabrieli, J; Barbante, C; Kang, JH; Hur, SD; Hong, SB; Hwang, HJ; Hong, S; Hansson, M; Iizuka, Y; Oyabu, I; Muscheler, R; Adolphi, F; Maselli, O; McConnell, J; Wolff, EW</t>
  </si>
  <si>
    <t>Schupbach, S.; Fischer, H.; Bigler, M.; Erhardt, T.; Gfeller, G.; Leuenberger, D.; Mini, O.; Mulvaney, R.; Abram, N. J.; Fleet, L.; Frey, M. M.; Thomas, E.; Svensson, A.; Dahl-Jensen, D.; Kettner, E.; Kjaer, H.; Seierstad, I.; Steffensen, J. P.; Rasmussen, S. O.; Vallelonga, P.; Winstrup, M.; Wegner, A.; Twarloh, B.; Wolff, K.; Schmidt, K.; Goto-Azuma, K.; Kuramoto, T.; Hirabayashi, M.; Uetake, J.; Zheng, J.; Bourgeois, J.; Fisher, D.; Zhiheng, D.; Xiao, C.; Legrand, M.; Spolaor, A.; Gabrieli, J.; Barbante, C.; Kang, J. -H.; Hur, S. D.; Hong, S. B.; Hwang, H. J.; Hong, S.; Hansson, M.; Iizuka, Y.; Oyabu, I.; Muscheler, R.; Adolphi, F.; Maselli, O.; McConnell, J.; Wolff, E. W.</t>
  </si>
  <si>
    <t>Greenland records of aerosol source and atmospheric lifetime changes from the Eemian to the Holocene</t>
  </si>
  <si>
    <t>SEA-SALT AEROSOL; LAST GLACIAL MAXIMUM; GRIP ICE CORE; NORTHERN-HEMISPHERE; CLIMATIC CYCLE; HIGH-LATITUDES; MINERAL DUST; TEMPERATURE; VARIABILITY; CIRCULATION</t>
  </si>
  <si>
    <t>The Northern Hemisphere experienced dramatic changes during the last glacial, featuring vast ice sheets and abrupt climate events, while high northern latitudes during the last interglacial (Eemian) were warmer than today. Here we use high-resolution aerosol records from the Greenland NEEM ice core to reconstruct the environmental alterations in aerosol source regions accompanying these changes. Separating source and transport effects, we find strongly reduced terrestrial biogenic emissions during glacial times reflecting net loss of vegetated area in North America. Rapid climate changes during the glacial have little effect on terrestrial biogenic aerosol emissions. A strong increase in terrestrial dust emissions during the coldest intervals indicates higher aridity and dust storm activity in East Asian deserts. Glacial sea salt aerosol emissions in the North Atlantic region increase only moderately (50%), likely due to sea ice expansion. Lower aerosol concentrations in Eemian ice compared to the Holocene are mainly due to shortened atmospheric residence time, while emissions changed little.</t>
  </si>
  <si>
    <t>[Schupbach, S.; Fischer, H.; Bigler, M.; Erhardt, T.; Gfeller, G.; Leuenberger, D.; Mini, O.; Adolphi, F.] Univ Bern, Climate &amp; Environm Phys, Phys Inst, Sidlerstr 5, CH-3012 Bern, Switzerland; [Schupbach, S.; Fischer, H.; Bigler, M.; Erhardt, T.; Gfeller, G.; Leuenberger, D.; Mini, O.; Adolphi, F.] Univ Bern, Oeschger Ctr Climate Change Res, Sidlerstr 5, CH-3012 Bern, Switzerland; [Mulvaney, R.; Abram, N. J.; Fleet, L.; Frey, M. M.; Thomas, E.] British Antarctic Survey, Natl Environm Res Council, High Cross Madingley Rd, Cambridge CB3 0ET, England; [Svensson, A.; Dahl-Jensen, D.; Kettner, E.; Kjaer, H.; Seierstad, I.; Steffensen, J. P.; Rasmussen, S. O.; Vallelonga, P.; Winstrup, M.] Univ Copenhagen, Niels Bohr Inst, Ctr Ice &amp; Climate, Juliane Maries Vej 30, DK-2100 Copenhagen K, Denmark; [Wegner, A.; Twarloh, B.; Wolff, K.; Schmidt, K.] Helmholtz Zentrum Polar &amp; Meeresforsch, Alfred Wegener Inst, Alten Hafen 26, D-27568 Bremerhaven, Germany; [Goto-Azuma, K.; Kuramoto, T.; Hirabayashi, M.; Uetake, J.] Natl Inst Polar Res, 10-3 Midori Cho, Tachikawa, Tokyo 1908518, Japan; [Zheng, J.; Bourgeois, J.] Geol Survey Canada, Nat Resources Canada, 601 Booth St, Ottawa, ON K1A 0E8, Canada; [Fisher, D.] Univ Ottawa, Dept Earth Sci Environm &amp; Geomat, Ottawa, ON, Canada; [Zhiheng, D.; Xiao, C.] Chinese Acad Sci, Cold &amp; Arid Reg Environm &amp; Engn Res Inst, State Key Lab Cryospher Sci, Lanzhou 730000, Gansu, Peoples R China; [Legrand, M.] Univ Grenoble Alpes, Inst Geosci Environm, CS 40 700, F-38058 Grenoble 9, France; [Spolaor, A.; Gabrieli, J.; Barbante, C.] Univ Venice, CNR, Inst Dynam Environm Proc, Via Torino 155, I-30172 Venice, Italy; [Kang, J. -H.; Hur, S. D.; Hong, S. B.; Hwang, H. J.] Korea Polar Res Inst, 26 Songdomirae Ro, Incheon 21990, South Korea; [Hong, S.] Inha Univ, Dept Ocean Sci, 100 Inha Ro, Incheon 22212, South Korea; [Hansson, M.; Iizuka, Y.; Oyabu, I.] Stockholm Univ, Dept Phys Geog, S-10691 Stockholm, Sweden; [Muscheler, R.; Adolphi, F.] Lund Univ, Dept Geol, Solvegatan 12, SE-22362 Lund, Sweden; [Maselli, O.; McConnell, J.] Nevada Syst Higher Educ, Desert Res Inst, Reno, NV 89512 USA; [Wolff, E. W.] Univ Cambridge, Dept Earth Sci, Downing St, Cambridge CB2 3EQ, England; [Abram, N. J.] Australian Natl Univ, Res Sch Earth Sci, Canberra, ACT 2602, Australia; [Kuramoto, T.] Fukushima Prefectural Ctr Environm Creat, 10-2 Fukasaku, Fukushima 9637700, Japan; [Uetake, J.] Colorado State Univ, Dept Atmospher Sci, 200 West Lake St,1371 Campus Delivery, Ft Collins, CO 80523 USA</t>
  </si>
  <si>
    <t>University of Bern; University of Bern; UK Research &amp; Innovation (UKRI); Natural Environment Research Council (NERC); NERC British Antarctic Survey; University of Copenhagen; Niels Bohr Institute; Helmholtz Association; Alfred Wegener Institute, Helmholtz Centre for Polar &amp; Marine Research; Research Organization of Information &amp; Systems (ROIS); National Institute of Polar Research (NIPR) - Japan; Natural Resources Canada; Lands &amp; Minerals Sector - Natural Resources Canada; Geological Survey of Canada; University of Ottawa; Chinese Academy of Sciences; Cold &amp; Arid Regions Environmental &amp; Engineering Research Institute, CAS; Communaute Universite Grenoble Alpes; Universite Grenoble Alpes (UGA); Consiglio Nazionale delle Ricerche (CNR); Istituto per la Dinamica dei Processi Ambientali (IDPA-CNR); Universita Ca Foscari Venezia; Korea Polar Research Institute (KOPRI); Inha University; Stockholm University; Lund University; Nevada System of Higher Education (NSHE); Desert Research Institute NSHE; University of Cambridge; Australian National University; Colorado State University</t>
  </si>
  <si>
    <t>Fischer, H (corresponding author), Univ Bern, Climate &amp; Environm Phys, Phys Inst, Sidlerstr 5, CH-3012 Bern, Switzerland.;Fischer, H (corresponding author), Univ Bern, Oeschger Ctr Climate Change Res, Sidlerstr 5, CH-3012 Bern, Switzerland.</t>
  </si>
  <si>
    <t>hubertus.fischer@climate.unibe.ch</t>
  </si>
  <si>
    <t>Dahl-Jensen, Dorthe/AAO-6951-2020; Svensson, Anders/A-2643-2010; Erhardt, Tobias/C-4589-2019; Abram, Nerilie/AAT-5171-2021; Bigler, Matthias/HTT-3872-2023; Wolff, Eric W/D-7925-2014; Oyabu, Ikumi/AGE-1164-2022; Uetake, Jun/V-4853-2018; Steffensen, Jorgen Peder/JFS-7831-2023; Frey, Markus/G-1756-2012; Spolaor, Andrea/AAX-8808-2020; Vallelonga, Paul/I-9650-2016; Barbante, Carlo/B-3195-2011; Legrand, Michel/AAU-4678-2020; Thomas, Elizabeth Ruth/ADF-3660-2022; Kjær, Helle Astrid/HGC-7941-2022; Rasmussen, Sune Olander/AAA-3190-2021; Rasmussen, Sune/B-5560-2008; Winstrup, Mai/M-5844-2014; Fischer, Hubertus/A-1211-2014; Mulvaney, Robert/K-3929-2012; Iizuka, Yoshinori/D-9112-2012</t>
  </si>
  <si>
    <t>Dahl-Jensen, Dorthe/0000-0002-1474-1948; Svensson, Anders/0000-0002-4364-6085; Erhardt, Tobias/0000-0002-6683-6746; Bigler, Matthias/0000-0003-0184-4013; Wolff, Eric W/0000-0002-5914-8531; Oyabu, Ikumi/0000-0001-8017-1085; Steffensen, Jorgen Peder/0000-0002-5516-1093; Frey, Markus/0000-0003-0535-0416; Spolaor, Andrea/0000-0001-8635-9193; Thomas, Elizabeth Ruth/0000-0002-3010-6493; Kjær, Helle Astrid/0000-0002-3781-9509; Rasmussen, Sune Olander/0000-0002-4177-3611; Winstrup, Mai/0000-0002-4794-4004; Fischer, Hubertus/0000-0002-2787-4221; Mulvaney, Robert/0000-0002-5372-8148; Jacopo, Gabrieli/0009-0001-7005-7390; Abram, Nerilie/0000-0003-1246-2344; Muscheler, Raimund/0000-0003-2772-3631; Iizuka, Yoshinori/0000-0001-7241-6062; Barbante, Carlo/0000-0003-4177-2288</t>
  </si>
  <si>
    <t>Belgium (FNRS-CFB); Belgium (FWO); Canada (NRCan/GSC); China (CAS); Denmark (FIST); France (IPEV); France (CNRS/INSU); France (CEA); France (ANR); Germany (AWI); Iceland (RannIs); Japan (NIPR); Korea (KOPRI); The Netherlands (NWO/ALW); Sweden (VR); Switzerland (SNF); United Kingdom (NERC); USA (US NSF, Office of Polar Programs); SNF; Grants-in-Aid for Scientific Research [17J00769, 17K12816] Funding Source: KAKEN; NERC [bas0100034, bas0100032] Funding Source: UKRI</t>
  </si>
  <si>
    <t>Belgium (FNRS-CFB)(Fonds de la Recherche Scientifique - FNRS); Belgium (FWO)(FWO); Canada (NRCan/GSC)(Natural Resources Canada); China (CAS)(Chinese Academy of Sciences); Denmark (FIST)(Department of Science &amp; Technology (India)); France (IPEV); France (CNRS/INSU); France (CEA); France (ANR)(Agence Nationale de la Recherche (ANR)); Germany (AWI); Iceland (RannIs); Japan (NIPR); Korea (KOPRI)(Korea Polar Research Institute of Marine Research Placement (KOPRI)); The Netherlands (NWO/ALW)(Netherlands Organization for Scientific Research (NWO)Netherlands Government); Sweden (VR)(Swedish Research Council); Switzerland (SNF); United Kingdom (NERC)(UK Research &amp; Innovation (UKRI)Natural Environment Research Council (NERC)); USA (US NSF, Office of Polar Programs); SNF; Grants-in-Aid for Scientific Research(Ministry of Education, Culture, Sports, Science and Technology, Japan (MEXT)Japan Society for the Promotion of ScienceGrants-in-Aid for Scientific Research (KAKENHI)); NERC(UK Research &amp; Innovation (UKRI)Natural Environment Research Council (NERC))</t>
  </si>
  <si>
    <t>We thank the many persons involved in logistics, drill developments and drilling, and ice-core processing and analysis in the field and in our laboratories. NEEM is directed and organized by the Center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USA (US NSF, Office of Polar Programs). Long-term support of ice core research at the University of Bern by SNF is gratefully acknowledged.</t>
  </si>
  <si>
    <t>10.1038/s41467-018-03924-3</t>
  </si>
  <si>
    <t>GC8PD</t>
  </si>
  <si>
    <t>WOS:000430056700008</t>
  </si>
  <si>
    <t>Nias, IJ; Cornford, SL; Payne, AJ</t>
  </si>
  <si>
    <t>Nias, I. J.; Cornford, S. L.; Payne, A. J.</t>
  </si>
  <si>
    <t>New Mass-Conserving Bedrock Topography for Pine Island Glacier Impacts Simulated Decadal Rates of Mass Loss</t>
  </si>
  <si>
    <t>AMUNDSEN SEA EMBAYMENT; ANTARCTIC ICE-SHEET; WEST ANTARCTICA; SENSITIVITY; DYNAMICS; THWAITES; CLIMATE; BALANCE; RETREAT; SURFACE</t>
  </si>
  <si>
    <t>High-resolution ice flow modeling requires bedrock elevation and ice thickness data, consistent with one another and with modeled physics. Previous studies have shown that gridded ice thickness products that rely on standard interpolation techniques (such as Bedmap2) can be inconsistent with the conservation of mass, given observed velocity, surface elevation change, and surface mass balance, for example, near the grounding line of Pine Island Glacier, West Antarctica. Using the BISICLES ice flow model, we compare results of simulations using both Bedmap2 bedrock and thickness data, and a new interpolation method that respects mass conservation. We find that simulations using the new geometry result in higher sea level contribution than Bedmap2 and reveal decadal-scale trends in the ice stream dynamics. We test the impact of several sliding laws and find that it is at least as important to accurately represent the bedrock and initial ice thickness as the choice of sliding law. Plain Language Summary Models of fast-flowing outlet glaciers from ice sheets (known as ice streams) require numerous input data, including bedrock topography and ice thickness. Traditionally, these geometry data are produced from geostatistical interpolation of airborne radar measurements. However, these data products (e.g., Bedmap2) can result in unrealistic signals in model results. For example, near the grounding line of Pine Island Glacier, a major ice stream in West Antarctica, Bedmap2 has a region of shallow bedrock topography that, given velocity observations, produces spurious ice thickening, which is not observed in accumulation rates or surface elevation change. Therefore, the aim of this work is to produce and test a new mass-conserved geometry product of Pine Island Glacier. We use an ice flow model to compare geometries and find that simulations using the new geometry produces more sea level rise than Bedmap2, even when accounting for uncertainty in a parameter associated with ice sliding over bedrock. Model projections of future sea level rise from ice sheets depend on highly resolved and accurate geometry data products.</t>
  </si>
  <si>
    <t>[Nias, I. J.; Payne, A. J.] Univ Bristol, Bristol Glaciol Ctr, Ctr Polar Observat &amp; Modelling, Bristol, Avon, England; [Cornford, S. L.] Swansea Univ, Dept Geog, Swansea, W Glam, Wales</t>
  </si>
  <si>
    <t>University of Bristol; Swansea University</t>
  </si>
  <si>
    <t>Nias, IJ (corresponding author), Univ Bristol, Bristol Glaciol Ctr, Ctr Polar Observat &amp; Modelling, Bristol, Avon, England.</t>
  </si>
  <si>
    <t>isabel.nias@bristol.ac.uk</t>
  </si>
  <si>
    <t>; payne, antony/A-8916-2008</t>
  </si>
  <si>
    <t>Nias, Isabel/0000-0002-5657-8691; Cornford, Stephen/0000-0003-1844-274X; payne, antony/0000-0001-8825-8425</t>
  </si>
  <si>
    <t>UK Natural Environment Research Council (NERC) through the iSTAR-C programme [NE/J005738/1]; U.S. Department of Energy, through the NERC Centre for Polar Observation and Modelling (CPOM); UK Natural Environment Research Council, through the NERC Centre for Polar Observation and Modelling (CPOM); NERC [NE/J005738/1, cpom30001, NE/J005754/1] Funding Source: UKRI; Natural Environment Research Council [NE/J005754/1, 1374592] Funding Source: researchfish</t>
  </si>
  <si>
    <t>UK Natural Environment Research Council (NERC) through the iSTAR-C programme; U.S. Department of Energy, through the NERC Centre for Polar Observation and Modelling (CPOM); UK Natural Environment Research Council, through the NERC Centre for Polar Observation and Modelling (CPOM); NERC(UK Research &amp; Innovation (UKRI)Natural Environment Research Council (NERC)); Natural Environment Research Council(UK Research &amp; Innovation (UKRI)Natural Environment Research Council (NERC))</t>
  </si>
  <si>
    <t>We thank the Editor, Julienne Stroeve, and two anonymous reviewers for their helpful and constructive comments. This work was supported by funding from the UK Natural Environment Research Council (NERC) through the iSTAR-C programme (grant NE/J005738/1). BISICLES simulations were carried out on the University of Bristol's Blue Crystal Phase 3 supercomputer. BISICLES development is led by D. F. Martin at Lawrence Berkeley National Laboratory, California, USA, and S. L. Cornford at the University of Bristol, UK, with financial support provided by the U.S. Department of Energy and the UK Natural Environment Research Council, through the NERC Centre for Polar Observation and Modelling (CPOM). The mass-conserved geometry is available via the UK Polar Data Centre's Discovery Metadata System (http://doi.org/cj88).</t>
  </si>
  <si>
    <t>10.1002/2017GL076493</t>
  </si>
  <si>
    <t>GJ9RZ</t>
  </si>
  <si>
    <t>WOS:000435743400035</t>
  </si>
  <si>
    <t>Gasiorek, P; Degma, P</t>
  </si>
  <si>
    <t>Gasiorek, Piotr; Degma, Peter</t>
  </si>
  <si>
    <t>Three Echiniscidae species (Tardigrada: Heterotardigrada) new to the Polish fauna, with the description of a new gonochoristic Bryodelphax Thulin, 1928</t>
  </si>
  <si>
    <t>biodiversity; Bryodelphax instabilis sp nov.; Carpathians; Echiniscidae; Echiniscus; mountain fauna; Pseudechiniscus</t>
  </si>
  <si>
    <t>INTEGRATIVE DESCRIPTION; BISEROV</t>
  </si>
  <si>
    <t>During a faunistic survey in the Pieniny and Tatra Mountains three species of Echiniscidae new to Poland, including one new to science, were found. Bryodelphax instabilis sp. nov. is characterised by an instable number of ventral plates, deep faceting of the scapular plate, having dorsal plates covered either with pseudopores or pores, and striking sexual dimorphism. Two first records, namely Echiniscus militaris and E. spiniger, are rare taxa of upland-mountain character, which have already been reported from a few European countries since the original description at the beginning of the XXth century. The interspecific appendage length variability and development of pedal plates in the spinulosus group, to which E. spiniger belongs, and their taxonomic importance is discussed. Notes relating to sexual dimorphism within the newly recorded Pseudechiniscus facettalis, are also presented. Echiniscus testudo is reported from the Polish part of the Tatra Mountains for the first time. Succeeding findings confirm the high tardigrade alpha-diversity in the Polish mountain ranges. An amended key for Polish Heterotardigrada is provided.</t>
  </si>
  <si>
    <t>[Gasiorek, Piotr] Jagiellonian Univ, Inst Zool &amp; Biomed Res, Gronostajowa 9, PL-30387 Krakow, Poland; [Degma, Peter] Comenius Univ, Fac Nat Sci, Dept Zool, Ilkovicova 6-B1, Bratislava 84215, Slovakia</t>
  </si>
  <si>
    <t>Jagiellonian University; Comenius University Bratislava</t>
  </si>
  <si>
    <t>Gasiorek, P (corresponding author), Jagiellonian Univ, Inst Zool &amp; Biomed Res, Gronostajowa 9, PL-30387 Krakow, Poland.</t>
  </si>
  <si>
    <t>piotr.lukas.gasiorek@gmail.com</t>
  </si>
  <si>
    <t>Gąsiorek, Piotr/L-3152-2017</t>
  </si>
  <si>
    <t>Gąsiorek, Piotr/0000-0002-2814-8117; Degma, Peter/0000-0003-3303-6344</t>
  </si>
  <si>
    <t>SYNTHESYS [DK-TAF-4387]; European Commission's (FP6) Integrated Infrastructure Initiative programme SYNTHESYS [DK-TAF-6332]; Slovak Research and Development Agency [APVV-15-0147]</t>
  </si>
  <si>
    <t>SYNTHESYS; European Commission's (FP6) Integrated Infrastructure Initiative programme SYNTHESYS(European Union (EU)European Commission Joint Research Centre); Slovak Research and Development Agency(Slovak Research and Development Agency)</t>
  </si>
  <si>
    <t>Three reviewers and Dr. Sandra J. McInnes (British Antarctic Survey), whose remarks improved the text, are gratefully acknowledged. Special thanks to Professor Reinhardt Mobjerg Kristensen (University of Copenhagen) for loan of E. spinulosus specimens from locus typicus, to Dr. Roberto Guidetti (University of Modena and Reggio Emilia) for making the collections of Ramazzotti and Maucci available, and to Dr. Lukasz Michalczyk (Jagiellonian University) for making the SEM pictures of Slovakian Bryodelphax specimens (microphotographs taken in Copenhagen thanks to SYNTHESYS funding: grant no. DK-TAF-4387 to LM and Dr. Lukasz Kaczmarek). Maciej Barczyk, Paulina Kosztyla, Brian Blagden, and Jamila Marnissi contributed material for comparisons while Gabriela Cipcalova prepared most slides from Slovak Bryodelphax specimens, thus we feel indebted to all of them. We are grateful to Brian Blagden (Scotland) for his comments on the manuscript and for help in improving the English. The study was supported by a grant from the European Commission's (FP6) Integrated Infrastructure Initiative programme SYNTHESYS (grant no. DK-TAF-6332 to PG) and by the Slovak Research and Development Agency under the contract No. APVV-15-0147 (to PD).</t>
  </si>
  <si>
    <t>10.11646/zootaxa.4410.1.4</t>
  </si>
  <si>
    <t>GD4FW</t>
  </si>
  <si>
    <t>WOS:000430460000004</t>
  </si>
  <si>
    <t>Spang, R; Hoffmann, L; Müller, R; Grooss, JU; Tritscher, I; Höpfner, M; Pitts, M; Orr, A; Riese, M</t>
  </si>
  <si>
    <t>Spang, Reinhold; Hoffmann, Lars; Mueller, Rolf; Grooss, Jens-Uwe; Tritscher, Ines; Hoepfner, Michael; Pitts, Michael; Orr, Andrew; Riese, Martin</t>
  </si>
  <si>
    <t>A climatology of polar stratospheric cloud composition between 2002 and 2012 based on MIPAS/Envisat observations</t>
  </si>
  <si>
    <t>NITRIC-ACID TRIHYDRATE; LARGE HNO3-CONTAINING PARTICLES; LIMB EMISSION MEASUREMENTS; ARCTIC OZONE LOSS; A-TRAIN CALIOP; CHLORINE ACTIVATION; HETEROGENEOUS FORMATION; ALGORITHM DESCRIPTION; MLS OBSERVATIONS; SULFATE AEROSOL</t>
  </si>
  <si>
    <t>The Michelson Interferometer for Passive Atmospheric Sounding (MIPAS) instrument aboard the European Space Agency (ESA) Envisat satellite operated from July 2002 to April 2012. The infrared limb emission measurements provide a unique dataset of day and night observations of polar stratospheric clouds (PSCs) up to both poles. A recent classification method for PSC types in infrared (IR) limb spectra using spectral measurements in different atmospheric window regions has been applied to the complete mission period of MIPAS. The method uses a simple probabilistic classifier based on Bayes' theorem with a strong independence assumption on a combination of a well-established two-colour ratio method and multiple 2-D probability density functions of brightness temperature differences. The Bayesian classifier distinguishes between solid particles of ice, nitric acid trihydrate (NAT), and liquid droplets of supercooled ternary solution (STS), as well as mixed types. A climatology of MIPAS PSC occurrence and specific PSC classes has been compiled. Comparisons with results from the classification scheme of the spaceborne lidar Cloud-Aerosol Lidar with Orthogonal Polarization (CALIOP) on the Cloud-Aerosol-Lidar and Infrared Pathfinder Satellite Observations (CALIPSO) satellite show excellent correspondence in the spatial and temporal evolution for the area of PSC coverage (A PSC/even for each PSC class. Probability density functions of the PSC temperature, retrieved for each class with respect to equilibrium temperature of ice and based on coincident temperatures from meteorological re-analyses, are in accordance with the microphysical knowledge of the formation processes with respect to temperature for all three PSC types. This paper represents unprecedented pole-covering day and nighttime climatology of the PSC distributions and their composition of different particle types. The dataset allows analyses on the temporal and spatial development of the PSC formation process over multiple winters. At first view, a more general comparison of A PSC and A ICE retrieved from the observations and from the existence temperature for NAT and ice particles based on the European Centre for Medium-Range Weather Forecasts (ECMWF) re-analysis temperature data shows the high potential of the climatology for the validation and improvement of PSC schemes in chemical transport and chemistry-climate models.</t>
  </si>
  <si>
    <t>[Spang, Reinhold; Mueller, Rolf; Grooss, Jens-Uwe; Tritscher, Ines; Riese, Martin] Forschungszentrum Julich, Inst Energie &amp; Klimaforsch, Stratosphare, IEK 7, Julich, Germany; [Hoffmann, Lars] Forschungszentrum Julich, Julich Supercomp Ctr, Julich, Germany; [Hoepfner, Michael] Karlsruhe Inst Technol, Inst Meteorol &amp; Klimaforsch, Karlsruhe, Germany; [Pitts, Michael] NASA, Langley Res Ctr, Hampton, VA 23665 USA; [Orr, Andrew] British Antarctic Survey, Cambridge, England</t>
  </si>
  <si>
    <t>Helmholtz Association; Research Center Julich; Helmholtz Association; Research Center Julich; Helmholtz Association; Karlsruhe Institute of Technology; National Aeronautics &amp; Space Administration (NASA); NASA Langley Research Center; UK Research &amp; Innovation (UKRI); Natural Environment Research Council (NERC); NERC British Antarctic Survey</t>
  </si>
  <si>
    <t>Spang, R (corresponding author), Forschungszentrum Julich, Inst Energie &amp; Klimaforsch, Stratosphare, IEK 7, Julich, Germany.</t>
  </si>
  <si>
    <t>r.spang@fz-juelich.de</t>
  </si>
  <si>
    <t>Riese, Martin/A-3927-2013; Grooß, Jens-Uwe/N-3305-2019; Hoffmann, Lars/A-5173-2013; Hoffmann, Lars/ABI-3746-2020; Müller, Rolf/ABA-8213-2021; Tritscher, Ines/O-2271-2014; Hopfner, Michael/A-7255-2013; Spang, Reinhold/A-2738-2013</t>
  </si>
  <si>
    <t>Riese, Martin/0000-0001-6398-6493; Grooß, Jens-Uwe/0000-0002-9485-866X; Hoffmann, Lars/0000-0003-3773-4377; Hoffmann, Lars/0000-0003-3773-4377; Müller, Rolf/0000-0002-5024-9977; Tritscher, Ines/0000-0001-5285-7952; Hopfner, Michael/0000-0002-4174-9531; Spang, Reinhold/0000-0002-2483-5761</t>
  </si>
  <si>
    <t>Deutsche Forschungsgemeinschaft (DFG) [310479827]; NERC [bas0100032] Funding Source: UKRI</t>
  </si>
  <si>
    <t>Deutsche Forschungsgemeinschaft (DFG)(German Research Foundation (DFG)); NERC(UK Research &amp; Innovation (UKRI)Natural Environment Research Council (NERC))</t>
  </si>
  <si>
    <t>We gratefully acknowledge ECMWF, ESA, and NASA for the preparation of the ERA-Interim dataset, the MIPAS Level 1 data, and the CALIOP PSC data, respectively. Reinhold Spang thanks Sabine Griessbach (FZJ) for discussions and references on the topic of the volcanic aerosol load of the stratosphere. Ines Tritscher was funded by the Deutsche Forschungsgemeinschaft (DFG) under project number 310479827. Finally, the authors like to thank the International Space Science Institute (ISSI) and Stratosphere-troposphere Processes And their Role in Climate (SPARC) for supporting the activities on the compilation of a PSC climatological dataset.</t>
  </si>
  <si>
    <t>10.5194/acp-18-5089-2018</t>
  </si>
  <si>
    <t>GD0EC</t>
  </si>
  <si>
    <t>WOS:000430171500002</t>
  </si>
  <si>
    <t>Licht, KJ; Groth, T; Townsend, JP; Hennessy, AJ; Hemming, SR; Flood, TP; Studinger, M</t>
  </si>
  <si>
    <t>Licht, K. J.; Groth, T.; Townsend, J. P.; Hennessy, A. J.; Hemming, S. R.; Flood, T. P.; Studinger, M.</t>
  </si>
  <si>
    <t>Evidence for Extending Anomalous Miocene Volcanism at the Edge of the East Antarctic Craton</t>
  </si>
  <si>
    <t>TRANSANTARCTIC MOUNTAINS; GLACIAL HISTORY; VICTORIA LAND; ICE-SHEET; ROSS EMBAYMENT; RIFT SYSTEM; ROCK; SEA; EVOLUTION; INSIGHTS</t>
  </si>
  <si>
    <t>Using field observations followed by petrological, geochemical, geochronological, and geophysical data, we infer the presence of a previously unknown Miocene subglacial volcanic center similar to 230 km from the South Pole. Evidence of volcanism is from boulders of olivine-bearing amygdaloidal/vesicular basalt and hyaloclastite deposited in a moraine in the southern Transantarctic Mountains. 40Ar/39Ar ages from five specimens plus U-Pb ages of detrital zircon from glacial till indicate igneous activity 25-17 Ma. The likely source of the volcanism is a circular -735 nT magnetic anomaly 60 km upflow from the sampling site. Subaqueous textures of the volcanics indicate eruption beneath ice or into water at the margin of an ice mass during the early Miocene. These rocks record the southernmost Cenozoic volcanism in Antarctica and expand the known extent of the oldest lavas associated with West Antarctic Rift system. They may be an expression of lithospheric foundering beneath the southern Transantarctic Mountains.</t>
  </si>
  <si>
    <t>[Licht, K. J.; Groth, T.; Hennessy, A. J.] Indiana Univ Purdue Univ, Dept Earth Sci, Indianapolis, IN 46202 USA; [Townsend, J. P.] Sandia Natl Labs, HEDP Theory Dept, POB 5800, Albuquerque, NM 87185 USA; [Hemming, S. R.] Columbia Univ, Lamont Doherty Earth Observ, Dept Earth &amp; Environm Sci, Palisades, NY USA; [Flood, T. P.] St Norbert Coll, Geol Dept, De Pere, WI 54115 USA; [Studinger, M.] NASA, Goddard Space Flight Ctr, Greenbelt, MD USA</t>
  </si>
  <si>
    <t>Indiana University System; Indiana University-Purdue University Indianapolis; United States Department of Energy (DOE); Sandia National Laboratories; Columbia University; National Aeronautics &amp; Space Administration (NASA); NASA Goddard Space Flight Center</t>
  </si>
  <si>
    <t>Licht, KJ (corresponding author), Indiana Univ Purdue Univ, Dept Earth Sci, Indianapolis, IN 46202 USA.</t>
  </si>
  <si>
    <t>klicht@iupui.edu</t>
  </si>
  <si>
    <t>Townsend, Joshua/0000-0002-1137-3924; Licht, Kathy/0000-0002-2233-2853; Studinger, Michael/0000-0003-1265-4741; Hemming, Sidney/0000-0001-8117-2303</t>
  </si>
  <si>
    <t>NSF [OPP-0440885, 0944578]; IUPUI's Undergraduate Research Opportunities Program; U.S. Department of Energy's National Nuclear Security Administration [DE-NA0003525]; Office of Polar Programs (OPP); Directorate For Geosciences [0944578] Funding Source: National Science Foundation</t>
  </si>
  <si>
    <t>NSF(National Science Foundation (NSF)); IUPUI's Undergraduate Research Opportunities Program; U.S. Department of Energy's National Nuclear Security Administration(National Nuclear Security Administration); Office of Polar Programs (OPP); Directorate For Geosciences(National Science Foundation (NSF)NSF - Directorate for Geosciences (GEO))</t>
  </si>
  <si>
    <t>This research was supported by two grants from NSF (OPP-0440885 and 0944578) and IUPUI's Undergraduate Research Opportunities Program. The first sample that inspired this project was spotted by mountaineer P. Braddock; we also thank field team members N. Bader, M. Kaplan, and M. Roberts. We are grateful to Kenn Borek Air, Ltd., and the U.S. Antarctic Program. We thank W. LeMasurier and K. Panter for constructive reviews, D. Wiens for helpful discussions, and S. Hart for unpublished data from Sheridan Bluff rocks. Analytical assistance was provided by T. Vogel; R. Conrey; University of Arizona LaserChron Center; and J. Mosely and J. Mickey (IUPUI). Sandia National Laboratories is a multimission laboratory managed and operated by National Technology and Engineering Solutions of Sandia, LLC, a wholly owned subsidiary of Honeywell International, Inc., for the U.S. Department of Energy's National Nuclear Security Administration under contract DE-NA0003525. Data supporting the conclusions are in tables and supporting information.</t>
  </si>
  <si>
    <t>10.1002/2018GL077237</t>
  </si>
  <si>
    <t>Bronze, Green Accepted, Green Published</t>
  </si>
  <si>
    <t>WOS:000435743400016</t>
  </si>
  <si>
    <t>Rolison, JM; Stirling, CH; Middag, R; Gault-Ringold, M; George, E; Rijkenberg, MJA</t>
  </si>
  <si>
    <t>Rolison, John M.; Stirling, Claudine H.; Middag, Rob; Gault-Ringold, Melanie; George, Ejin; Rijkenberg, Micha J. A.</t>
  </si>
  <si>
    <t>Iron isotope fractionation during pyrite formation in a sulfidic Precambrian ocean analogue</t>
  </si>
  <si>
    <t>iron isotope fractionation; paleo-redox proxy; pyrite formation; redox-sensitive trace metal; Black Sea; Great Oxidation Event</t>
  </si>
  <si>
    <t>BLACK-SEA; WATER COLUMN; REDOX; FE; SULFUR; OXYGEN; CONSTRAINTS; PERSPECTIVE; CALIBRATION; EVOLUTION</t>
  </si>
  <si>
    <t>The chemical response of the Precambrian oceans to rising atmospheric O-2 levels remains controversial. The iron isotope signature of sedimentary pyrite is widely used to trace the microbial and redox states of the ocean, yet the iron isotope fractionation accompanying pyrite formation in nature is difficult to constrain due to the complexity of the pyrite formation process, difficulties in translating the iron isotope systematics of experimental studies to natural settings, and insufficient iron isotope datasets for natural euxinic (i.e. anoxic and sulfidic) marine basins where pyrite formation occurs. Herein we demonstrate, that a large, permil-level shift in the isotope composition of dissolved iron occurs in the Black Sea euxinic water column during syngenetic pyrite formation. Specifically, iron removal to syngenetic pyrite gives rise to an iron isotope fractionation factor between Fe(II) and FeS2 of 2.75 permil (parts per thousand), the largest yet reported for reactions under natural conditions that do not involve iron redox chemistry. These iron isotope systematics offer the potential to generate permil-level shifts in the sedimentary pyrite iron isotope record due to partial drawdown of the oceanic iron inventory. The implication is that the iron stable isotope signatures of sedimentary pyrites may record fundamental regime shifts between pyrite formation under sulfur-limited conditions and pyrite formation under iron-limited conditions. To this end, the iron isotope signatures of sedimentary pyrite may best represent the extent of euxinia in the past global ocean, rather than its oxygenation state. On this basis, the reinterpreted sedimentary pyrite Fe isotope record suggests a fundamental shift towards more sulfidic oceanic conditions coincident with the 'Great Oxidation Event' around 2.3 billion years ago. Importantly, this does not require the chemical state of the ocean to shift from mainly de-oxygenated to predominantly oxygenated in parallel with the permanent rise in atmospheric oxygen, contrary to other interpretations based on iron isotope systematics. (C) 2018 Elsevier B.V. All rights reserved.</t>
  </si>
  <si>
    <t>[Rolison, John M.; Stirling, Claudine H.; Middag, Rob; Gault-Ringold, Melanie; George, Ejin] Univ Otago, Dept Chem, POB 56, Dunedin, New Zealand; [Rolison, John M.; Stirling, Claudine H.; Gault-Ringold, Melanie; George, Ejin] Univ Otago, Ctr Trace Element Anal, POB 56, Dunedin, New Zealand; [Gault-Ringold, Melanie] Univ Tasmania, Antarctic Climate &amp; Ecosyst CRC, Private Bag 80, Hobart, Tas 7001, Australia; [Middag, Rob; Rijkenberg, Micha J. A.] Royal Netherlands Inst Sea Res, Dept Ocean Syst OCS, POB 59, NL-1790 AB Texel, Netherlands; [Middag, Rob; Rijkenberg, Micha J. A.] Univ Utrecht, POB 59, NL-1790 AB Texel, Netherlands; [Rolison, John M.] Lawrence Livermore Natl Lab, POB 808, Livermore, CA 94551 USA</t>
  </si>
  <si>
    <t>University of Otago; University of Otago; University of Tasmania; Utrecht University; Royal Netherlands Institute for Sea Research (NIOZ); Utrecht University; United States Department of Energy (DOE); Lawrence Livermore National Laboratory</t>
  </si>
  <si>
    <t>Stirling, CH (corresponding author), Univ Otago, Dept Chem, POB 56, Dunedin, New Zealand.</t>
  </si>
  <si>
    <t>cstirling@chemistry.otago.ac.nz</t>
  </si>
  <si>
    <t>Gault-Ringold, Melanie/H-4089-2011; Rijkenberg, Micha JA/C-3245-2012; Middag, Rob/D-6423-2013</t>
  </si>
  <si>
    <t>Rolison, John/0000-0001-6974-8891; Middag, Rob/0000-0002-3326-530X</t>
  </si>
  <si>
    <t>Royal Society of New Zealand Marsden Grant [UOO1314]; University of Otago; Netherlands Organization for Scientific Research [882.01.015]; U.S. Department of Energy, National Nuclear Security Administration [DE-AC52-07NA27344]; [LLNL-JRNL-725981]</t>
  </si>
  <si>
    <t>Royal Society of New Zealand Marsden Grant(Royal Society of New ZealandMarsden Fund (NZ)); University of Otago; Netherlands Organization for Scientific Research(Netherlands Organization for Scientific Research (NWO)); U.S. Department of Energy, National Nuclear Security Administration(National Nuclear Security AdministrationUnited States Department of Energy (DOE));</t>
  </si>
  <si>
    <t>All data reported here are tabulated in the Supplementary Material. The captain and crew of RV Pelagia are gratefully acknowledged for their support during cruise 64PE373. We thank two anonymous reviewers for their detailed and constructive comments which helped improved this manuscript. Funding for this research was provided by a Royal Society of New Zealand Marsden Grant to C.H.S. (UOO1314), University of Otago Doctoral Scholarships to J.M.R. and E.G., and by the Netherlands Organization for Scientific Research (882.01.015). Lawrence Livermore National Laboratory is operated by Lawrence Livermore National Security, LLC, for the U.S. Department of Energy, National Nuclear Security Administration under Contract DE-AC52-07NA27344. LLNL-JRNL-725981.</t>
  </si>
  <si>
    <t>APR 15</t>
  </si>
  <si>
    <t>10.1016/j.epsl.2018.02.006</t>
  </si>
  <si>
    <t>GC8GX</t>
  </si>
  <si>
    <t>WOS:000430032900001</t>
  </si>
  <si>
    <t>Brooks, ST; Jabour, J; Sharman, AJ; Bergstrom, DM</t>
  </si>
  <si>
    <t>Brooks, Shaun T.; Jabour, Julia; Sharman, Andy J.; Bergstrom, Dana M.</t>
  </si>
  <si>
    <t>An analysis of environmental incidents for a national Antarctic program</t>
  </si>
  <si>
    <t>JOURNAL OF ENVIRONMENTAL MANAGEMENT</t>
  </si>
  <si>
    <t>Antarctica; Incidents; Accidents; Spills; Biosecurity; Footprint</t>
  </si>
  <si>
    <t>HEAVY-METAL CONTAMINATION; STATION; IMPACTS; SOILS; CONTINENT; SEDIMENTS; VECTORS; HABITAT; CLIMATE; REGION</t>
  </si>
  <si>
    <t>Research stations in Antarctica are concentrated on scarce ice-free habitats. Operating these stations in the harsh Antarctic climate provides many challenges, including the need to handle bulk fuel and cargo increasing the risk of environmental incidents. We examined 195 reports of environmental incidents from the Australian Antarctic Program, spanning six years, to investigate the impacts and pathways of contemporary environmental incidents. Fuel and chemical spills were most common, followed by biosecurity incursions. The majority of reports were assessed as having insignificant actual impacts. Either the incidents were small, or active, rapid response and mitigation procedures minimised impact. During the period only one spill report (40001) was assessed as a 'high' impact. This is despite over 13 million litres of diesel utilised. The majority of incidents occurred within the existing station footprints. The pathways leading to the incidents varied, with technical causes predominately leading to spills, and procedural failures leading to biosecurity incursions. The large number of reports with inconsequential impacts suggest an effective environmental management system with a good culture of reporting environmental incidents. Our findings suggest that the key to continual improvement in an ongoing environmental management system is to learn from incidences and take action to prevent them occurring again, with an end-goal of minimising the residual risk as much as possible. (C) 2018 Elsevier Ltd. All rights reserved.</t>
  </si>
  <si>
    <t>[Brooks, Shaun T.; Jabour, Julia] Univ Tasmania, Inst Marine &amp; Antarctic Studies, Hobart, Tas, Australia; [Sharman, Andy J.; Bergstrom, Dana M.] Australian Antarctic Div, 203 Channel Highway, Kingston, Tas, Australia</t>
  </si>
  <si>
    <t>University of Tasmania; Australian Antarctic Division</t>
  </si>
  <si>
    <t>Brooks, ST (corresponding author), Univ Tasmania, Inst Marine &amp; Antarctic Studies, Hobart, Tas, Australia.</t>
  </si>
  <si>
    <t>stbrooks@utas.edu.au</t>
  </si>
  <si>
    <t>Jabour, Julia A/J-7882-2014; Bergstrom, Dana/AAC-2837-2022</t>
  </si>
  <si>
    <t>Bergstrom, Dana/0000-0001-8484-8954; Brooks, Shaun/0000-0002-0516-7841</t>
  </si>
  <si>
    <t>Australian Government Research Training Program Scholarship</t>
  </si>
  <si>
    <t>Australian Government Research Training Program Scholarship(Australian GovernmentDepartment of Industry, Innovation and Science)</t>
  </si>
  <si>
    <t>The Australian Antarctic Division provided access to data from their incident and hazards register (IHIS). Jacqui Allan provided assistance with accessing this data. Ewan McIvor provided comment on an earlier version of the manuscript. ST Brooks is supported by an Australian Government Research Training Program Scholarship.</t>
  </si>
  <si>
    <t>0301-4797</t>
  </si>
  <si>
    <t>1095-8630</t>
  </si>
  <si>
    <t>J ENVIRON MANAGE</t>
  </si>
  <si>
    <t>J. Environ. Manage.</t>
  </si>
  <si>
    <t>10.1016/j.jenvman.2018.02.024</t>
  </si>
  <si>
    <t>GA1SK</t>
  </si>
  <si>
    <t>WOS:000428097500036</t>
  </si>
  <si>
    <t>Friedl, P; Seehaus, TC; Wendt, A; Braun, MH; Höppner, K</t>
  </si>
  <si>
    <t>Friedl, Peter; Seehaus, Thorsten C.; Wendt, Anja; Braun, Matthias H.; Hoeppner, Kathrin</t>
  </si>
  <si>
    <t>Recent dynamic changes on Fleming Glacier after the disintegration of Wordie Ice Shelf, Antarctic Peninsula</t>
  </si>
  <si>
    <t>DIGITAL ELEVATION MODEL; TANDEM-X; ACCURACY ASSESSMENT; WEST ANTARCTICA; OUTLET GLACIERS; MASS-BALANCE; PINE ISLAND; LASER ALTIMETRY; GROUNDING ZONE; ANNULAR MODE</t>
  </si>
  <si>
    <t>The Antarctic Peninsula is one of the world's regions most affected by climate change. Several ice shelves have retreated, thinned or completely disintegrated during recent decades, leading to acceleration and increased calving of their tributary glaciers. Wordie Ice Shelf, located in Marguerite Bay at the south-western side of the Antarctic Peninsula, completely disintegrated in a series of events between the 1960s and the late 1990s. We investigate the longterm dynamics (1994-2016) of Fleming Glacier after the disintegration of Wordie Ice Shelf by analysing various multisensor remote sensing data sets. We present a dense time series of synthetic aperture radar (SAR) surface velocities that reveals a rapid acceleration of Fleming Glacier in 2008 and a phase of further gradual acceleration and upstream propagation of high velocities in 2010-2011. The timing in acceleration correlates with strong upwelling events of warm circumpolar deep water (CDW) into Wordie Bay, most likely leading to increased submarine melt. This, together with continuous dynamic thinning and a deep subglacial trough with a retrograde bed slope close to the terminus probably, has induced unpinning of the glacier tongue in 2008 and gradual grounding line retreat between 2010 and 2011. Our data suggest that the glacier's grounding line had retreated by similar to 6-9 km between 1996 and 2011, which caused similar to 56 km(2) of the glacier tongue to go afloat. The resulting reduction in buttressing explains a median speedup of similar to 1.3 m d(-1) (similar to 27 %) between 2008 and 2011, which we observed along a centre line extending between the grounding line in 1996 and similar to 16 km upstream. Current median ice thinning rates (2011-2014) along profiles in areas below 1000m altitude range between similar to 2.6 to 3.2m a(-1) and are similar to 70% higher than between 2004 and 2008. Our study shows that Fleming Glacier is far away from approaching a new equilibrium and that the glacier dynamics are not primarily controlled by the loss of the former ice shelf anymore. Currently, the tongue of Fleming Glacier is grounded in a zone of bedrock elevation between similar to -400 and -500 m. However, about 3-4 km upstream modelled bedrock topography indicates a retrograde bed which transitions into a deep trough of up to similar to -1100m at similar to 10 km upstream. Hence, this endangers upstream ice masses, which can significantly increase the contribution of Fleming Glacier to sea level rise in the future.</t>
  </si>
  <si>
    <t>[Friedl, Peter; Hoeppner, Kathrin] German Aerosp Ctr DLR, German Remote Sensing Data Ctr DFD, D-82234 Oberpfaffenhofen, Germany; [Seehaus, Thorsten C.; Braun, Matthias H.] Friedrich Alexander Univ Erlangen Nuremberg, Inst Geog, D-91058 Erlangen, Germany; [Wendt, Anja] Bavarian Acad Sci &amp; Humanities, D-80539 Munich, Germany</t>
  </si>
  <si>
    <t>Helmholtz Association; German Aerospace Centre (DLR); University of Erlangen Nuremberg</t>
  </si>
  <si>
    <t>Friedl, P (corresponding author), German Aerosp Ctr DLR, German Remote Sensing Data Ctr DFD, D-82234 Oberpfaffenhofen, Germany.</t>
  </si>
  <si>
    <t>peter.friedl@dlr.de</t>
  </si>
  <si>
    <t>Friedl, Peter/HTL-2333-2023; Braun, Matthias H/S-4693-2016; Braun, Matthias/A-4968-2009</t>
  </si>
  <si>
    <t>Friedl, Peter/0009-0000-9891-6655; Braun, Matthias/0000-0001-5169-1567; Seehaus, Thorsten/0000-0001-5055-8959</t>
  </si>
  <si>
    <t>DLR VO-R Young Investigator Group Antarctic Research; Deutsche Forschungsgemeinschaft (DFG) [BR 2105/9-1]; HGF Alliance Remote Sensing of Earth System Dynamics [HA-310]; Marie-Curie-Network International Research Staff Exchange Scheme IMCONet [318718]; DLR [HYD3008, XTI_GLAC7015]</t>
  </si>
  <si>
    <t>DLR VO-R Young Investigator Group Antarctic Research; Deutsche Forschungsgemeinschaft (DFG)(German Research Foundation (DFG)); HGF Alliance Remote Sensing of Earth System Dynamics; Marie-Curie-Network International Research Staff Exchange Scheme IMCONet; DLR(Helmholtz AssociationGerman Aerospace Centre (DLR))</t>
  </si>
  <si>
    <t>This project was mainly funded by the DLR VO-R Young Investigator Group Antarctic Research. Thorsten C. Seehaus was funded by Deutsche Forschungsgemeinschaft (DFG) in the framework of the priority program Antarctic Research with comparative investigations in Arctic ice areas by a grant to Matthias H. Braun (BR 2105/9-1). Matthias H. Braun and Thorsten C. Seehaus would like to thank the HGF Alliance Remote Sensing of Earth System Dynamics (HA-310) and Marie-Curie-Network International Research Staff Exchange Scheme IMCONet (EU FP7-PEOPLE-2012-IRSES, Project Reference: 318718) for additional support. TerraSAR-X and TanDEM-X data were provided by DLR through the projects HYD3008 and XTI_GLAC7015. We would like to thank Rainer Lorenz (German Remote Sensing Data Centre, DLR) for his support retrieving the ERS-1/-2 SLC data from the ESA ERS-1/-2 Processing and Archiving Facility (D-PAF) at DLR and the ENVISAT ASAR SLC data from the ESA ENVISAT Processing and Archiving Centre (D-PAC) at DLR. All ERS, ENVISAT and TSX-TDX data were received at the German Antarctic Receiving Station GARS O'Higgins of DLR. The CAMS data were acquired and kindly made available by the Centro de Estudios Cientificos, Chile. Furthermore, we are grateful to Christian Kienholz (University of Alaska Fairbanks) and Bill Hauer (Alaska Satellite Facility) for providing the Radarsat-1 SLC data. Other remote sensing data were kindly made available by ESA, NASA, JAXA, USGS and CReSIS. Finally, we would like to thank Paul Wachter, Saurabh Vijay, the three anonymous reviewers and the editor, Bert Wouters, for their helpful comments on the manuscript.</t>
  </si>
  <si>
    <t>APR 13</t>
  </si>
  <si>
    <t>10.5194/tc-12-1347-2018</t>
  </si>
  <si>
    <t>GD4CP</t>
  </si>
  <si>
    <t>WOS:000430450400002</t>
  </si>
  <si>
    <t>Tittensor, DP; Eddy, TD; Lotze, HK; Galbraith, ED; Cheung, W; Barange, M; Blanchard, JL; Bopp, L; Bryndum-Buchholz, A; Büchner, M; Bulman, C; Carozza, DA; Christensen, V; Coll, M; Dunne, JP; Fernandes, JA; Fulton, EA; Hobday, AJ; Huber, V; Jennings, S; Jones, M; Lehodey, P; Link, JS; Mackinson, S; Maury, O; Niiranen, S; Oliveros-Ramos, R; Roy, T; Schewe, J; Shin, YJ; Silva, T; Stock, CA; Steenbeek, J; Underwood, PJ; Volkholz, J; Watson, JR; Walker, ND</t>
  </si>
  <si>
    <t>Tittensor, Derek P.; Eddy, Tyler D.; Lotze, Heike K.; Galbraith, Eric D.; Cheung, William; Barange, Manuel; Blanchard, Julia L.; Bopp, Laurent; Bryndum-Buchholz, Andrea; Buechner, Matthias; Bulman, Catherine; Carozza, David A.; Christensen, Villy; Coll, Marta; Dunne, John P.; Fernandes, Jose A.; Fulton, Elizabeth A.; Hobday, Alistair J.; Huber, Veronika; Jennings, Simon; Jones, Miranda; Lehodey, Patrick; Link, Jason S.; Mackinson, Steve; Maury, Olivier; Niiranen, Susa; Oliveros-Ramos, Ricardo; Roy, Tilla; Schewe, Jacob; Shin, Yunne-Jai; Silva, Tiago; Stock, Charles A.; Steenbeek, Jeroen; Underwood, Philip J.; Volkholz, Jan; Watson, James R.; Walker, Nicola D.</t>
  </si>
  <si>
    <t>A protocol for the intercomparison of marine fishery and ecosystem models: Fish-MIP v1.0</t>
  </si>
  <si>
    <t>INDIVIDUAL-BASED MODEL; CLIMATE-CHANGE; SIZE-SPECTRUM; TRADE-OFFS; BODY-SIZE; IMPACTS; OCEAN; ECOPATH; INDICATORS; MANAGEMENT</t>
  </si>
  <si>
    <t>Model intercomparison studies in the climate and Earth sciences communities have been crucial to building credibility and coherence for future projections. They have quantified variability among models, spurred model development, contrasted within- and among-model uncertainty, assessed model fits to historical data, and provided ensemble projections of future change under specified scenarios. Given the speed and magnitude of anthropogenic change in the marine environment and the consequent effects on food security, biodiversity, marine industries, and society, the time is ripe for similar comparisons among models of fisheries and marine ecosystems. Here, we describe the Fisheries and Marine Ecosystem Model Intercomparison Project protocol version 1.0 (Fish-MIP v1.0), part of the Inter-Sectoral Impact Model Intercomparison Project (ISIMIP), which is a cross-sectoral network of climate impact modellers. Given the complexity of the marine ecosystem, this class of models has substantial heterogeneity of purpose, scope, theoretical underpinning, processes considered, parameterizations, resolution (grain size), and spatial extent. This heterogeneity reflects the lack of a unified understanding of the marine ecosystem and implies that the assemblage of all models is more likely to include a greater number of relevant processes than any single model. The current Fish-MIP protocol is designed to allow these heterogeneous models to be forced with common Earth System Model (ESM) Coupled Model Intercomparison Project Phase 5 (CMIP5) outputs under prescribed scenarios for historic (from the 1950s) and future (to 2100) time periods; it will be adapted to CMIP phase 6 (CMIP6) in future iterations. It also describes a standardized set of outputs for each participating Fish-MIP model to produce. This enables the broad characterization of differences between and uncertainties within models and projections when assessing climate and fisheries impacts on marine ecosystems and the services they provide. The systematic generation, collation, and comparison of results from Fish-MIP will inform an understanding of the range of plausible changes in marine ecosystems and improve our capacity to define and convey the strengths and weaknesses of model-based advice on future states of marine ecosystems and fisheries. Ultimately, Fish-MIP represents a step towards bringing together the marine ecosystem modelling community to produce consistent ensemble medium- and long-term projections of marine ecosystems.</t>
  </si>
  <si>
    <t>[Tittensor, Derek P.; Underwood, Philip J.] UN Environm Programme World Conservat Monitoring, 219 Huntingdon Rd, Cambridge CB3 0DL, England; [Tittensor, Derek P.; Eddy, Tyler D.; Lotze, Heike K.; Bryndum-Buchholz, Andrea] Dalhousie Univ, Dept Biol, Life Sci Ctr, 1355 Oxford St, Halifax, NS B3H 4R2, Canada; [Eddy, Tyler D.; Cheung, William; Jones, Miranda] Univ British Columbia, Inst Oceans &amp; Fisheries, Nippon Fdn Nereus Program, Vancouver, BC V6T 1Z4, Canada; [Galbraith, Eric D.] ICREA, Barcelona 08010, Spain; [Galbraith, Eric D.] Univ Autonoma Barcelona, ICTA, E-08193 Barcelona, Spain; [Galbraith, Eric D.] Univ Autonoma Barcelona, Dept Math, E-08193 Barcelona, Spain; [Barange, Manuel] Food &amp; Agr Org United Nations FAO, Fisheries &amp; Aquaculture Policy &amp; Resources Div, I-00153 Rome, Italy; [Barange, Manuel; Fernandes, Jose A.] Plymouth Marine Lab, Prospect Pl, Plymouth PL13 DH, Devon, England; [Blanchard, Julia L.] Univ Tasmania, Inst Marine &amp; Antarctic Studies, 20 Castray Esplanade, Battery Point, Tas 7004, Australia; [Blanchard, Julia L.] Univ Tasmania, Inst Marine &amp; Antarctic Studies, Private Bag 129, Hobart, Tas 7001, Australia; [Bopp, Laurent; Roy, Tilla] CE Saclay, CNRS CEA UVSQ, Inst Pierre Simon Laplace, Lab Sci Climat &amp; Environnem, F-91191 Gif Sur Yvette, France; [Buechner, Matthias; Huber, Veronika; Schewe, Jacob; Volkholz, Jan] Potsdam Inst Climate Impact Res, Telegrafenberg A56, D-14473 Potsdam, Germany; [Bulman, Catherine; Fulton, Elizabeth A.; Hobday, Alistair J.] CSIRO Oceans &amp; Atmosphere, GPO Box 1538, Hobart, Tas 7001, Australia; [Carozza, David A.] McGill Univ, Dept Earth &amp; Planetary Sci, 3450 Univ St, Montreal, PQ H3A 0E8, Canada; [Christensen, Villy] Univ British Columbia, Inst Oceans &amp; Fisheries, 2202 Main Mall, Vancouver, BC V6T 1Z4, Canada; [Coll, Marta] Institute Marine Sci ICM CSIC, Passeig Maritim Barceloneta 37-49, Barcelona 08003, Spain; [Coll, Marta] Univ Cape Town, UMR MARBEC &amp; LMI ICEMASA, Inst Rech Dev, Private Bag X3, ZA-7701 Cape Town, South Africa; [Dunne, John P.; Stock, Charles A.] NOAA, Geophys Fluid Dynam Lab, Princeton, NJ 08540 USA; [Fernandes, Jose A.] AZTI, Portualdea Z-G, Pasaia 20110, Gipuzkoa, Spain; [Fulton, Elizabeth A.; Hobday, Alistair J.] Univ Tasmania, Ctr Marine Socioecol, 20 Castray Esplanade, Battery Point, Tas 7004, Australia; [Jennings, Simon; Mackinson, Steve; Silva, Tiago; Walker, Nicola D.] Cefas, Lowestoft Lab, Lowestoft NR33 0HT, Suffolk, England; [Jennings, Simon] Univ East Anglia, Sch Environm Sci, Norwich Res Pk, Norwich NR4 7TJ, Norfolk, England; [Jennings, Simon] Int Council Explorat Sea, HC Andersens Blvd 44-46, DK-1553 Copenhagen V, Denmark; [Lehodey, Patrick] CLS, 11 Rue Hermes 31520, Ramonville St Agne, France; [Link, Jason S.] NOAA, Natl Marine Fisheries Serv, 166 Water St, Woods Hole, MA 02543 USA; [Maury, Olivier; Shin, Yunne-Jai] Univ Montpellier, CNRS, IFREMER, IRD,UMR 248 MARBEC,IRD, Av Jean Monnet CS 30171, F-34203 Sete, France; [Maury, Olivier] Univ Cape Town, ICEMASA, Int Lab, Dept Oceanog, Private Bag X3, ZA-7701 Cape Town, South Africa; [Niiranen, Susa] Stockholm Univ, Stockholm Resilience Ctr, Kraftriket 2B, S-11419 Stockholm, Sweden; [Oliveros-Ramos, Ricardo] Inst Mar Peru IMARPE, Gamarra &amp; Gen Valle S-N, Chucuito, Callao, Peru; [Roy, Tilla] ECOCEANA Ecosyst Climate &amp; Ocean Anal, 57 Rue Archereau, F-75019 Paris, France; [Shin, Yunne-Jai] Univ Cape Town, Marine Res MA RE Inst, Dept Biol Sci, Private Bag X3, ZA-7701 Rondebosch, South Africa; [Steenbeek, Jeroen] EII, Barcelona 08193, Spain; [Watson, James R.] Oregon State Univ, Coll Earth Ocean &amp; Atmospher Sci, Corvallis, OR 97330 USA</t>
  </si>
  <si>
    <t>Dalhousie University; University of British Columbia; ICREA; Autonomous University of Barcelona; Autonomous University of Barcelona; Food &amp; Agriculture Organization of the United Nations (FAO); Plymouth Marine Laboratory; University of Tasmania; University of Tasmania; Universite Paris Saclay; Universite Paris Cite; CEA; Centre National de la Recherche Scientifique (CNRS); Potsdam Institut fur Klimafolgenforschung; Commonwealth Scientific &amp; Industrial Research Organisation (CSIRO); McGill University; University of British Columbia; Consejo Superior de Investigaciones Cientificas (CSIC); CSIC - Centro Mediterraneo de Investigaciones Marinas y Ambientales (CMIMA); CSIC - Instituto de Ciencias del Mar (ICM); Institut de Recherche pour le Developpement (IRD); University of Cape Town; National Oceanic Atmospheric Admin (NOAA) - USA; AZTI; University of Tasmania; Centre for Environment Fisheries &amp; Aquaculture Science; University of East Anglia; National Oceanic Atmospheric Admin (NOAA) - USA; Institut de Recherche pour le Developpement (IRD); Centre National de la Recherche Scientifique (CNRS); Ifremer; Universite de Montpellier; University of Cape Town; Stockholm University; Instituto del Mar del Peru; University of Cape Town; Oregon State University</t>
  </si>
  <si>
    <t>Tittensor, DP (corresponding author), UN Environm Programme World Conservat Monitoring, 219 Huntingdon Rd, Cambridge CB3 0DL, England.;Tittensor, DP (corresponding author), Dalhousie Univ, Dept Biol, Life Sci Ctr, 1355 Oxford St, Halifax, NS B3H 4R2, Canada.</t>
  </si>
  <si>
    <t>derek.tittensor@unep-wcmc.org</t>
  </si>
  <si>
    <t>Eddy, Tyler/ABE-7092-2021; Salvador, Jose Antonio Fernandes/AAH-7939-2019; Blanchard, Julia L/E-4919-2010; Steenbeek, Jeroen Gerhard/F-9936-2016; Dunne, John/F-8086-2012; Tittensor, Derek P./AAV-1117-2021; bopp, laurent/ABF-5302-2020; Huber, Veronika/AAI-1638-2019; Fulton, Beth/A-2871-2008; Maury, Olivier/I-4513-2013; Hobday, Alistair/A-1460-2012; Cheung, William/F-5104-2013; Link, Jason/HOF-3606-2023; Schewe, Jacob/V-1273-2017; Oliveros-Ramos, Ricardo/G-4257-2011; Jennings, Simon/F-5085-2012; Christensen, Villy/C-3945-2009; Shin, Yunne-Jai/A-7575-2012; Coll, Marta/A-9488-2012; Buchner, Matthias/C-1130-2017; Bulman, Catherine/A-9795-2012</t>
  </si>
  <si>
    <t>Eddy, Tyler/0000-0002-2833-9407; Salvador, Jose Antonio Fernandes/0000-0003-4677-6077; Steenbeek, Jeroen Gerhard/0000-0002-7878-8075; Tittensor, Derek P./0000-0002-9550-3123; bopp, laurent/0000-0003-4732-4953; Huber, Veronika/0000-0001-9633-2752; Maury, Olivier/0000-0002-7999-9982; Link, Jason/0000-0003-2740-7161; Schewe, Jacob/0000-0001-9455-4159; Jennings, Simon/0000-0002-2390-7225; Blanchard, Julia/0000-0003-0532-4824; Walker, Nicola/0000-0002-9778-0220; Christensen, Villy/0000-0003-0688-2633; Mackinson, Steven/0000-0002-0262-1180; Shin, Yunne-Jai/0000-0002-7259-9265; Silva, Tiago/0000-0002-8316-2376; Stock, Charles/0000-0001-9549-8013; Coll, Marta/0000-0001-6235-5868; Bryndum-Buchholz, Andrea/0000-0002-7635-7845; Buchner, Matthias/0000-0002-1382-7424; Bulman, Catherine/0000-0002-8997-4615; Lehodey, Patrick/0000-0002-2753-4796; Lotze, Heike/0000-0001-6258-1304; Carozza, David A/0000-0001-7343-9442; Niiranen, Susa/0000-0001-8405-8717; Oliveros-Ramos, Ricardo/0000-0002-8069-2101</t>
  </si>
  <si>
    <t>German Federal Ministry of Education and Research (BMBF) through the Inter-Sectoral Impact Model Intercomparison Project (ISIMIP) [01LS1201A1]; Kanne Rassmussen Foundation, Denmark; Cambridge Conservation Initiative [CCI-05-14-018]; Australian Research Council Discovery project [DP140101377]; Natural Sciences and Engineering Research Council (NSERC) of Canada; UK Natural Environment Research Council; Department for Environment, Food and Rural Affairs [NE/L003279/1]; NordForsk; European Commission through the Marie Curie Career Integration Grant Fellowships [PCIG10-GA-2011-303534]; UK Department of Environment, Food and Rural Affairs; European Union Horizon research and innovation programme [35 678193]; Gipuzkoa Talent Fellowships programme, by the Gipuzkoa Provincial Council, Spain; EMIBIOS project (FRB Fondation pour la Recherche sur la Biodiversite) [APP-SCEN-2010-II]; IMARPE-PRODUCE-IADB Project [PE-G1001/PE-T1297]; Fisheries Research and Development Corporation; CSIRO; European Research Council (ERC) under the European Union's Horizon research and innovation programme [682602]</t>
  </si>
  <si>
    <t>German Federal Ministry of Education and Research (BMBF) through the Inter-Sectoral Impact Model Intercomparison Project (ISIMIP)(Federal Ministry of Education &amp; Research (BMBF)); Kanne Rassmussen Foundation, Denmark; Cambridge Conservation Initiative; Australian Research Council Discovery project(Australian Research Council); Natural Sciences and Engineering Research Council (NSERC) of Canada(Natural Sciences and Engineering Research Council of Canada (NSERC)); UK Natural Environment Research Council(UK Research &amp; Innovation (UKRI)Natural Environment Research Council (NERC)); Department for Environment, Food and Rural Affairs(Department for Environment, Food &amp; Rural Affairs (DEFRA)); NordForsk(NordForsk); European Commission through the Marie Curie Career Integration Grant Fellowships; UK Department of Environment, Food and Rural Affairs(Department for Environment, Food &amp; Rural Affairs (DEFRA)); European Union Horizon research and innovation programme; Gipuzkoa Talent Fellowships programme, by the Gipuzkoa Provincial Council, Spain; EMIBIOS project (FRB Fondation pour la Recherche sur la Biodiversite); IMARPE-PRODUCE-IADB Project; Fisheries Research and Development Corporation; CSIRO(Commonwealth Scientific &amp; Industrial Research Organisation (CSIRO)); European Research Council (ERC) under the European Union's Horizon research and innovation programme(European Research Council (ERC))</t>
  </si>
  <si>
    <t>Financial support was provided by the German Federal Ministry of Education and Research (BMBF; grant no. 01LS1201A1) through the Inter-Sectoral Impact Model Intercomparison Project (ISIMIP). We thank Reg Watson for supporting CMIP5 data preparation, and we thank John Dunne and Keith Lindsay for helping provide us with access to ESM outputs. Derek P. Tittensor thanks the Kanne Rassmussen Foundation, Denmark and the Cambridge Conservation Initiative (grant CCI-05-14-018) for financial support that facilitated work on this paper. Additional financial support for the CMIP5 input data preparation was provided by the Australian Research Council Discovery project (DP140101377). Heike K. Lotze acknowledges financial support from the Natural Sciences and Engineering Research Council (NSERC) of Canada. Julia L. Blanchard acknowledges the UK Natural Environment Research Council and Department for Environment, Food and Rural Affairs (grant number NE/L003279/1). Susa Niiranen acknowledges support from the NordForsk-funded project Green Growth Based on Marine Resources: Ecological and Socio-Economic Constraints. Marta Coll was partially funded by the European Commission through the Marie Curie Career Integration Grant Fellowships (PCIG10-GA-2011-303534) to the BIOWEB project. Simon Jennings acknowledges support from the UK Department of Environment, Food and Rural Affairs. Jose A. Fernandes received funding from the European Union Horizon 2020 research and innovation programme under grant number 35 678193 (Climate Change and European Aquatic Resources) and further funding through the Gipuzkoa Talent Fellowships programme, by the Gipuzkoa Provincial Council, Spain. Yunne-Jai Shin and Ricardo Oliveros-Ramos were partly funded through the EMIBIOS project (FRB Fondation pour la Recherche sur la Biodiversite; contract no. APP-SCEN-2010-II). Ricardo Oliveros-Ramos is grateful for financial support from the IMARPE-PRODUCE-IADB Project Adaptation to climate change of the fishery sector and marine-coastal ecosystem of Peru (PE-G1001/PE-T1297). Beth Fulton acknowledges funding from both the Fisheries Research and Development Corporation and CSIRO. Eric Galbraith acknowledges funding from the European Research Council (ERC) under the European Union's Horizon 2020 research and innovation programme (grant agreement no. 682602).</t>
  </si>
  <si>
    <t>10.5194/gmd-11-1421-2018</t>
  </si>
  <si>
    <t>GC7LD</t>
  </si>
  <si>
    <t>Green Published, Green Accepted, Green Submitted, gold</t>
  </si>
  <si>
    <t>WOS:000429973800002</t>
  </si>
  <si>
    <t>Brault, EK; Koch, PL; McMahon, KW; Broach, KH; Rosenfield, AP; Sauthoff, W; Loeb, VJ; Arrigo, KR; Smith, WO</t>
  </si>
  <si>
    <t>Brault, Emily K.; Koch, Paul L.; McMahon, Kelton W.; Broach, Kyle H.; Rosenfield, Aaron P.; Sauthoff, Wilson; Loeb, Valerie J.; Arrigo, Kevin R.; Smith, Walker O., Jr.</t>
  </si>
  <si>
    <t>Carbon and nitrogen zooplankton isoscapes in West Antarctica reflect oceanographic transitions</t>
  </si>
  <si>
    <t>Isoscape; Antarctica; Zooplankton; Biogeochemistry; Animal migration; Food web; ENSO</t>
  </si>
  <si>
    <t>PARTICULATE ORGANIC-MATTER; SOUTHERN-OCEAN; SEA-ICE; ROSS SEA; CLIMATE-CHANGE; STABLE-ISOTOPES; FOOD-WEB; PHYTOPLANKTON DYNAMICS; MARINE-PHYTOPLANKTON; ENVIRONMENTAL-CHANGE</t>
  </si>
  <si>
    <t>Antarctic marine ecosystems are spatially and temporally dynamic. Regional climate change is significantly altering the patterns and magnitudes of this dynamism with cascading impacts on biogeochemistry, productivity, and food web architecture. Isoscapes (or isotopic maps) provide a valuable analytical framework to characterize ecosystem processes and address questions about trophic dynamics, animal movement, and elemental cycling. Applications of stable isotope methods to Antarctic ecosystems are currently limited by a paucity of information on geospatial isotope characteristics within the Southern Ocean. In response, we have created the first empirically derived zooplankton isoscapes for West Antarctica based on analysis of bulk nitrogen and carbon isotope values (delta N-15 and delta C-13) in 94 zooplankton specimens from the Drake Passage, West Antarctic Peninsula (WAP), and Amundsen and Ross Seas. The zooplankton delta N-15 values increased by 3% from north of the Polar Front (3.3 +/- 0.6%, mean +/- SD) to the Ross Sea (6.2 +/- 0.8%), reflecting a productivity gradient across this region. Abundant open water polynyas in the Amundsen and Ross Seas exhibit strong nitrate drawdown, resulting in more N-15-enriched phytoplankton and zooplankton relative to those from the generally less productive WAP and Drake Passage. Zooplankton delta C-13 values decreased by 3% from north of the Polar Front (-24.2 +/- 0.9%) to the Ross Sea (-27.5 +/- 1.6%), likely driven by decreasing sea surface temperatures with increasing latitude. Our isoscapes are a valuable first step in establishing isotopic spatial patterns in West Antarctica and are critical for addressing numerous ecosystem questions.</t>
  </si>
  <si>
    <t>[Brault, Emily K.; Sauthoff, Wilson] Univ Calif Santa Cruz, Dept Ocean Sci, Santa Cruz, CA 95064 USA; [Koch, Paul L.; Broach, Kyle H.; Rosenfield, Aaron P.] Univ Calif Santa Cruz, Dept Earth &amp; Planetary Sci, Santa Cruz, CA 95064 USA; [McMahon, Kelton W.] Univ Rhode Isl, Grad Sch Oceanog, Narragansett, RI 02882 USA; [Loeb, Valerie J.] Moss Landing Marine Labs, Moss Landing, CA 95039 USA; [Arrigo, Kevin R.] Stanford Univ, Dept Earth Syst Sci, Stanford, CA 94305 USA; [Smith, Walker O., Jr.] Virginia Inst Marine Sci, Coll William &amp; Mary, Gloucester Point, VA 23062 USA</t>
  </si>
  <si>
    <t>University of California System; University of California Santa Cruz; University of California System; University of California Santa Cruz; University of Rhode Island; Moss Landing Marine Laboratories; Stanford University; William &amp; Mary; Virginia Institute of Marine Science</t>
  </si>
  <si>
    <t>Brault, EK (corresponding author), Univ Calif Santa Cruz, Dept Ocean Sci, Santa Cruz, CA 95064 USA.</t>
  </si>
  <si>
    <t>ebrault@ucsc.edu</t>
  </si>
  <si>
    <t>Sauthoff, Wilson/AAP-4898-2020</t>
  </si>
  <si>
    <t>Sauthoff, Wilson/0000-0001-9683-1578; Arrigo, Kevin/0000-0002-7364-876X</t>
  </si>
  <si>
    <t>National Science Foundation (NSF) [ANT-1142108, OPP-1347911]</t>
  </si>
  <si>
    <t>National Science Foundation (NSF)(National Science Foundation (NSF))</t>
  </si>
  <si>
    <t>We thank Deborah Steinberg, Kate Ruck, Heidi Geisz, and Rebecca Dickhut for providing us with an array of samples. We are grateful to Colin Carney and Dyke Andreasen for laboratory assistance. We also thank the crew and staff on the RV 'Oden' (austral summers of 2007/08 and 2010/11), RV 'Nathaniel B. Palmer' (austral summer 2011/12), and SV 'Lawrence M. Gould' (early fall 2015), as well as the staff of the PAL-LTER (from 2007 through 2011). This project was supported by the National Science Foundation (NSF ANT-1142108 and OPP-1347911). We are grateful to the anonymous reviewers and editor for their valuable guidance in improving this manuscript.</t>
  </si>
  <si>
    <t>APR 12</t>
  </si>
  <si>
    <t>10.3354/meps12524</t>
  </si>
  <si>
    <t>GE4RB</t>
  </si>
  <si>
    <t>WOS:000431203300003</t>
  </si>
  <si>
    <t>Goetz, KT; McDonald, BI; Kooyman, GL</t>
  </si>
  <si>
    <t>Goetz, Kimberly T.; McDonald, Birgitte I.; Kooyman, Gerald L.</t>
  </si>
  <si>
    <t>Habitat preference and dive behavior of non-breeding emperor penguins in the eastern Ross Sea, Antarctica</t>
  </si>
  <si>
    <t>Emperor penguin; Tracking; Molt; Habitat suitability; Diving; Light; Foraging; Ross Sea</t>
  </si>
  <si>
    <t>LIFE-HISTORY CONNECTIVITY; SOUTHERN ELEPHANT SEALS; POST-MOLT DIET; APTENODYTES-FORSTERI; FORAGING ECOLOGY; SPATIAL AUTOCORRELATION; DISTRIBUTION MODELS; EUPHAUSIA-SUPERBA; POINTE GEOLOGIE; STROKE RATES</t>
  </si>
  <si>
    <t>Emperor penguins Aptenodytes forsteri are important predators in the Ross Sea ecosystem, yet little is known about their movement and foraging behavior outside the breeding season or within different demographic groups. In early March 2013, we instrumented 20 non-breeding emperor penguins in the eastern Ross Sea with satellite-linked recorders and analyzed their habitat preference and dive behavior. Track length ranged from 273 km to nearly 9000 km and dive data were obtained for over 96 000 dives (mean maximum depth: 90.2 +/- 77.8 (SD) m, mean dive duration: 4.6 +/- 2.3 min), 17 of which exceeded the previous duration record of 27.6 min. Overall, emperor penguins preferred areas north of Cape Colbeck that were beyond the shelf break and received more sunlight. In these areas, penguins performed dives that were deeper, longer, faster, and more pelagic than dives located near the colony. Birds exhibited various movement and foraging strategies ('shelf' and 'gyre'; benthic and pelagic). The occurrence of deeper and longer dives during the day (n = 28 318) and at twilight (n = 60 171) than at night (n = 7582), especially at high latitudes, is consistent with emperor penguins being visual predators. Observed differences in both movement and dive behavior as a function of light may indicate a change in prey preference across space and time. Our study offers novel insight into the habitat preferences and dive behavior for a previously unstudied demographic group, at a time when emperor penguins experience the most severe environmental conditions of their annual life cycle.</t>
  </si>
  <si>
    <t>[Goetz, Kimberly T.] Natl Inst Water &amp; Atmospher Res, 301 Evans Bay Parade, Wellington 6021, New Zealand; [McDonald, Birgitte I.] Moss Landing Marine Labs, 8272 Moss Landing Rd, Moss Landing, CA 95039 USA; [Kooyman, Gerald L.] Scripps Inst Oceanog, Ctr Marine Biotechnol &amp; Biomed, Scholander Hall,9500 Gilman Dr 0204, La Jolla, CA 92093 USA</t>
  </si>
  <si>
    <t>National Institute of Water &amp; Atmospheric Research (NIWA) - New Zealand; Moss Landing Marine Laboratories; University of California System; University of California San Diego; Scripps Institution of Oceanography</t>
  </si>
  <si>
    <t>Goetz, KT (corresponding author), Natl Inst Water &amp; Atmospher Res, 301 Evans Bay Parade, Wellington 6021, New Zealand.</t>
  </si>
  <si>
    <t>kim.goetz@niwa.co.nz</t>
  </si>
  <si>
    <t>Goetz, Kimberly/AID-8232-2022; McDonald, Birgitte I/I-3602-2019</t>
  </si>
  <si>
    <t>McDonald, Birgitte I/0000-0001-5028-066X; , gerald/0000-0002-8872-2950</t>
  </si>
  <si>
    <t>National Science Foundation (NSF) [OPP 1043454]; NSF international fellowship [IRFP 1159123]; Ross Sea Climate and Ecosystems project - Ministry of Business, Innovation and Employment [CO1X1226]</t>
  </si>
  <si>
    <t>National Science Foundation (NSF)(National Science Foundation (NSF)); NSF international fellowship; Ross Sea Climate and Ecosystems project - Ministry of Business, Innovation and Employment(New Zealand Ministry of Business, Innovation and Employment (MBIE))</t>
  </si>
  <si>
    <t>Funding and logistic support was provided by the National Science Foundation (NSF; OPP 1043454) awarded to G.L.K. B.I.M. was supported by a NSF international fellowship (IRFP 1159123) during data analysis and writing of the paper and K.T.G. received additional funding from the Ross Sea Climate and Ecosystems project (CO1X1226), originally funded by the Ministry of Business, Innovation and Employment, to support data analyses. We thank the wonderful scientists and crew onboard the R/V 'Nathanial B. Palmer' for logistical support. The chief scientist, Dr. Dennis Hansell was instrumental in the smooth running of the scientific voyage and Dr. Geoffrey Gearheart was a valued member of our team who provided many operational suggestions and helped restrain birds during tag attachment. Dr. Stefan Jendersie devoted time to extract oceanographic data from a ROMs model at penguin dive locations and Dr. Tom Hart analyzed DNA from feather samples to determine penguin sex. We are grateful to Captain Sebastian Paoni for taking us to all corners of the Ross Sea and returning us safely to South America as advancing sea-ice threatened to trap us. Finally, we thank the 4 anonymous reviewers who offered constructive comments and greatly improved this manuscript. All emperor penguin handling and sample collections were conducted under the Antarctic Conservation Act (ACA 2013-006), and approved by the Institutional Animal Care and Use Committee (IACUC) at the University of California, San Diego (protocol S10113).</t>
  </si>
  <si>
    <t>10.3354/meps12486</t>
  </si>
  <si>
    <t>WOS:000431203300011</t>
  </si>
  <si>
    <t>Ajani, PA; Verma, A; Lassudrie, M; Doblin, MA; Murray, SA</t>
  </si>
  <si>
    <t>Ajani, Penelope A.; Verma, Arjun; Lassudrie, Malwenn; Doblin, Martina A.; Murray, Shauna A.</t>
  </si>
  <si>
    <t>A new diatom species P. hallegraeffii sp nov belonging to the toxic genus Pseudo-nitzschia (Bacillariophyceae) from the East Australian Current</t>
  </si>
  <si>
    <t>NEW-SOUTH-WALES; COMPLEX BACILLARIOPHYCEAE; DOMOIC ACID; DELICATISSIMA BACILLARIOPHYCEAE; PSEUDODELICATISSIMA COMPLEX; PUNGENS BACILLARIOPHYCEAE; MOLECULAR PHYLOGENY; MALAYSIAN BORNEO; COASTAL STATION; SIZE-REDUCTION</t>
  </si>
  <si>
    <t>A new species belonging to the toxin producing diatom genus Pseudo-nitzschia, P. hallegraeffii sp. nov., is delineated and described from the East Australian Current (EAC). Clonal cultures were established by single cell isolation from phytoplankton net hauls collected as part of a research expedition in the EAC region in 2016 on the RV Investigator. Cultures were assessed for their morphological and genetic characteristics, their sexual compatibility with other Pseudo-nitzschia species, and their ability to produce domoic acid. Light and transmission electron microscopy revealed cells which differed from their closest relatives by their cell width, rows of poroids, girdle band structure and density of band straie. Phylogenetic analyses based on sequencing of nuclear-encoded ribosomal deoxyribonucleic acid (rDNA) regions showed this novel genotype clustered within the P. delicatissima complex, but formed a discrete Glade from its closest relatives P. dolorosa, P. simulans, P. micropora and P. delicatissima. Complementary base changes (CBCs) were observed in the secondary structure of the 3' nuclear ribosomal transcribed spacer sequence region (ITS2) between P. hallegraeffii sp. nov. and its closest related taxa, P. simulans and P. dolorosa. Under laboratory conditions, and in the absence of any zooplankton cues, strains of P. hallegraeffiisp. nov. did not produce domoic acid (DA) and were not sexually compatible with any other Pseudo-nitzschia clones tested. A total of 18 Pseudo-nitzschia species, including three confirmed toxigenic species (P. cuspidata, P. multistriata and P. australis) have now been unequivocally confirmed from eastern Australia.</t>
  </si>
  <si>
    <t>[Ajani, Penelope A.; Verma, Arjun; Lassudrie, Malwenn; Doblin, Martina A.; Murray, Shauna A.] Univ Technol Sydney, C3, Broadway, NSW, Australia; [Lassudrie, Malwenn] IFREMER LER BO, Stn Biol Marine, Pl Croix, Concarneau, France</t>
  </si>
  <si>
    <t>University of Technology Sydney; Ifremer</t>
  </si>
  <si>
    <t>Ajani, PA (corresponding author), Univ Technol Sydney, C3, Broadway, NSW, Australia.</t>
  </si>
  <si>
    <t>penelope.ajani@uts.edu.au</t>
  </si>
  <si>
    <t>Doblin, Martina/L-1804-2019; Ajani, Penelope/K-9987-2019; Verma, Arjun/J-7055-2019; Lassudrie, Malwenn/V-9956-2018; Murray, Shauna A/K-5781-2015</t>
  </si>
  <si>
    <t>Doblin, Martina/0000-0001-8750-3433; Verma, Arjun/0000-0003-0119-9915; Lassudrie, Malwenn/0000-0002-7004-926X; Murray, Shauna A/0000-0001-7096-1307; Ajani, Penelope/0000-0001-5364-9936</t>
  </si>
  <si>
    <t>CSIRO [IN2016_V04]; Australian Research Council (LIEF) [LE140100055]; University of Technology Sydney Chancellor's Postdoctoral Fellowship; Australian Research Council [LE140100055] Funding Source: Australian Research Council</t>
  </si>
  <si>
    <t>CSIRO(Commonwealth Scientific &amp; Industrial Research Organisation (CSIRO)); Australian Research Council (LIEF)(Australian Research Council); University of Technology Sydney Chancellor's Postdoctoral Fellowship; Australian Research Council(Australian Research Council)</t>
  </si>
  <si>
    <t>The authors would like to thank Australia's Marine National Facility for sea time on board the RV Investigator, management of the vessel and support of the IN2016_V04 voyage by MNF staff at CSIRO, and all of the officers and crew on board. We would also like to thank the deputy chief scientist, Prof lain Suthers, for his assistance, Christine Rees and Stephen Tibben (Oceans and Atmosphere Hydrochemistry, CSIRO) for environmental data acquisition and processing, Emmanuel Laurenceau-Cornec (Institute for Marine and Antarctic Studies, University of Tasmania) for assistance with map editing, and Katie McBean (Physics and Advanced Materials &amp; Microstructural Analysis Unit, University of Technology Sydney) for transmission electron microscopy assistance. We would also like to thank the Sydney Institute of Marine Science for ongoing support. Finally, we would like to thank the Australian Research Council (LIEF grant LE140100055) for the LCMS facility and PA would also like to thank the University of Technology Sydney Chancellor's Postdoctoral Fellowship scheme for funding. The funders had no role in study design, data collection and analysis, decision to publish, or preparation of the manuscript.</t>
  </si>
  <si>
    <t>e0195622</t>
  </si>
  <si>
    <t>10.1371/journal.pone.0195622</t>
  </si>
  <si>
    <t>GC4YG</t>
  </si>
  <si>
    <t>WOS:000429791900062</t>
  </si>
  <si>
    <t>Kyrke-Smith, TM; Gudmundsson, GH; Farrell, PE</t>
  </si>
  <si>
    <t>Kyrke-Smith, Teresa M.; Gudmundsson, G. Hilmar; Farrell, Patrick E.</t>
  </si>
  <si>
    <t>Relevance of Detail in Basal Topography for Basal Slipperiness Inversions: A Case Study on Pine Island Glacier, Antarctica</t>
  </si>
  <si>
    <t>ice-sheets; inversion methods; sliding laws; Antarctica; subglacial conditions</t>
  </si>
  <si>
    <t>AMUNDSEN SEA EMBAYMENT; RUTFORD ICE STREAM; WEST ANTARCTICA; SURFACE DATA; ADJOINT; BED; TRANSMISSION; VARIABILITY; SENSITIVITY; PARAMETERS</t>
  </si>
  <si>
    <t>Given high-resolution satellite-derived surface elevation and velocity data, ice-sheet models generally estimate mechanical basal boundary conditions using surface-to-bed inversion methods. In this work, we address the sensitivity of results from inversion methods to the accuracy of the bed elevation data on Pine Island Glacier. We show that misfit between observations and model output is reduced when high-resolution bed topography is used in the inverse model. By looking at results with a range of detail included in the bed elevation, we consider the separation of basal drag due to the bed topography (form drag) and that due to inherent bed properties (skin drag). The mean value of inverted basal shear stress, i.e., skin drag, is reduced when more detailed topography is included in the model. This suggests that without a fully resolved bed a significant amount of the basal shear stress recovered from inversion methods may be due to the unresolved bed topography. However, the spatial structure of the retrieved fields is robust as the bed accuracy is varied; the fields are instead sensitive to the degree of regularization applied to the inversion. While the implications for the future temporal evolution of PIG are not quantified here directly, our work raises the possibility that skin drag may be overestimated in the current generation of numerical ice-sheet models of this area. These shortcomings could be overcome by inverting simultaneously for both bed topography and basal slipperiness.</t>
  </si>
  <si>
    <t>[Kyrke-Smith, Teresa M.; Gudmundsson, G. Hilmar] British Antarctic Survey, Cambridge, England; [Gudmundsson, G. Hilmar] Univ Northumbria, Geog &amp; Environm Sci, Newcastle Upon Tyne, Tyne &amp; Wear, England; [Farrell, Patrick E.] Univ Oxford, Math Inst, Oxford, England</t>
  </si>
  <si>
    <t>UK Research &amp; Innovation (UKRI); Natural Environment Research Council (NERC); NERC British Antarctic Survey; Northumbria University; University of Oxford</t>
  </si>
  <si>
    <t>Gudmundsson, GH (corresponding author), British Antarctic Survey, Cambridge, England.;Gudmundsson, GH (corresponding author), Univ Northumbria, Geog &amp; Environm Sci, Newcastle Upon Tyne, Tyne &amp; Wear, England.</t>
  </si>
  <si>
    <t>hilmar.gudmundsson@northumbria.ac.uk</t>
  </si>
  <si>
    <t>Gudmundsson, Gudmundur Hilmar/AAU-5987-2020; Farrell, Patrick/AAG-9536-2020</t>
  </si>
  <si>
    <t>Gudmundsson, Gudmundur Hilmar/0000-0003-4236-5369; Farrell, Patrick/0000-0002-1241-7060</t>
  </si>
  <si>
    <t>UK Natural Environment Research Council's iSTAR Programme; NERC [NE/J005754/1]; EPSRC [EP/K030930/1]; EPSRC [EP/R029423/1, EP/M011151/1, EP/K030930/1] Funding Source: UKRI; NERC [NE/J005754/1, bas0100034] Funding Source: UKRI</t>
  </si>
  <si>
    <t>UK Natural Environment Research Council's iSTAR Programme; NERC(UK Research &amp; Innovation (UKRI)Natural Environment Research Council (NERC)); EPSRC(UK Research &amp; Innovation (UKRI)Engineering &amp; Physical Sciences Research Council (EPSRC)); EPSRC(UK Research &amp; Innovation (UKRI)Engineering &amp; Physical Sciences Research Council (EPSRC)); NERC(UK Research &amp; Innovation (UKRI)Natural Environment Research Council (NERC))</t>
  </si>
  <si>
    <t>We would like to thank Rob Arthern for useful conversations while preparing this manuscript, Rob Bingham for giving us access to the radar data in advance of publication, and the reviewers for helpful and constructive comments during the review process. Data will be available on the NERC/iSTAR GIS site, http://gis.istar.ac.uk. This work was supported by funding from the UK Natural Environment Research Council's iSTAR Programme and NERC Grant Number NE/J005754/1. Farrell is supported by EPSRC grant EP/K030930/1.</t>
  </si>
  <si>
    <t>APR 11</t>
  </si>
  <si>
    <t>10.3389/feart.2018.00033</t>
  </si>
  <si>
    <t>GG0SL</t>
  </si>
  <si>
    <t>WOS:000432388900003</t>
  </si>
  <si>
    <t>Ko, FC; Pan, WL; Cheng, JO; Chen, TH; Kuo, FW; Kao, SJ; Chang, CW; Ho, HC; Wang, WH; Fang, LS</t>
  </si>
  <si>
    <t>Ko, Fung-Chi; Pan, Wei-Ling; Cheng, Jing-O; Chen, Te-Hao; Kuo, Fu-Wen; Kao, Shu-Ji; Chang, Chih-Wei; Ho, Hsuan-Ching; Wang, Wei-Hsien; Fang, Li -Sing</t>
  </si>
  <si>
    <t>Persistent organic pollutants in Antarctic notothenioid fish and invertebrates associated with trophic levels</t>
  </si>
  <si>
    <t>MARINE FOOD-WEB; DIPHENYL ETHERS PBDES; ORGANOCHLORINE PESTICIDES; BALTIC SEA; BIOACCUMULATION; CONTAMINANTS; PATTERNS; P,P'-DDE; TISSUES; TAIWAN</t>
  </si>
  <si>
    <t>Notothenioid fish and invertebrate samples from Antarctica were collected in the austral summer of 2009, and analyzed for persistent organic pollutants (POPs), including polycyclic aromatic hydrocarbons (PAHs), organochlorine pesticides (OCPs), and polybrominated diphenylethers (PBDEs), as well as delta C-13 and delta N-15 stable isotopes for trophic level determination. In this study, the POP levels in the Antarctic biota samples were found to be ranked in the following order: OCPs &gt; PAHs &gt;&gt; PBDEs. The POP levels in notothenioid fish and krill correlate to trophic levels; however, the POP concentrations in intertidal benthic invertebrates are higher than in notothenioid fish implying that specific biogeochemical factors may affect bioaccumulation in the Antarctica ecosystem. Biomagnification of POPs may have a smaller role than bioconcentration in Antarctica environment. In addition to the source, transport, exposure, and absorption for each group of POPs in the short food chain in Antarctica, the biological variation among species, interaction habitats, diet and metabolism are also factors for future studies on contaminant bioaccumulation.</t>
  </si>
  <si>
    <t>[Ko, Fung-Chi; Cheng, Jing-O; Chen, Te-Hao; Kuo, Fu-Wen; Chang, Chih-Wei; Ho, Hsuan-Ching] Natl Museum Marine Biol &amp; Aquarium, Pingtung, Taiwan; [Ko, Fung-Chi; Pan, Wei-Ling; Chen, Te-Hao; Chang, Chih-Wei; Ho, Hsuan-Ching] Natl Dong Hwa Univ, Inst Marine Biol, Pingtung, Taiwan; [Kao, Shu-Ji] Xiamen Univ, State Key Lab Marine Environm Sci, Xiamen, Peoples R China; [Wang, Wei-Hsien] Natl Sun Yat Sen Univ, Dept Marine Biotechnol &amp; Resources, Kaohsiung, Taiwan; [Fang, Li -Sing] Cheng Shiu Univ, Dept Leisure &amp; Sport Management, Kaohsiung, Taiwan</t>
  </si>
  <si>
    <t>National Museum of Marine Biology &amp; Aquarium; National Dong Hwa University; Xiamen University; National Sun Yat Sen University; Cheng Shiu University</t>
  </si>
  <si>
    <t>Ko, FC (corresponding author), Natl Museum Marine Biol &amp; Aquarium, Pingtung, Taiwan.;Ko, FC (corresponding author), Natl Dong Hwa Univ, Inst Marine Biol, Pingtung, Taiwan.</t>
  </si>
  <si>
    <t>ko@nmmba.gov.tw</t>
  </si>
  <si>
    <t>Ko, Fung-Chi/0000-0002-8276-2353</t>
  </si>
  <si>
    <t>National Museum Marine Biology and Aquarium [NMMBA981014]; National Dong-Hwa University; National Museum Marine Biology and Aquarium</t>
  </si>
  <si>
    <t>National Museum Marine Biology and Aquarium; National Dong-Hwa University; National Museum Marine Biology and Aquarium</t>
  </si>
  <si>
    <t>This work was funded by the National Museum Marine Biology and Aquarium (Grant No. NMMBA981014 to FCK) (URL: http://www.nmmba.gov.tw/En/cp.aspx?n=77EE24DA4467A777&amp;s=CAD4BFFA9CD4C5C7), and the National Dong-Hwa University. The funders had no role in study design, data collection and analysis, decision to publish, or preparation of the manuscript.; This work was funded by the National Museum Marine Biology and Aquarium, and the National Dong-Hwa University. Special thanks are extended to the crew of the Snow Dragon (Xue Long icebreaker and research vessel) on its 26th cruise to the Antarctic in November 2009. Their cordial and valuable assistance and support in sampling were vital to the success of the study. We also highly appreciate Professor Jiang-Shiou Hwang, the Academic Editor, and three anonymous reviewers who gave constructive comments to improve the quality of this manuscript.</t>
  </si>
  <si>
    <t>e0194147</t>
  </si>
  <si>
    <t>10.1371/journal.pone.0194147</t>
  </si>
  <si>
    <t>GC4GL</t>
  </si>
  <si>
    <t>WOS:000429742900026</t>
  </si>
  <si>
    <t>Rott, H; Jaber, WA; Wuite, J; Scheiblauer, S; Floricioiu, D; van Wessem, JM; Nagler, T; Miranda, N; van den Broeke, MR</t>
  </si>
  <si>
    <t>Rott, Helmut; Jaber, Wael Abdel; Wuite, Jan; Scheiblauer, Stefan; Floricioiu, Dana; van Wessem, Jan Melchior; Nagler, Thomas; Miranda, Nuno; van den Broeke, Michiel R.</t>
  </si>
  <si>
    <t>Changing pattern of ice flow and mass balance for glaciers discharging into the Larsen A and B embayments, Antarctic Peninsula, 2011 to 2016</t>
  </si>
  <si>
    <t>RADIO-ECHO SOUNDINGS; TANDEM-X; SENTINEL-1 MISSION; REGIONAL CLIMATE; OUTLET GLACIERS; SHELF COLLAPSE; ELEVATION; DISINTEGRATION; RETREAT; GREENLAND</t>
  </si>
  <si>
    <t>We analysed volume change and mass balance of outlet glaciers on the northern Antarctic Peninsula over the periods 2011 to 2013 and 2013 to 2016, using high-resolution topographic data from the bistatic interferometric radar satellite mission TanDEM-X. Complementary to the geodetic method that applies DEM differencing, we computed the net mass balance of the main outlet glaciers using the mass budget method, accounting for the difference between the surface mass balance (SMB) and the discharge of ice into an ocean or ice shelf. The SMB values are based on output of the regional climate model RACMO version 2.3p2. To study glacier flow and retrieve ice discharge we generated time series of ice velocity from data from different satellite radar sensors, with radar images of the satellites TerraSAR-X and TanDEM-X as the main source. The study area comprises tributaries to the Larsen A, Larsen Inlet and Prince Gustav Channel embayments (region A), the glaciers calving into the Larsen B embayment (region B) and the glaciers draining into the remnant part of the Larsen B ice shelf in Scar Inlet (region C). The glaciers of region A, where the buttressing ice shelf disintegrated in 1995, and of region B (ice shelf break-up in 2002) show continuing losses in ice mass, with significant reduction of losses after 2013. The mass balance numbers for the grounded glacier area of region A are -3.98 +/- 0.33 Gt a(-1) from 2011 to 2013 and -2.38 +/- 0.18 Gt a(-1) from 2013 to 2016. The corresponding numbers for region B are -5.75 +/- 0.45 and -2.32 +/- 0.25 Gt a(-1). The mass balance in region C during the two periods was slightly negative, at -0.54 +/- 0.38 Gt a(-1) and -0.58 +/- 0.25 Gt a(-1). The main share in the overall mass losses of the region was contributed by two glaciers: Drygalski Glacier contributing 61% to the mass deficit of region A, and Hektoria and Green glaciers accounting for 67% to the mass deficit of region B. Hektoria and Green glaciers accelerated significantly in 2010-2011, triggering elevation losses up to 19.5 ma(-1) on the lower terminus during the period 2011 to 2013 and resulting in a mass balance of -3.88 Gt a(-1). Slowdown of calving velocities and reduced calving fluxes in 2013 to 2016 coincided with years in which ice melange and sea ice cover persisted in proglacial fjords and bays during summer.</t>
  </si>
  <si>
    <t>[Rott, Helmut; Wuite, Jan; Scheiblauer, Stefan; Nagler, Thomas] ENVEO IT GmbH, Innsbruck, Austria; [Rott, Helmut] Univ Innsbruck, Inst Atmospher &amp; Cryospher Sci, Innsbruck, Austria; [Jaber, Wael Abdel; Floricioiu, Dana] German Aerosp Ctr, Inst Remote Sensing Technol, Oberpfaffenhofen, Germany; [van Wessem, Jan Melchior; van den Broeke, Michiel R.] Univ Utrecht, Inst Marine &amp; Atmospher Res, Utrecht, Netherlands; [Miranda, Nuno] European Space Agcy ESRIN, Frascati, Italy</t>
  </si>
  <si>
    <t>University of Innsbruck; Helmholtz Association; German Aerospace Centre (DLR); Utrecht University; European Space Agency</t>
  </si>
  <si>
    <t>Rott, H (corresponding author), ENVEO IT GmbH, Innsbruck, Austria.;Rott, H (corresponding author), Univ Innsbruck, Inst Atmospher &amp; Cryospher Sci, Innsbruck, Austria.</t>
  </si>
  <si>
    <t>helmut.rott@enveo.at</t>
  </si>
  <si>
    <t>Van den Broeke, Michiel R./F-7867-2011; Jaber, Wael/Y-4713-2019; van Wessem, Melchior/AAB-1987-2019</t>
  </si>
  <si>
    <t>Van den Broeke, Michiel R./0000-0003-4662-7565; Wuite, Jan/0000-0001-9333-1586; Scheiblauer, Stefan/0000-0002-5614-8296; van Wessem, Melchior/0000-0003-3221-791X; Floricioiu, Dana/0000-0002-1647-7191</t>
  </si>
  <si>
    <t>European Space Agency [4000115896/15/I-LG]; DLR [HYD1864, XTI_GLAC1864, XTI_GLAC6809, DEM_GLA1059]; [ESA ALDEN AOALO 3741]</t>
  </si>
  <si>
    <t>European Space Agency(European Space Agency); DLR(Helmholtz AssociationGerman Aerospace Centre (DLR));</t>
  </si>
  <si>
    <t>We wish to thank Alison Cook (Univ. Swansea, UK) for providing outlines of glacier basins. The work was supported by the European Space Agency, ESA contract no. 4000115896/15/I-LG, High Resolution SAR Algorithms for Mass Balance and Dynamics of Calving Glaciers (SAMBA).; The TerraSAR-X data and TanDEM-X data were made available by DLR through the projects HYD1864, XTI_GLAC1864, XTI_GLAC6809 and DEM_GLA1059. Sentinel- 1 data were obtained through the ESA Sentinel Scientific Data Hub, ALOS PALSAR data through the ESA ALDEN AOALO 3741 project. Landsat 8 images, available at USGS Earth Explorer, were downloaded via a Libra browser. The IceBridge ATM L4 Surface Elevation Rate of Change and IceBridge MCoRDS Ice Thickness version V001 data were downloaded from the NASA Distributed Active Archive Center, US National Snow and Ice Data Center (NSIDC), Boulder, Colorado.</t>
  </si>
  <si>
    <t>10.5194/tc-12-1273-2018</t>
  </si>
  <si>
    <t>GC4ER</t>
  </si>
  <si>
    <t>WOS:000429737700001</t>
  </si>
  <si>
    <t>Sanchez, N; Brown, EA; Olsen, Y; Vadstein, O; Iriarte, JL; Gonzalez, HE; Van Ardelan, M</t>
  </si>
  <si>
    <t>Sanchez, Nicolas; Brown, Eunice A.; Olsen, Yngvar; Vadstein, Olav; Iriarte, Jose L.; Gonzalez, Humberto E.; Van Ardelan, Murat</t>
  </si>
  <si>
    <t>Effect of Siderophore on Iron Availability in a Diatom and a Dinoflagellate Species: Contrasting Response in Associated Bacteria</t>
  </si>
  <si>
    <t>Skeletonema costatum; Alexandrium catenella; associated bacteria; Fe-siderophore; desferrioxamine B; iron bioavailability; non-axenic culture</t>
  </si>
  <si>
    <t>SUB-ANTARCTIC WATERS; SOUTHERN-OCEAN; COASTAL WATERS; HYDROXAMATE SIDEROPHORES; LINGULODINIUM-POLYEDRUM; PLANKTON COMMUNITIES; VERTICAL MIGRATION; ORGANIC-LIGANDS; BINDING LIGANDS; MARINE</t>
  </si>
  <si>
    <t>Organic ligands play a key role controlling trace metal bioavailability in the world's oceans, yet the species-specific requirements determining whether certain iron forms can be metabolized largely remain unclear. Siderophores are considered relevant within the pool of ligands keeping iron soluble. We used desferrioxamine B (DFB) to study the siderophore's effect on cultures of Skeletonema costatum and Alexandrium catenella. The experimental approach used semi-continuous additions of iron(II) and DFB over time, reaching final concentrations of 1 and 10 nM Fe and 10-10,000 nM DFB. The negative effect of DFB on growth in S. costatum was evident and sharp until day 9 for treatments above 500 nM. Delayed growth occurred at 10,000 nM, reaching similar to 80% of cell density in Controls under both iron conditions. Alexandrium catenella exhibited a less severe negative effect of DFB on growth, only significant at 10,000 nM, while growth was enhanced at lowest DFB. Total bacterial abundance in diatom and dinoflagellate cultures presented inverse trends. While negatively correlated to DFB in diatom cultures, bacteria showed highest abundances in high DFB treatments in dinoflagellate cultures. Delayed growth exhibited in S. costatum at the highest DFB, indicates that favorable changes for Fe uptake occurred over time, suggesting the involvement of other mechanisms facilitating the diatom cell membrane reduction. Overall, unaffected growth in A. catenella suggests that this species can use FeDFB and therefore has the capacity to access strongly complexed Fe sources. Contrasting responses in the bacterial community associated with each species highlight the complexity of these interactions, while suggesting that for A. catenella it may represent an advantage for acquiring Fe. These results demonstrated the capacity for different uptake strategies among phytoplankton species of different functional groups and underlines the necessity to broaden the study of iron bioavailability on a species basis, alongside interaction with other microbial components such bacteria, to reflect interactions in natural ecosystems.</t>
  </si>
  <si>
    <t>[Sanchez, Nicolas; Van Ardelan, Murat] Norwegian Univ Sci &amp; Technol, Dept Chem, Trondheim, Norway; [Brown, Eunice A.; Olsen, Yngvar] Norwegian Univ Sci &amp; Technol, Dept Biol, Trondheim, Norway; [Vadstein, Olav] Norwegian Univ Sci &amp; Technobgy, Dept Biotechnol &amp; Food Sci, Trondheim, Norway; [Iriarte, Jose L.] Univ Austral Chile, Inst Acuicultura, Puerto Montt, Chile; [Iriarte, Jose L.] Univ Concepcion, Ctr COPAS Sur Austral, Concepcion, Chile; [Iriarte, Jose L.; Gonzalez, Humberto E.] Univ Austral Chile, Ctr Invest Dinam Ecosistemas Marinos Altas Latitu, Valdivia, Chile; [Gonzalez, Humberto E.] Univ Austral Chile, Inst Ciencias Marinas &amp; Limnol, Valdivia, Chile</t>
  </si>
  <si>
    <t>Norwegian University of Science &amp; Technology (NTNU); Norwegian University of Science &amp; Technology (NTNU); Universidad Austral de Chile; Universidad de Concepcion; Universidad Austral de Chile; Universidad Austral de Chile</t>
  </si>
  <si>
    <t>Sanchez, N (corresponding author), Norwegian Univ Sci &amp; Technol, Dept Chem, Trondheim, Norway.</t>
  </si>
  <si>
    <t>nicolas.sanchezpuerto@gmail.com</t>
  </si>
  <si>
    <t>Ardelan, Murat V./J-6492-2013</t>
  </si>
  <si>
    <t>Department of Chemistry, Faculty of Natural Sciences, Norwegian University of Science and Technology (NTNU); A Cross-disciplinary Integrated Eco-system Eutrophication Research and Management Approach-CINTERA [216607]; EU project: Ocean Food-web Patrol-Climate Effects: Reducing Targeted Uncertainties with an Interactive Network; European Commission (OCEAN-CERTAIN) [FP7-ENV-2013-6.1-1, 603773]</t>
  </si>
  <si>
    <t>Department of Chemistry, Faculty of Natural Sciences, Norwegian University of Science and Technology (NTNU); A Cross-disciplinary Integrated Eco-system Eutrophication Research and Management Approach-CINTERA; EU project: Ocean Food-web Patrol-Climate Effects: Reducing Targeted Uncertainties with an Interactive Network; European Commission (OCEAN-CERTAIN)</t>
  </si>
  <si>
    <t>This work was supported by the Department of Chemistry, Faculty of Natural Sciences, Norwegian University of Science and Technology (NTNU). Additional support also provided by the project: A Cross-disciplinary Integrated Eco-system Eutrophication Research and Management Approach-CINTERA (project no.: 216607), funded the Research Council of Norway and by the EU project: Ocean Food-web Patrol-Climate Effects: Reducing Targeted Uncertainties with an Interactive Network. European Commission (OCEAN-CERTAIN, FP7-ENV-2013-6.1-1: no.: 603773).</t>
  </si>
  <si>
    <t>APR 10</t>
  </si>
  <si>
    <t>10.3389/fmars.2018.00118</t>
  </si>
  <si>
    <t>HJ3NM</t>
  </si>
  <si>
    <t>WOS:000457079000001</t>
  </si>
  <si>
    <t>Wild, CT; Marsh, OJ; Rack, W</t>
  </si>
  <si>
    <t>Wild, Christian T.; Marsh, Oliver J.; Rack, Wolfgang</t>
  </si>
  <si>
    <t>Unraveling InSAR Observed Antarctic Ice-Shelf Flexure Using 2-D Elastic and Viscoelastic Modeling</t>
  </si>
  <si>
    <t>grounding line; ice-shelf flexure; viscoelastic bending; 2-D finite element model; McMurdo Ice Shelf; TerraSAR-X; CryoSet-2; interferometric SAR</t>
  </si>
  <si>
    <t>SATELLITE RADAR INTERFEROMETRY; GROUNDING-ZONE; TIDAL FLEXURE; OCEAN TIDES; PETERMANN-GLETSCHER; SAR INTERFEROMETRY; WEST ANTARCTICA; GREENLAND; SEA; REPRESENTATION</t>
  </si>
  <si>
    <t>Ice-shelf grounding zones link the Antarctic ice-sheets to the ocean. Differential interferometric synthetic aperture radar (DInSAR) is commonly used to monitor grounding-line locations, but also contains information on grounding-zone ice thickness, ice properties and tidal conditions beneath the ice shelf. Here, we combine in situ data with numerical modeling of ice-shelf flexure to investigate 2-D controls on the tidal bending pattern on the Southern McMurdo Ice Shelf. We validate our results with 9 double-differential TerraSAR-X interferograms. It is necessary to make adjustments to the tidal forcing to directly compare observations with model output and we find that when these adjustments are small (&lt;1.5 cm) a viscoelastic model matches better, while an elastic model is more robust overall. Within landward embayments, where lateral stresses from surrounding protrusions damp the flexural response, a 2-D model captures behavior that is missed in simple 1-D models. We conclude that improvements in current tide models are required to allow for the full exploitation of DInSAR in grounding-zone glaciology.</t>
  </si>
  <si>
    <t>[Wild, Christian T.; Marsh, Oliver J.; Rack, Wolfgang] Univ Canterbury, Gateway Antarctica, Christchurch, New Zealand</t>
  </si>
  <si>
    <t>University of Canterbury</t>
  </si>
  <si>
    <t>Wild, CT (corresponding author), Univ Canterbury, Gateway Antarctica, Christchurch, New Zealand.</t>
  </si>
  <si>
    <t>christian.wild@pg.canterbury.ac.nz</t>
  </si>
  <si>
    <t>Marsh, Oliver J/K-7436-2014; Rack, Wolfgang/U-8898-2017</t>
  </si>
  <si>
    <t>Marsh, Oliver/0000-0001-7874-514X; Wild, Christian/0000-0003-4586-1704; Rack, Wolfgang/0000-0003-2447-377X</t>
  </si>
  <si>
    <t>Past Antarctic Climate and Future Implications program [CX05X1001]; Marsden Fund Council [14-UOC-056]</t>
  </si>
  <si>
    <t>Past Antarctic Climate and Future Implications program; Marsden Fund Council(Royal Society of New ZealandMarsden Fund (NZ))</t>
  </si>
  <si>
    <t>All authors of this study are partially supported by the Past Antarctic Climate and Future Implications program (contract CX05X1001). Additionally, OM is supported by the Marsden Fund Council (14-UOC-056).</t>
  </si>
  <si>
    <t>10.3389/feart.2018.00028</t>
  </si>
  <si>
    <t>GG0RK</t>
  </si>
  <si>
    <t>WOS:000432386100001</t>
  </si>
  <si>
    <t>Falk, U; López, DA; Silva-Busso, A</t>
  </si>
  <si>
    <t>Falk, Ulrike; Lopez, Damian A.; Silva-Busso, Adrian</t>
  </si>
  <si>
    <t>Multi-year analysis of distributed glacier mass balance modelling and equilibrium line altitude on King George Island, Antarctic Peninsula</t>
  </si>
  <si>
    <t>SURFACE-ENERGY-BALANCE; AERODYNAMIC ROUGHNESS LENGTH; SOUTH SHETLAND ISLANDS; LARSEN ICE SHELF; LIVINGSTON ISLAND; CLIMATE-CHANGE; MARINE ECOSYSTEM; AIR-FLOW; BREAK-UP; SEA-ICE</t>
  </si>
  <si>
    <t>The South Shetland Islands are located at the northern tip of the Antarctic Peninsula (AP). This region was subject to strong warming trends in the atmospheric surface layer. Surface air temperature increased about 3K in 50 years, concurrent with retreating glacier fronts, an increase in melt areas, ice surface lowering and rapid break-up and disintegration of ice shelves. The positive trend in surface air temperature has currently come to a halt. Observed surface air temperature lapse rates show a high variability during winter months (standard deviations up to +/- 1.0K (100m)(-1)) and a distinct spatial heterogeneity reflecting the impact of synoptic weather patterns. The increased mesocyclonic activity during the wintertime over the past decades in the study area results in intensified advection of warm, moist air with high temperatures and rain and leads to melt conditions on the ice cap, fixating surface air temperatures to the melting point. Its impact on winter accumulation results in the observed negative mass balance estimates. Six years of continuous glaciological measurements on mass balance stake transects as well as 5 years of climatological data time series are presented and a spatially distributed glacier energy balance melt model adapted and run based on these multi-year data sets. The glaciological surface mass balance model is generally in good agreement with observations, except for atmospheric conditions promoting snow drift by high wind speeds, turbulence-driven snow deposition and snow layer erosion by rain. No drift in the difference between simulated mass balance and mass balance measurements can be seen over the course of the 5-year model run period. The winter accumulation does not suffice to compensate for the high variability in summer ablation. The results are analysed to assess changes in meltwater input to the coastal waters, specific glacier mass balance and the equilibrium line altitude (ELA). The Fourcade Glacier catchment drains into Potter cove, has an area of 23.6km(2) and is glacierized to 93.8 %. Annual discharge from Fourcade Glacier into Potter Cove is estimated to (q) over bar = 25 +/- 6 hm(3) yr(-1) with the standard deviation of 8% annotating the high interannual variability. The average ELA calculated from our own glaciological observations on Fourcade Glacier over the time period 2010 to 2015 amounts to 260 +/- 20 m. Published studies suggest rather stable conditions of slightly negative glacier mass balance until the mid-1980s with an ELA of approx. 150 m. The calculated accumulation area ratio suggests dramatic changes in the future extent of the inland ice cap for the South Shetland Islands.</t>
  </si>
  <si>
    <t>[Falk, Ulrike] Univ Bremen, Inst Geog, Climate Lab, Bremen, Germany; [Falk, Ulrike; Lopez, Damian A.] Univ Bonn, Ctr Remote Sensing Land Surfaces ZFL, Bonn, Germany; [Lopez, Damian A.] Univ Cologne, Inst Geol &amp; Mineral, Cologne, Germany; [Silva-Busso, Adrian] Univ Buenos Aires, Fac Exact &amp; Nat Sci, Buenos Aires, DF, Argentina; [Silva-Busso, Adrian] INA, Buenos Aires, DF, Argentina</t>
  </si>
  <si>
    <t>University of Bremen; University of Bonn; University of Cologne; University of Buenos Aires</t>
  </si>
  <si>
    <t>Falk, U (corresponding author), Univ Bremen, Inst Geog, Climate Lab, Bremen, Germany.;Falk, U (corresponding author), Univ Bonn, Ctr Remote Sensing Land Surfaces ZFL, Bonn, Germany.</t>
  </si>
  <si>
    <t>ulrike.falk@gmail.com</t>
  </si>
  <si>
    <t>A., Damián López/A-9071-2016</t>
  </si>
  <si>
    <t>Falk, Ulrike/0000-0003-1586-1295</t>
  </si>
  <si>
    <t>Alfred Wegener Institute (AWI) from Germany; Instituto Antartico Argentino - Direccion Nacional del Antartico (IAA-DNA) from Argentina; ESF ERANET Europolar IMCOAST project (BMBF) [AZ 03F0617B]; Marie Curie Action IRSES (FP7 IRSES) [318718]</t>
  </si>
  <si>
    <t>Alfred Wegener Institute (AWI) from Germany; Instituto Antartico Argentino - Direccion Nacional del Antartico (IAA-DNA) from Argentina; ESF ERANET Europolar IMCOAST project (BMBF)(Federal Ministry of Education &amp; Research (BMBF)); Marie Curie Action IRSES (FP7 IRSES)(European Union (EU))</t>
  </si>
  <si>
    <t>We would like to thank the Alfred Wegener Institute (AWI) from Germany and the Instituto Antartico Argentino - Direccion Nacional del Antartico (IAA-DNA) from Argentina for their support in Antarctica. A special acknowledgement goes to Hernan Sala for assistance in the field and help with logistics and to the overwintering scientists at Carlini Station and Dallmann Laboratory: Daniel Viqueira, Juan Piscicelli, Facundo Alvarez, Francisco Ferrer, Pablo Saibene, Martin Gingins and Julia Luna without whom this work would not have been possible. During the period 2010-2015, the overwintering crews from the Ejercito Argentino at Carlini Station continuously supported our scientific tasks and we would like to specifically mention SP Norberto Leonardo Galvan. We also than Regine Hoch and the University of Fairbanks in Alaska for the introduction to the glacier melt model. All graphs in this paper were produced using the R programming language (R Core Team, 2014) and QGIS software (QGIS Development Team, 2016). We also thank the funding support provided by the ESF ERANET Europolar IMCOAST project (BMBF award AZ 03F0617B) and the Marie Curie Action IRSES (FP7 IRSES, action no. 318718), the logistic support by the Universities of Bonn, Bremen and Erlangen-Nuremberg and the Argentinean Antarctic Institute (IAA-DNA). We thank Ben Marzeion for the careful reading of and his very helpful comments on the manuscript.</t>
  </si>
  <si>
    <t>10.5194/tc-12-1211-2018</t>
  </si>
  <si>
    <t>GC2AR</t>
  </si>
  <si>
    <t>WOS:000429584900001</t>
  </si>
  <si>
    <t>Naughten, KA; Meissner, KJ; Galton-Fenzi, BK; England, MH; Timmermann, R; Hellmer, HH; Hattermann, T; Debernard, JB</t>
  </si>
  <si>
    <t>Naughten, Kaitlin A.; Meissner, Katrin J.; Galton-Fenzi, Benjamin K.; England, Matthew H.; Timmermann, Ralph; Hellmer, Hartmut H.; Hattermann, Tore; Debernard, Jens B.</t>
  </si>
  <si>
    <t>Intercomparison of Antarctic ice-shelf, ocean, and sea-ice interactions simulated by MetROMS-iceshelf and FESOM 1.4</t>
  </si>
  <si>
    <t>CIRCUMPOLAR DEEP-WATER; PINE ISLAND GLACIER; GENERAL-CIRCULATION; CONTINENTAL-SHELF; MIXED-LAYER; WEDDELL SEA; MELT RATES; WEST ANTARCTICA; ERA-INTERIM; MODEL</t>
  </si>
  <si>
    <t>An increasing number of Southern Ocean models now include Antarctic ice-shelf cavities, and simulate thermodynamics at the ice-shelf/ocean interface. This adds another level of complexity to Southern Ocean simulations, as ice shelves interact directly with the ocean and indirectly with sea ice. Here, we present the first model intercomparison and evaluation of present-day ocean/sea-ice/ice-shelf interactions, as simulated by two models: a circumpolar Antarctic configuration of MetROMS (ROMS: Regional Ocean Modelling System coupled to CICE: Community Ice CodE) and the global model FESOM (Finite Element Sea-ice Ocean Model), where the latter is run at two different levels of horizontal resolution. From a circumpolar Antarctic perspective, we compare and evaluate simulated ice-shelf basal melting and sub-ice-shelf circulation, as well as sea-ice properties and Southern Ocean water mass characteristics as they influence the sub-ice-shelf processes. Despite their differing numerical methods, the two models produce broadly similar results and share similar biases in many cases. Both models reproduce many key features of observations but struggle to reproduce others, such as the high melt rates observed in the small warm-cavity ice shelves of the Amundsen and Belling-shausen seas. Several differences in model design show a particular influence on the simulations. For example, FESOM's greater topographic smoothing can alter the geometry of some ice-shelf cavities enough to affect their melt rates; this improves at higher resolution, since less smoothing is required. In the interior Southern Ocean, the vertical coordinate system affects the degree of water mass erosion due to spurious diapycnal mixing, with MetROMS' terrain-following coordinate leading to more erosion than FESOM's z coordinate. Finally, increased horizontal resolution in FESOM leads to higher basal melt rates for small ice shelves, through a combination of stronger circulation and small-scale intrusions of warm water from offshore.</t>
  </si>
  <si>
    <t>[Naughten, Kaitlin A.; Meissner, Katrin J.; England, Matthew H.] UNSW Sydney, Climate Change Res Ctr, Level 4 Mathews Bldg, Sydney, NSW 2052, Australia; [Naughten, Kaitlin A.; Meissner, Katrin J.; Timmermann, Ralph] ARC Ctr Excellence Climate Syst Sci, Sydney, NSW, Australia; [Naughten, Kaitlin A.; Galton-Fenzi, Benjamin K.] Antarctic Climate &amp; Ecosyst Cooperat Res Ctr, Private Bag 80, Hobart, Tas 7001, Australia; [Galton-Fenzi, Benjamin K.] Australian Antarctic Div, 203 Channel Highway, Kingston, Tas 7050, Australia; [Timmermann, Ralph; Hellmer, Hartmut H.; Hattermann, Tore] Alfred Wegener Inst, Postfach 12 01 61, D-27515 Bremerhaven, Germany; [Hattermann, Tore] Akvaplan Niva, POB 6606, N-9296 Tromso, Norway; [Debernard, Jens B.] Norwegian Meteorol Inst, POB 43, N-0313 Oslo, Norway</t>
  </si>
  <si>
    <t>University of New South Wales Sydney; ARC Centre of Excellence for Climate System Science; Antarctic Climate &amp; Ecosystems Cooperative Research Centre (ACE CRC); Australian Antarctic Division; Helmholtz Association; Alfred Wegener Institute, Helmholtz Centre for Polar &amp; Marine Research; Akvaplan-niva; Norwegian Meteorological Institute</t>
  </si>
  <si>
    <t>Naughten, KA (corresponding author), UNSW Sydney, Climate Change Res Ctr, Level 4 Mathews Bldg, Sydney, NSW 2052, Australia.;Naughten, KA (corresponding author), ARC Ctr Excellence Climate Syst Sci, Sydney, NSW, Australia.;Naughten, KA (corresponding author), Antarctic Climate &amp; Ecosyst Cooperat Res Ctr, Private Bag 80, Hobart, Tas 7001, Australia.</t>
  </si>
  <si>
    <t>k.naughten@unsw.edu.au</t>
  </si>
  <si>
    <t>England, Matthew/A-7539-2011</t>
  </si>
  <si>
    <t>England, Matthew/0000-0001-9696-2930; Meissner, Katrin/0000-0002-0716-7415; Hattermann, Tore/0000-0002-5538-2267; Naughten, Kaitlin/0000-0001-9475-9162; Galton-Fenzi, Benjamin Keith/0000-0003-1404-4103</t>
  </si>
  <si>
    <t>Australian Government under Australian Postgraduate Award; Research Training Program, a UNSW Research Excellence Award; UNSW Science Silver Star and Gold Star awards; Australian Research Council's Centre of Excellence for Climate System Science; Australian Government's Cooperative Research Centre Programme through Antarctic Climate &amp; Ecosystems Cooperative Research Centre; NCI National Facility at the Australian National University; NCI National Facility at the Australian National University through UNSW HPC at NCI; Australian Research Council's Special Research Initiative for the Antarctic Gateway Partnership [SRI40300001]; Helmholtz Climate Initiative REKLIM, a joint research project of the Helmholtz Association of German Research Centres (HGF)</t>
  </si>
  <si>
    <t>Australian Government under Australian Postgraduate Award; Research Training Program, a UNSW Research Excellence Award; UNSW Science Silver Star and Gold Star awards; Australian Research Council's Centre of Excellence for Climate System Science(Australian Research Council); Australian Government's Cooperative Research Centre Programme through Antarctic Climate &amp; Ecosystems Cooperative Research Centre(Australian GovernmentDepartment of Industry, Innovation and ScienceCooperative Research Centres (CRC) Programme); NCI National Facility at the Australian National University; NCI National Facility at the Australian National University through UNSW HPC at NCI; Australian Research Council's Special Research Initiative for the Antarctic Gateway Partnership(Australian Research Council); Helmholtz Climate Initiative REKLIM, a joint research project of the Helmholtz Association of German Research Centres (HGF)</t>
  </si>
  <si>
    <t>We would like to thank Michael Dinniman, Paul Holland, Petra Heil, Elizabeth Hunke, Matt Mazloff, and Xylar Asay-Davis for their advice while tuning and debugging MetROMS, and Nicholas Hannah for technical support. Marta Kasper, Yoshihiro Nakayama, and Lukrecia Stulic provided assistance with installing and configuring FESOM, and Dmitry Sein with generating the FESOM mesh. We are also grateful to Sergey Danilov and Qiang Wang for helpful discussions regarding effective resolution and pressure gradient calculation in FESOM. Finally, Jean-Baptiste Sallee and Violaine Pellichero provided observations of climatological mixed layer depth, and Takeshi Tamura provided observations of sea-ice production. This research was supported by an Australian Government scholarship under the Australian Postgraduate Award and Research Training Program schemes, a UNSW Research Excellence Award, and UNSW Science Silver Star and Gold Star awards. Support was also provided by the Australian Research Council's Centre of Excellence for Climate System Science, and the Australian Government's Cooperative Research Centre Programme through the Antarctic Climate &amp; Ecosystems Cooperative Research Centre. Computational resources were provided by the NCI National Facility at the Australian National University, through awards under the Merit Allocation Scheme, the Intersect allocation scheme, and the UNSW HPC at NCI Scheme. Ben Galton-Fenzi is supported under the Australian Research Council's Special Research Initiative for the Antarctic Gateway Partnership SRI40300001, which also contributes to the World Climate Research Programme (WCRP) Climate and Cryosphere (CliC) project Targeted Activity Linkages Between Cryosphere Elements. Ralph Timmermann acknowledges funding by the Helmholtz Climate Initiative REKLIM (Regional Climate Change), a joint research project of the Helmholtz Association of German Research Centres (HGF). We are grateful to Xylar Asay-Davis and one anonymous reviewer for their helpful comments on an earlier version of the manuscript.</t>
  </si>
  <si>
    <t>10.5194/gmd-11-1257-2018</t>
  </si>
  <si>
    <t>GC1WX</t>
  </si>
  <si>
    <t>WOS:000429574800001</t>
  </si>
  <si>
    <t>Erb, MP; Jackson, CS; Broccoli, AJ; Lea, DW; Valdes, PJ; Crucifix, M; DiNezio, PN</t>
  </si>
  <si>
    <t>Erb, Michael P.; Jackson, Charles S.; Broccoli, Anthony J.; Lea, David W.; Valdes, Paul J.; Crucifix, Michel; DiNezio, Pedro N.</t>
  </si>
  <si>
    <t>Model evidence for a seasonal bias in Antarctic ice cores</t>
  </si>
  <si>
    <t>AFRICAN SUMMER MONSOON; TEMPERATURE RECONSTRUCTION; PACIFIC CLIMATE; OBLIQUITY; SENSITIVITY; MILANKOVITCH; PLEISTOCENE; INSOLATION; SURFACE; CYCLES</t>
  </si>
  <si>
    <t>Much of the global annual mean temperature change over Quaternary glacial cycles can be attributed to slow ice sheet and greenhouse gas feedbacks, but analysis of the short-term response to orbital forcings has the potential to reveal key relationships in the climate system. In particular, obliquity and precession both produce highly seasonal temperature responses at high latitudes. Here, idealized single-forcing model experiments are used to quantify Earth's response to obliquity, precession, CO2, and ice sheets, and a linear reconstruction methodology is used to compare these responses to long proxy records around the globe. This comparison reveals mismatches between the annual mean response to obliquity and precession in models versus the signals within Antarctic ice cores. Weighting the model-based reconstruction toward austral winter or spring reduces these discrepancies, providing evidence for a seasonal bias in ice cores.</t>
  </si>
  <si>
    <t>[Erb, Michael P.; Jackson, Charles S.; DiNezio, Pedro N.] Univ Texas Austin, Inst Geophys, Austin, TX 78758 USA; [Erb, Michael P.] Univ Southern Calif, Dept Earth Sci, Los Angeles, CA 90089 USA; [Erb, Michael P.] No Arizona Univ, Sch Earth Sci &amp; Environm Sustainabil, Flagstaff, AZ 86011 USA; [Broccoli, Anthony J.] Rutgers State Univ, Dept Environm Sci, New Brunswick, NJ 08901 USA; [Broccoli, Anthony J.] Rutgers State Univ, Inst Earth Ocean &amp; Atmospher Sci, New Brunswick, NJ 08901 USA; [Lea, David W.] UC Santa Barbara, Dept Earth Sci, Santa Barbara, CA 93106 USA; [Valdes, Paul J.] Univ Bristol, Sch Geog Sci, Bristol BS8 1SS, Avon, England; [Crucifix, Michel] Catholic Univ Louvain, Earth &amp; Life Inst, B-1348 Louvain La Neuve, Belgium</t>
  </si>
  <si>
    <t>University of Texas System; University of Texas Austin; University of Southern California; Northern Arizona University; Rutgers University System; Rutgers University New Brunswick; Rutgers University System; Rutgers University New Brunswick; University of California System; University of California Santa Barbara; University of Bristol; Universite Catholique Louvain</t>
  </si>
  <si>
    <t>Erb, MP (corresponding author), Univ Texas Austin, Inst Geophys, Austin, TX 78758 USA.;Erb, MP (corresponding author), Univ Southern Calif, Dept Earth Sci, Los Angeles, CA 90089 USA.;Erb, MP (corresponding author), No Arizona Univ, Sch Earth Sci &amp; Environm Sustainabil, Flagstaff, AZ 86011 USA.</t>
  </si>
  <si>
    <t>michael.erb@nau.edu</t>
  </si>
  <si>
    <t>Valdes, Paul/T-2004-2019; Broccoli, Anthony J/D-9186-2014; Jackson, Charles/AAE-1420-2019; Valdes, Paul J/C-4129-2013</t>
  </si>
  <si>
    <t>Valdes, Paul/0000-0002-1902-3283; Broccoli, Anthony J/0000-0003-2619-1434; Jackson, Charles/0000-0002-2870-4494; Erb, Michael/0000-0002-1187-952X; Crucifix, Michel/0000-0002-3437-4911</t>
  </si>
  <si>
    <t>University of Texas Institute for Geophysics; National Science Foundation [ATM0902735]; University of Southern California; Northern Arizona University; State of Arizona Technology and Research Initiative Fund (TRIF)</t>
  </si>
  <si>
    <t>University of Texas Institute for Geophysics; National Science Foundation(National Science Foundation (NSF)); University of Southern California; Northern Arizona University; State of Arizona Technology and Research Initiative Fund (TRIF)</t>
  </si>
  <si>
    <t>The authors would like to thank J. Shakun for his data set of proxy-derived temperatures aligned to LR04, V. Masson-Delmotte for suggestions about past ice core research, and F. Parrenin for the Vostok temperature reconstruction data. M.P.E. was supported by a postdoctoral fellowship from the University of Texas Institute for Geophysics and a grant from the Paleo Perspective on Climate Change program of the National Science Foundation (Grant ATM0902735), as well as support from the University of Southern California and Northern Arizona University. This work was partially funded under the State of Arizona Technology and Research Initiative Fund (TRIF), administered by the Arizona Board of Regents. The authors would also like to thank the NOAA Geophysical Fluid Dynamics Laboratory (GFDL) at Princeton, the National Center for Atmospheric Research (NCAR) and the Computational &amp; Information Systems Lab (CISL), and the Hadley Center for computational resources to complete these simulations.</t>
  </si>
  <si>
    <t>10.1038/s41467-018-03800-0</t>
  </si>
  <si>
    <t>GC1ED</t>
  </si>
  <si>
    <t>WOS:000429521300003</t>
  </si>
  <si>
    <t>Torstensson, A; Fransson, A; Currie, K; Wulff, A; Chierici, M</t>
  </si>
  <si>
    <t>Torstensson, Anders; Fransson, Agneta; Currie, Kim; Wulff, Angela; Chierici, Melissa</t>
  </si>
  <si>
    <t>Microalgal photophysiology and macronutrient distribution in summer sea ice in the Amundsen and Ross Seas, Antarctica</t>
  </si>
  <si>
    <t>PHOTOSYNTHESIS-IRRADIANCE RELATIONSHIPS; M-CRESOL PURPLE; MICROBIAL COMMUNITIES; PACK ICE; MCMURDO SOUND; CARBONIC-ACID; ALGAE; SEAWATER; GROWTH; LIGHT</t>
  </si>
  <si>
    <t>Our study addresses how environmental variables, such as macronutrients concentrations, snow cover, carbonate chemistry and salinity affect the photophysiology and biomass of Antarctic sea-ice algae. We have measured vertical profiles of inorganic macronutrients (phosphate, nitrite + nitrate and silicic acid) in summer sea ice and photophysiology of ice algal assemblages in the poorly studied Amundsen and Ross Seas sectors of the Southern Ocean. Brine-scaled bacterial abundance, chl a and macronutrient concentrations were often high in the ice and positively correlated with each other. Analysis of photosystem II rapid light curves showed that microalgal cells in samples with high phosphate and nitrite + nitrate concentrations had reduced maximum relative electron transport rate and photosynthetic efficiency. We also observed strong couplings of PSII parameters to snow depth, ice thickness and brine salinity, which highlights a wide range of photoacclimation in Antarctic pack-ice algae. It is likely that the pack ice was in a post-bloom situation during the late sea ice season, with low photosynthetic efficiency and a high degree of nutrient accumulation occurring in the ice. In order to predict how key biogeochemical processes are affected by future changes in sea ice cover, such as in situ photosynthesis and nutrient cycling, we need to understand how physicochemical properties of sea ice affect the microbial community. Our results support existing hypothesis about sea-ice algal photophysiology, and provide additional observations on high nutrient concentrations in sea ice that could influence the planktonic communities as the ice is retreating.</t>
  </si>
  <si>
    <t>[Torstensson, Anders; Wulff, Angela] Univ Gothenburg, Dept Biol &amp; Environm Sci, Gothenburg, Sweden; [Fransson, Agneta] Norwegian Polar Res Inst, Fram Ctr, Tromso, Norway; [Fransson, Agneta] Univ Gothenburg, Dept Earth Sci, Gothenburg, Sweden; [Currie, Kim] Univ Otago, Res Ctr Oceanog, Natl Inst Water &amp; Atmospher Res Ltd NIWA, Dunedin, New Zealand; [Chierici, Melissa] Univ Gothenburg, Dept Marine Sci, Gothenburg, Sweden; [Chierici, Melissa] Inst Marine Res, Tromso, Norway; [Torstensson, Anders] Univ Washington, Sch Oceanog, Seattle, WA 98195 USA</t>
  </si>
  <si>
    <t>University of Gothenburg; Norwegian Polar Institute; University of Gothenburg; University of Otago; University of Gothenburg; Institute of Marine Research - Norway; University of Washington; University of Washington Seattle</t>
  </si>
  <si>
    <t>Torstensson, A (corresponding author), Univ Gothenburg, Dept Biol &amp; Environm Sci, Gothenburg, Sweden.;Torstensson, A (corresponding author), Univ Washington, Sch Oceanog, Seattle, WA 98195 USA.</t>
  </si>
  <si>
    <t>andtor@uw.edu</t>
  </si>
  <si>
    <t>Torstensson, Anders/0000-0002-8283-656X</t>
  </si>
  <si>
    <t>Swedish Research Council [2007-8365, 2008-6228, 2009-2994]; Flagship program Ocean Acidification and ecosystem effects in Northern waters at the FRAM High North Research Centre for Climate and the Environment</t>
  </si>
  <si>
    <t>Swedish Research Council(Swedish Research Council); Flagship program Ocean Acidification and ecosystem effects in Northern waters at the FRAM High North Research Centre for Climate and the Environment</t>
  </si>
  <si>
    <t>This project was funded by the Swedish Research Council (www.vr.se), grant numbers 2007-8365 (MC), 2008-6228 (AF) and 2009-2994 (MC). The study was partly financed by the Flagship program Ocean Acidification and ecosystem effects in Northern waters at the FRAM High North Research Centre for Climate and the Environment. The funders had no role in study design, data collection and analysis, decision to publish, or preparation of the manuscript.</t>
  </si>
  <si>
    <t>e0195587</t>
  </si>
  <si>
    <t>10.1371/journal.pone.0195587</t>
  </si>
  <si>
    <t>GC1EM</t>
  </si>
  <si>
    <t>WOS:000429522200039</t>
  </si>
  <si>
    <t>Mathew, S; Natesan, U; Latha, G; Venkatesan, R; Rao, RR; Ravichandran, M</t>
  </si>
  <si>
    <t>Mathew, Simi; Natesan, Usha; Latha, G.; Venkatesan, R.; Rao, Rokkam R.; Ravichandran, M.</t>
  </si>
  <si>
    <t>Observed warming of sea surface temperature in response to tropical cyclone Thane in the Bay of Bengal</t>
  </si>
  <si>
    <t>CURRENT SCIENCE</t>
  </si>
  <si>
    <t>Bay of Bengal; cyclone; OMNI buoy; SST</t>
  </si>
  <si>
    <t>SEASONAL VARIABILITY; UPPER OCEAN</t>
  </si>
  <si>
    <t>An unusual near-surface warming was seen in observations from a moored buoy BD11 at 14 degrees N/83 degrees E, and a nearby Argo profiling float in the Bay of Bengal, during the passage of tropical cyclone Thane, during 25-31 December 2011. The cyclone induced a warming of sea surface temperature (SST) by 0.6. degrees C to the right of the track. Heat budget analysis based on moored observations and satellite data rules out the role of horizontal advection and net heat flux in warming the surface layer. We find that vertical mixing/entrainment in response to the cyclone, in conjunction with a pre-storm temperature inversion (subsurface ocean warmer than SST) led to the observed warming. Pre-storm and post-storm salinity and temperature profiles from an Argo float close to the mooring BD11 have higher vertical resolution than the moored data; they suggest vertical mixing of the upper 70 m of the water column. The moored observations show that the thermal inversion, erased by storm-induced mixing, reappears in a few days.</t>
  </si>
  <si>
    <t>[Mathew, Simi; Latha, G.; Venkatesan, R.] Natl Inst Ocean Technol, Pallikaranai PO, Madras 600100, Tamil Nadu, India; [Natesan, Usha] Anna Univ, Guindy Campus, Madras 600025, Tamil Nadu, India; [Rao, Rokkam R.] Indian Inst Trop Meteorol, Int CLIVAR Monsoon Project Off, Pashan Rd, Pune 411008, Maharashtra, India; [Ravichandran, M.] Natl Ctr Antarctic &amp; Ocean Res, Vasco Da Gamma 403804, Goa, India</t>
  </si>
  <si>
    <t>Ministry of Earth Sciences (MoES) - India; National Institute of Ocean Technology (NIOT); Anna University; Anna University Chennai; Ministry of Earth Sciences (MoES) - India; Indian Institute of Tropical Meteorology (IITM); Ministry of Earth Sciences (MoES) - India; National Centre for Polar and Ocean Research (NCPOR)</t>
  </si>
  <si>
    <t>Mathew, S (corresponding author), Natl Inst Ocean Technol, Pallikaranai PO, Madras 600100, Tamil Nadu, India.</t>
  </si>
  <si>
    <t>simi@niot.res.in</t>
  </si>
  <si>
    <t>Ravichandran, M./AAM-1351-2020; Natesan, Usha/ABE-4260-2020</t>
  </si>
  <si>
    <t>Ramasamy, Venkatesan/0000-0001-7386-1539; NATESAN, USHA/0000-0003-4300-7926; Mathew, Simi/0000-0003-2109-8345</t>
  </si>
  <si>
    <t>IRD, France</t>
  </si>
  <si>
    <t>We thank the team efforts of NIOT technical and administrative staff. Thanks are due to MoES and members of the expert committee for their valuable suggestions. The Gekco product used in this study was developed by Joel Sudre at LEGOS, France. The TropFlux data is produced under collaboration between LOCEAN from IPSL, France and NIO, India, and supported by IRD, France.</t>
  </si>
  <si>
    <t>0011-3891</t>
  </si>
  <si>
    <t>CURR SCI INDIA</t>
  </si>
  <si>
    <t>Curr. Sci.</t>
  </si>
  <si>
    <t>10.18520/cs/v114/i07/1407-1413</t>
  </si>
  <si>
    <t>GB8VP</t>
  </si>
  <si>
    <t>WOS:000429353700020</t>
  </si>
  <si>
    <t>Mishra, RK</t>
  </si>
  <si>
    <t>Mishra, Ritesh Kumar</t>
  </si>
  <si>
    <t>Petrography and mineralogy of calcium-, aluminum-rich inclusions in an unequilibrated carbonaceous chondrite Y 81020 (CO3.05)</t>
  </si>
  <si>
    <t>Antarctic meteorites; calcium; aluminum-rich inclusions; petrography; quantitative analyses; unequilibrated carbonaceous chondrites</t>
  </si>
  <si>
    <t>REFRACTORY INCLUSIONS; ORGANIC-MATTER; CO CHONDRITES; SOLAR-SYSTEM; METEORITE</t>
  </si>
  <si>
    <t>Petrographic and quantitative analyses of more than 70 refractory inclusions found in the studied thin section of Yamato 81020 (CO3.05) showed diverse objects that can be grouped into five distinct types based on morphology and mineralogy. Mineralogical, textural similarities to the pristine carbonaceous vigarano (3.1-3.4) types of Efremovka, Vigarano were observed despite their smaller size (similar to 100 micron diameter). Wark-Lovering rims were found predominantly in melilite-rich calcium, aluminum-rich inclusions. Comparison of mineralogy, morphology at macro and micro scale of Y 81020 with ALH A77307 and other carbonaceous chondrites is suggestive of the unaltered characteristics of the refractory inclusions in agreement with previous studies.</t>
  </si>
  <si>
    <t>[Mishra, Ritesh Kumar] NASA, Johnson Space Ctr, Ctr Isotope Cosmochem &amp; Geochronol, Astromaterials Res &amp; Explorat Sci Div,EISD XI, 2101 NASA Pkwy, Houston, TX 77058 USA; [Mishra, Ritesh Kumar] Oak Ridge Natl Lab Associated Univ, Oak Ridge, TN 37830 USA</t>
  </si>
  <si>
    <t>National Aeronautics &amp; Space Administration (NASA); NASA Johnson Space Center</t>
  </si>
  <si>
    <t>Mishra, RK (corresponding author), NASA, Johnson Space Ctr, Ctr Isotope Cosmochem &amp; Geochronol, Astromaterials Res &amp; Explorat Sci Div,EISD XI, 2101 NASA Pkwy, Houston, TX 77058 USA.;Mishra, RK (corresponding author), Oak Ridge Natl Lab Associated Univ, Oak Ridge, TN 37830 USA.</t>
  </si>
  <si>
    <t>riteshkumarmishra@gmail.com</t>
  </si>
  <si>
    <t>MISHRA, RITESH KUMAR/0000-0003-3073-1245</t>
  </si>
  <si>
    <t>NASA Post-Doctoral Program (NPP) fellowship</t>
  </si>
  <si>
    <t>NASA Post-Doctoral Program (NPP) fellowship(National Aeronautics &amp; Space Administration (NASA))</t>
  </si>
  <si>
    <t>I thank D. K. Ross (JSC) for his assistance in carrying out electron probe work. I have benefitted from several scientific discussions with Justin I. Simon, K. K. Marhas, Marc Chaussidon and Jangmi Han. The work is supported by NASA Post-Doctoral Program (NPP) fellowship administered by Oak Ridge National Laboratory associated universities (ORAU), Tennessee, Kentucky.</t>
  </si>
  <si>
    <t>10.18520/cs/v114/i07/1510-1519</t>
  </si>
  <si>
    <t>WOS:000429353700031</t>
  </si>
  <si>
    <t>Oliver, ECJ; Donat, MG; Burrows, MT; Moore, PJ; Smale, DA; Alexander, LV; Benthuysen, JA; Feng, M; Sen Gupta, A; Hobday, AJ; Holbrook, NJ; Perkins-Kirkpatrick, SE; Scannell, HA; Straub, SC; Wernberg, T</t>
  </si>
  <si>
    <t>Oliver, Eric C. J.; Donat, Markus G.; Burrows, Michael T.; Moore, Pippa J.; Smale, Dan A.; Alexander, Lisa V.; Benthuysen, Jessica A.; Feng, Ming; Sen Gupta, Alex; Hobday, Alistair J.; Holbrook, Neil J.; Perkins-Kirkpatrick, Sarah E.; Scannell, Hillary A.; Straub, Sandra C.; Wernberg, Thomas</t>
  </si>
  <si>
    <t>Longer and more frequent marine heatwaves over the past century</t>
  </si>
  <si>
    <t>SEA-SURFACE TEMPERATURE; STOCHASTIC CLIMATE MODELS; HEAT WAVES; VARIABILITY; IMPACTS; OCEAN; SHIFTS; PERSISTENCE; NORTHERN; SUMMER</t>
  </si>
  <si>
    <t>Heatwaves are important climatic extremes in atmospheric and oceanic systems that can have devastating and long-term impacts on ecosystems, with subsequent socioeconomic consequences. Recent prominent marine heatwaves have attracted considerable scientific and public interest. Despite this, a comprehensive assessment of how these ocean temperature extremes have been changing globally is missing. Using a range of ocean temperature data including global records of daily satellite observations, daily in situ measurements and gridded monthly in situ-based data sets, we identify significant increases in marine heatwaves over the past century. We find that from 1925 to 2016, global average marine heatwave frequency and duration increased by 34% and 17%, respectively, resulting in a 54% increase in annual marine heatwave days globally. Importantly, these trends can largely be explained by increases in mean ocean temperatures, suggesting that we can expect further increases in marine heatwave days under continued global warming.</t>
  </si>
  <si>
    <t>[Oliver, Eric C. J.] Dalhousie Univ, Dept Oceanog, 1355 Oxford St, Halifax, NS B3H 4R2, Canada; [Oliver, Eric C. J.; Holbrook, Neil J.] Univ Tasmania, Inst Marine &amp; Antarctic Studies, 20 Castray Esplanade,Private Bag 129, Hobart, Tas 7001, Australia; [Oliver, Eric C. J.] Univ Tasmania, Australian Res Council Ctr Excellence Climate Sys, Private Bag 129, Hobart, Tas 7001, Australia; [Donat, Markus G.; Alexander, Lisa V.; Sen Gupta, Alex; Perkins-Kirkpatrick, Sarah E.] Univ New South Wales, Climate Change Res Ctr, Gate 11 Bot St,Level 4,Matthews Bldg, Sydney, NSW 2052, Australia; [Donat, Markus G.; Alexander, Lisa V.; Sen Gupta, Alex; Perkins-Kirkpatrick, Sarah E.] Univ New South Wales, Australian Res Council Ctr Excellence Climate Sys, Gate 11 Bot St,Level 4,Matthews Bldg, Sydney, NSW 2052, Australia; [Burrows, Michael T.] Scottish Marine Inst, Scottish Assoc Marine Sci, Oban PA37 1QA, Argyll, Scotland; [Moore, Pippa J.] Aberystwyth Univ, Inst Biol Environm &amp; Rural Sci, Aberystwyth SY23 3DA, Dyfed, Wales; [Smale, Dan A.] Marine Biol Assoc UK, The Lab, Citadel Hill, Plymouth PL1 2PB, Devon, England; [Smale, Dan A.; Straub, Sandra C.; Wernberg, Thomas] Univ Western Australia, UWA Oceans Inst, Crawley, WA 6009, Australia; [Smale, Dan A.; Straub, Sandra C.; Wernberg, Thomas] Univ Western Australia, Sch Biol Sci, Crawley, WA 6009, Australia; [Benthuysen, Jessica A.] Australian Inst Marine Sci, PMB 3, Townsville, Qld 4810, Australia; [Feng, Ming] CSIRO Oceans &amp; Atmosphere, Crawley, WA 6009, Australia; [Hobday, Alistair J.] CSIRO Oceans &amp; Atmosphere, Hobart, Tas 7000, Australia; [Holbrook, Neil J.] Univ Tasmania, Australian Res Council Ctr Excellence Climate Ext, Private Bag 129, Hobart, Tas 7001, Australia; [Scannell, Hillary A.] Univ Washington, Sch Oceanog, Seattle, WA 98105 USA; [Scannell, Hillary A.] NOAA, Pacific Marine Environm Lab, 7600 Sand Point Way Ne, Seattle, WA 98115 USA</t>
  </si>
  <si>
    <t>Dalhousie University; University of Tasmania; University of Tasmania; University of New South Wales Sydney; University of New South Wales Sydney; UHI Millennium Institute; Aberystwyth University; UK Research &amp; Innovation (UKRI); Biotechnology and Biological Sciences Research Council (BBSRC); Institute of Biological, Environmental, Rural &amp; Sciences (IBERS); Marine Biological Association United Kingdom; University of Western Australia; University of Western Australia; Australian Institute of Marine Science; Commonwealth Scientific &amp; Industrial Research Organisation (CSIRO); Commonwealth Scientific &amp; Industrial Research Organisation (CSIRO); University of Tasmania; University of Washington; University of Washington Seattle; National Oceanic Atmospheric Admin (NOAA) - USA</t>
  </si>
  <si>
    <t>Oliver, ECJ (corresponding author), Dalhousie Univ, Dept Oceanog, 1355 Oxford St, Halifax, NS B3H 4R2, Canada.;Oliver, ECJ (corresponding author), Univ Tasmania, Inst Marine &amp; Antarctic Studies, 20 Castray Esplanade,Private Bag 129, Hobart, Tas 7001, Australia.;Oliver, ECJ (corresponding author), Univ Tasmania, Australian Res Council Ctr Excellence Climate Sys, Private Bag 129, Hobart, Tas 7001, Australia.</t>
  </si>
  <si>
    <t>eric.oliver@dal.ca</t>
  </si>
  <si>
    <t>Moore, Pippa/H-8079-2013; Perkins-Kirkpatrick, Sarah E/O-5042-2015; Wernberg, Thomas/B-4172-2010; Burrows, Michael/ABF-4844-2020; Smale, Dan A/B-3240-2011; Donat, Markus/J-8331-2012; Smale, Daniel/Y-2909-2019; Feng, Ming/F-5411-2010; Moore, Pippa/HCH-3738-2022; Hobday, Alistair/A-1460-2012; Sen Gupta, Alexander/B-7995-2011; Holbrook, Neil/M-7544-2013; Alexander, Lisa/A-8477-2011; Oliver, Eric/G-5118-2014</t>
  </si>
  <si>
    <t>Moore, Pippa/0000-0002-9889-2216; Wernberg, Thomas/0000-0003-1185-9745; Burrows, Michael/0000-0003-4620-5899; Donat, Markus/0000-0002-0608-7288; Smale, Daniel/0000-0003-4157-541X; Sen Gupta, Alexander/0000-0001-5226-871X; Perkins-Kirkpatrick, Sarah/0000-0001-9443-4915; Scannell, Hillary/0000-0002-6604-1695; Holbrook, Neil/0000-0002-3523-6254; Alexander, Lisa/0000-0002-5635-2457; Oliver, Eric/0000-0002-4006-2826; Benthuysen, Jessica/0000-0001-7615-6587</t>
  </si>
  <si>
    <t>UWA Research Collaboration Award; UWA School of Plant Biology synthesis grant; Australian Research Council (ARC) Centre of Excellence for Climate System Science (ARCCSS); ARC [DE140100952, DE150100456, CE110001028, FT110100174, DP170100023, FS110200029]; NERC IRF [NE/K008439/1]; NERC [NE/J024082/1]; ARCCSS [CE110001028]; ARC Centre of Excellence for Climate Extremes [CE170100023]; National Environmental Science Programme (NESP) Earth Systems and Climate Change (ESCC) Hub Project 2.3 [B0024391]; Marie Curie CIG [PCIG10-GA-2011-303685]; Australian Government RTP Scholarship; CAS-CSIRO collaborative project on Marine Science and the Blue Economy; Western Australia Marine Science Institution; Australian Research Council [FS110200029] Funding Source: Australian Research Council; NERC [NE/J015644/1, NE/K008439/1, NE/N00678X/1, NE/J021938/1, NE/J022446/1, NE/J024082/1, NE/J015148/1] Funding Source: UKRI</t>
  </si>
  <si>
    <t>UWA Research Collaboration Award; UWA School of Plant Biology synthesis grant; Australian Research Council (ARC) Centre of Excellence for Climate System Science (ARCCSS)(Australian Research Council); ARC(Australian Research Council); NERC IRF(UK Research &amp; Innovation (UKRI)Natural Environment Research Council (NERC)); NERC(UK Research &amp; Innovation (UKRI)Natural Environment Research Council (NERC)); ARCCSS; ARC Centre of Excellence for Climate Extremes; National Environmental Science Programme (NESP) Earth Systems and Climate Change (ESCC) Hub Project 2.3; Marie Curie CIG(Marie Curie ActionsEuropean Union (EU)); Australian Government RTP Scholarship(Australian Government); CAS-CSIRO collaborative project on Marine Science and the Blue Economy; Western Australia Marine Science Institution; Australian Research Council(Australian Research Council); NERC(UK Research &amp; Innovation (UKRI)Natural Environment Research Council (NERC))</t>
  </si>
  <si>
    <t>This contribution is an outcome from the working group 'Marine Heatwaves - physical drivers and properties' hosted at the University of Western Australia (UWA) Oceans Institute and led by T.W., D.A.S., N.J.H. and E.C.J.O (www.marineheatwaves.org). The workshop received funding support from a UWA Research Collaboration Award, a UWA School of Plant Biology synthesis grant and the Australian Research Council (ARC) Centre of Excellence for Climate System Science (ARCCSS). The workshop, and this paper, makes a contribution to the interests and activities of the International Commission on Climate of IAMAS/IUGG and the World Climate Research Programme Grand Challenge on Extremes. This is a PMEL contribution number 4415. S.E.P.-K. was supported by ARC grant DE140100952, M.G.D. by ARC grant DE150100456, L.V.A. by ARC grant CE110001028, D.A.S. by NERC IRF NE/K008439/1 and T.W. by ARC grants FT110100174 and DP170100023. M.T.B. was supported by NERC grant NE/J024082/1, J.A.B. acknowledges support from the ARCCSS (CE110001028), E.C.J.O. by ARC grants FS110200029 and CE110001028, N.J.H. acknowledges funding support from the ARC Centre of Excellence for Climate Extremes (CE170100023) and the National Environmental Science Programme (NESP) Earth Systems and Climate Change (ESCC) Hub Project 2.3 (grant B0024391), P.J.M. by Marie Curie CIG PCIG10-GA-2011-303685 and NERC grant NE/J024082/1, S.C.S. by an Australian Government RTP Scholarshipin, M.F. by a CAS-CSIRO collaborative project on Marine Science and the Blue Economy and the Western Australia Marine Science Institution.</t>
  </si>
  <si>
    <t>10.1038/s41467-018-03732-9</t>
  </si>
  <si>
    <t>GC1EA</t>
  </si>
  <si>
    <t>WOS:000429521000001</t>
  </si>
  <si>
    <t>Jeofry, H; Ross, N; Corr, HFJ; Li, JL; Morlighem, M; Gogineni, P; Siegert, MJ</t>
  </si>
  <si>
    <t>Jeofry, Hafeez; Ross, Neil; Corr, Hugh F. J.; Li, Jilu; Morlighem, Mathieu; Gogineni, Prasad; Siegert, Martin J.</t>
  </si>
  <si>
    <t>A new bed elevation model for the Weddell Sea sector of the West Antarctic Ice Sheet</t>
  </si>
  <si>
    <t>EARTH SYSTEM SCIENCE DATA</t>
  </si>
  <si>
    <t>PINE ISLAND GLACIER; LEVEL RISE; BENEATH; SHELF; FLOW; GREENLAND; THICKNESS; STREAMS; SURFACE; TOPOGRAPHY</t>
  </si>
  <si>
    <t>We present a new digital elevation model (DEM) of the bed, with a 1 km gridding, of the Weddell Sea (WS) sector of the West Antarctic Ice Sheet (WAIS). The DEM has a total area of similar to 125 000 km(2) covering the Institute, Moller and Foundation ice streams, as well as the Bungenstock ice rise. In comparison with the Bedmap2 product, our DEM includes new aerogeophysical datasets acquired by the Center for Remote Sensing of Ice Sheets (CReSIS) through the NASA Operation IceBridge (OIB) program in 2012, 2014 and 2016. We also improve bed elevation information from the single largest existing dataset in the region, collected by the British Antarctic Survey (BAS) Polarimetric radar Airborne Science Instrument (PASIN) in 2010-2011, from the relatively crude measurements determined in the field for quality control purposes used in Bedmap2. While the gross form of the new DEM is similar to Bedmap2, there are some notable differences. For example, the position and size of a deep subglacial trough (similar to 2 km below sea level) between the ice-sheet interior and the grounding line of the Foundation Ice Stream have been redefined. From the revised DEM, we are able to better derive the expected routing of basal water and, by comparison with that calculated using Bedmap2, we are able to assess regions where hydraulic flow is sensitive to change. Given the potential vulnerability of this sector to ocean-induced melting at the grounding line, especially in light of the improved definition of the Foundation Ice Stream trough, our revised DEM will be of value to ice-sheet modelling in efforts to quantify future glaciological changes in the region and, from this, the potential impact on global sea level. The new 1 km bed elevation product of the WS sector can be found at https://doi.org/10.5281/zenodo.1035488.</t>
  </si>
  <si>
    <t>[Jeofry, Hafeez; Siegert, Martin J.] Imperial Coll London, Grantham Inst, London, England; [Jeofry, Hafeez; Siegert, Martin J.] Imperial Coll London, Dept Earth Sci &amp; Engn, London, England; [Jeofry, Hafeez] Univ Malaysia Terengganu, Sch Marine Sci &amp; Environm, Kuala Terengganu, Terengganu, Malaysia; [Ross, Neil] Newcastle Univ, Sch Geog Polit &amp; Sociol, Claremont Rd, Newcastle Upon Tyne, Tyne &amp; Wear, England; [Corr, Hugh F. J.] NERC, British Antarct Survey, Cambridge, England; [Li, Jilu] Univ Kansas, Ctr Remote Sensing Ice Sheets, Lawrence, KS 66045 USA; [Morlighem, Mathieu] Univ Calif Irvine, Dept Earth Syst Sci, Irvine, CA USA; [Gogineni, Prasad] Univ Alabama, Dept Elect &amp; Comp Engn, Tuscaloosa, AL 35487 USA</t>
  </si>
  <si>
    <t>Imperial College London; Imperial College London; Universiti Malaysia Terengganu; Newcastle University - UK; UK Research &amp; Innovation (UKRI); Natural Environment Research Council (NERC); NERC British Antarctic Survey; University of Kansas; University of California System; University of California Irvine; University of Alabama System; University of Alabama Tuscaloosa</t>
  </si>
  <si>
    <t>Jeofry, H; Siegert, MJ (corresponding author), Imperial Coll London, Grantham Inst, London, England.;Jeofry, H; Siegert, MJ (corresponding author), Imperial Coll London, Dept Earth Sci &amp; Engn, London, England.;Jeofry, H (corresponding author), Univ Malaysia Terengganu, Sch Marine Sci &amp; Environm, Kuala Terengganu, Terengganu, Malaysia.</t>
  </si>
  <si>
    <t>m.siegert@imperial.ac.uk</t>
  </si>
  <si>
    <t>Jeofry, Hafeez/AAG-5474-2019; Corr, Hugh/C-5398-2011; Morlighem, Mathieu/O-9942-2014; Siegert, Martin/M-9939-2019; Siegert, Martin J/A-3826-2008</t>
  </si>
  <si>
    <t>Morlighem, Mathieu/0000-0001-5219-1310; Siegert, Martin/0000-0002-0090-4806; Siegert, Martin J/0000-0002-0090-4806; Jeofry, Muhammad Hafeez/0000-0003-4638-4516</t>
  </si>
  <si>
    <t>NASA [NNX10AT68G]; NERC Antarctic Funding Initiative [NE/G013071/1]; Ministry of Higher Education Malaysia; Norwegian Polar Institute for the Quantarctica GIS package; NERC [NE/G013071/1] Funding Source: UKRI</t>
  </si>
  <si>
    <t>NASA(National Aeronautics &amp; Space Administration (NASA)); NERC Antarctic Funding Initiative(UK Research &amp; Innovation (UKRI)Natural Environment Research Council (NERC)); Ministry of Higher Education Malaysia(Ministry of Education, Malaysia); Norwegian Polar Institute for the Quantarctica GIS package; NERC(UK Research &amp; Innovation (UKRI)Natural Environment Research Council (NERC))</t>
  </si>
  <si>
    <t>The data used in this project are available at the Center for the Remote Sensing of Ice Sheets data portal https://data.cresis.ku.edu/ and at the UK Airborne Geophysics Data Portal https://secure.antarctica.ac.uk/data/aerogeo/. Prasad Gogineni and Jilu Li acknowledge funding by NASA for CReSIS data collection and development of radars (NNX10AT68G); Martin J. Siegert and Neil Ross acknowledge funding from the NERC Antarctic Funding Initiative (NE/G013071/1); and the IMAFI data collection team consist of Hugh F. J. Corr, Fausto Ferraccioli, Rob Bingham, Anne Le Brocq, David Rippin, Tom Jordan, Carl Robinson, Doug Cochrane, Ian Potten and Mark Oostlander. Hafeez Jeofry acknowledges funding from the Ministry of Higher Education Malaysia and the Norwegian Polar Institute for the Quantarctica GIS package. All authors gratefully acknowledge the anonymous reviewers for their insightful suggestions to this</t>
  </si>
  <si>
    <t>1866-3508</t>
  </si>
  <si>
    <t>1866-3516</t>
  </si>
  <si>
    <t>EARTH SYST SCI DATA</t>
  </si>
  <si>
    <t>Earth Syst. Sci. Data</t>
  </si>
  <si>
    <t>APR 9</t>
  </si>
  <si>
    <t>10.5194/essd-10-711-2018</t>
  </si>
  <si>
    <t>Geosciences, Multidisciplinary; Meteorology &amp; Atmospheric Sciences</t>
  </si>
  <si>
    <t>Geology; Meteorology &amp; Atmospheric Sciences</t>
  </si>
  <si>
    <t>GC0AC</t>
  </si>
  <si>
    <t>WOS:000429436300001</t>
  </si>
  <si>
    <t>de Vos, A; Faux, CE; Marthick, J; Dickinson, J; Jarman, SN</t>
  </si>
  <si>
    <t>de Vos, Asha; Faux, Cassandra E.; Marthick, James; Dickinson, Joanne; Jarman, Simon N.</t>
  </si>
  <si>
    <t>New Determination of Prey and Parasite Species for Northern Indian Ocean Blue Whales</t>
  </si>
  <si>
    <t>DNA metabarcoding; Sri Lanka; Northern Indian Ocean; feces; Sergestidae; Euphausiidae; acanthocephala; krill</t>
  </si>
  <si>
    <t>BALAENOPTERA-MUSCULUS; BALEEN WHALES; STENELLA-LONGIROSTRIS; POPULATION-STRUCTURE; FORAGING ECOLOGY; HUMPBACK WHALES; ST-LAWRENCE; KRILL; CONSERVATION; ZOOPLANKTON</t>
  </si>
  <si>
    <t>Blue whales are little studied, face significant anthropogenic threats and within the Northern Indian Ocean, have a restricted range, making them an archetype for conservation needs of megafauna around the world. We studied feeding behavior of blue whales using dietary DNA metabarcoding of fecal samples. While globally blue whale populations feed predominantly on Euphausiidae, 87% of prey DNA amplicons extracted from fecal samples from this population were sergestid shrimp, demonstrating that blue whales can locate and feed on dense swarms of other types of prey when they occur. Within the Indian Ocean sergestids are present within the top 300 m, which correlates with the deep scattering layer observed by hydroacoustics. Studies suggest that this requirement to dive deeper in search of prey likely explains the prevalence of fluke up diving within this population of blue whales relative to other parts of the globe. Furthermore, this study revealed the presence of acanthocephalan endoparasites within the stomach and intestines of the Northern Indian Ocean blue whales. This represents the first record of Acanthocephala in blue whales in the Northern Indian Ocean and highlights the need for further studies on both the ecto- and endoparasitic flora and monitoring of health of these cetaceans for their management and conservation.</t>
  </si>
  <si>
    <t>[de Vos, Asha] Sri Lankan Blue Whale Project &amp; Oceanswell, Colombo, Sri Lanka; [Faux, Cassandra E.; Marthick, James; Dickinson, Joanne] Univ Tasmania, Menzies Inst Med Res, Hobart, Tas, Australia; [Jarman, Simon N.] Curtin Univ, Trace &amp; Environm DNA Lab, Mol &amp; Life Sci, Perth, WA, Australia; [Jarman, Simon N.] CSIRO Natl Collect &amp; Marine Infrastruct, Environ Future Sci Platform, Crawley, WA, Australia</t>
  </si>
  <si>
    <t>University of Tasmania; Menzies Institute for Medical Research; Curtin University; Commonwealth Scientific &amp; Industrial Research Organisation (CSIRO)</t>
  </si>
  <si>
    <t>de Vos, A (corresponding author), Sri Lankan Blue Whale Project &amp; Oceanswell, Colombo, Sri Lanka.</t>
  </si>
  <si>
    <t>ashadevos@gmail.com</t>
  </si>
  <si>
    <t>Jarman, Simon/H-9265-2016</t>
  </si>
  <si>
    <t>Jarman, Simon/0000-0002-0792-9686</t>
  </si>
  <si>
    <t>Ocean Park Conservation Foundation, Hong Kong; University of Western Australia; Duke University Global Fellow's mini grant; Australian Antarctic Science [4014]</t>
  </si>
  <si>
    <t>Ocean Park Conservation Foundation, Hong Kong; University of Western Australia; Duke University Global Fellow's mini grant; Australian Antarctic Science</t>
  </si>
  <si>
    <t>The fieldwork and DNA extractions were conducted with funds from the Ocean Park Conservation Foundation, Hong Kong, a convocation travel grant from the University of Western Australia and a Duke University Global Fellow's mini grant. DNA metabarcoding analysis was funded by Australian Antarctic Science grant 4014.</t>
  </si>
  <si>
    <t>APR 6</t>
  </si>
  <si>
    <t>10.3389/fmars.2018.00104</t>
  </si>
  <si>
    <t>HJ3MP</t>
  </si>
  <si>
    <t>WOS:000457076200001</t>
  </si>
  <si>
    <t>Lenton, A; Matear, RJ; Keller, DP; Scott, V; Vaughan, NE</t>
  </si>
  <si>
    <t>Lenton, Andrew; Matear, Richard J.; Keller, David P.; Scott, Vivian; Vaughan, Naomi E.</t>
  </si>
  <si>
    <t>Assessing carbon dioxide removal through global and regional ocean alkalinization under high and low emission pathways</t>
  </si>
  <si>
    <t>ATMOSPHERIC CO2; EXPERIMENTAL PROTOCOL; CLIMATE-CHANGE; ACIDIFICATION; MODEL; CYCLE; CIRCULATION; SEAWATER; IMPACTS; SEQUESTRATION</t>
  </si>
  <si>
    <t>Atmospheric carbon dioxide (CO2) levels continue to rise, increasing the risk of severe impacts on the Earth system, and on the ecosystem services that it provides. Artificial ocean alkalinization (AOA) is capable of reducing atmospheric CO2 concentrations and surface warming and addressing ocean acidification. Here, we simulate global and regional responses to alkalinity (ALK) addition (0.25 PmolALK yr(-1)) over the period 20202100 using the CSIRO-Mk3L-COAL Earth System Model, under high (Representative Concentration Pathway 8.5; RCP8.5) and low (RCP2.6) emissions. While regionally there are large changes in alkalinity associated with locations of AOA, globally we see only a very weak dependence on where and when AOA is applied. On a global scale, while we see that under RCP2.6 the carbon uptake associated with AOA is only similar to 60% of the total, under RCP8.5 the relative changes in temperature are larger, as are the changes in pH (140 %) and aragonite saturation state (170 %). The simulations reveal AOA is more effective under lower emissions, therefore the higher the emissions the more AOA is required to achieve the same reduction in global warming and ocean acidification. Finally, our simulated AOA for 2020-2100 in the RCP2.6 scenario is capable of offsetting warming and ameliorating ocean acidification increases at the global scale, but with highly variable regional responses.</t>
  </si>
  <si>
    <t>[Lenton, Andrew; Matear, Richard J.] CSIRO Oceans &amp; Atmosphere, Hobart, Tas, Australia; [Lenton, Andrew] Antarctic Climate &amp; Ecosyst Cooperat Res Ctr, Hobart, Tas, Australia; [Keller, David P.] GEOMAR Helmholtz Ctr Ocean Res, Kiel, Germany; [Scott, Vivian] Univ Edinburgh, Sch Geosci, Edinburgh, Midlothian, Scotland; [Vaughan, Naomi E.] Univ East Anglia, Sch Environm Sci, Tyndall Ctr Climate Change Res, Norwich, Norfolk, England</t>
  </si>
  <si>
    <t>Commonwealth Scientific &amp; Industrial Research Organisation (CSIRO); Antarctic Climate &amp; Ecosystems Cooperative Research Centre (ACE CRC); Helmholtz Association; GEOMAR Helmholtz Center for Ocean Research Kiel; University of Edinburgh; University of East Anglia</t>
  </si>
  <si>
    <t>Lenton, A (corresponding author), CSIRO Oceans &amp; Atmosphere, Hobart, Tas, Australia.;Lenton, A (corresponding author), Antarctic Climate &amp; Ecosyst Cooperat Res Ctr, Hobart, Tas, Australia.</t>
  </si>
  <si>
    <t>andrew.lenton@csiro.au</t>
  </si>
  <si>
    <t>; Keller, David P./F-4864-2013; Lenton, Andrew/D-2077-2012; matear, richard/C-5133-2011</t>
  </si>
  <si>
    <t>Scott, Vivian/0000-0002-4599-194X; Vaughan, Naomi/0000-0002-4532-2084; Keller, David P./0000-0002-7546-4614; Lenton, Andrew/0000-0001-9437-8896; matear, richard/0000-0002-3225-0800</t>
  </si>
  <si>
    <t>German Research Foundation's [1689, KE 2149/2-1]</t>
  </si>
  <si>
    <t>German Research Foundation's(German Research Foundation (DFG))</t>
  </si>
  <si>
    <t>David P. Keller acknowledges funding received from the German Research Foundation's Priority Program 1689 Climate Engineering (project CDR-MIA; KE 2149/2-1). The authors also wish to thank Tom W. Trull and the three anonymous reviewers for their helpful comments that improved this manuscript.</t>
  </si>
  <si>
    <t>10.5194/esd-9-339-2018</t>
  </si>
  <si>
    <t>GB8WP</t>
  </si>
  <si>
    <t>WOS:000429356300001</t>
  </si>
  <si>
    <t>Grieger, J; Leckebusch, GC; Raible, CC; Rudeva, I; Simmonds, I</t>
  </si>
  <si>
    <t>Grieger, Jens; Leckebusch, Gregor C.; Raible, Christoph C.; Rudeva, Irina; Simmonds, Ian</t>
  </si>
  <si>
    <t>Subantarctic cyclones identified by 14 tracking methods, and their role for moisture transports into the continent</t>
  </si>
  <si>
    <t>TELLUS SERIES A-DYNAMIC METEOROLOGY AND OCEANOGRAPHY</t>
  </si>
  <si>
    <t>extra-tropical cyclones; IMILAST; cyclone identification; Antarctica; Southern Ocean</t>
  </si>
  <si>
    <t>SOUTHERN-HEMISPHERE CYCLONES; SEA-ICE; OBJECTIVE IDENTIFICATION; EXTRATROPICAL CYCLONES; NUMERICAL SCHEME; CLIMATE-CHANGE; STORM-TRACKS; DIGITAL DATA; VARIABILITY; REANALYSIS</t>
  </si>
  <si>
    <t>Extra-tropical cyclones in the subantarctic play a central role in the poleward transport of heat and moisture into Antarctica, with the latter being a key component of the mass balance of the Antarctic ice sheet. As the climate in this region undergoes substantial changes, it is anticipated that the character of these synoptic features will change. There are a number of different methods used to identify and track cyclones, which can potentially lead to different conclusions as to cyclone variability and trends, and mechanisms which drive these features. Given this, it is timely to assess the level of consensus among 14 state-of-the-art cyclone identification and tracking methods. We undertake this comparison with the ERA-Interim data-set for the period 1979-2008 and find large differences in the number of tracks identified by different methods, but the spatial patterns of the system density broadly agree. Links between large-scale modes of variability, such as the Southern Annular Mode (SAM), and subantarctic cyclones as suggested in the literature are confirmed by our analysis. Trends in the number of cyclone tracks show a more diverse picture. Robust trends are identified by almost all methods for austral summer over the region south to 60 degrees S, mainly due to the strong relation to SAM, whereas in austral winter the methods disagree in the statistical significance of the trends. The agreement among the methods is greater when the comparison is confined to the stronger cyclones. This is confirmed by a moisture flux analysis associated with these strong synoptic systems. Our results indicate that multiple cyclone identification and tracking methods should be used to obtain robust conclusions for trends in cyclone characteristics as well as their relation to the large-scale circulation in the subantarctic region.</t>
  </si>
  <si>
    <t>[Grieger, Jens] Free Univ Berlin, Inst Meteorol, Berlin, Germany; [Leckebusch, Gregor C.] Univ Birmingham, Sch Geog Earth &amp; Environm Sci, Birmingham, W Midlands, England; [Raible, Christoph C.] Univ Bern, Climate &amp; Environm Phys, Bern, Switzerland; [Raible, Christoph C.] Univ Bern, Oeschger Ctr Climate Change Res, Bern, Switzerland; [Rudeva, Irina; Simmonds, Ian] Univ Melbourne, Sch Earth Sci, Parkville, Vic, Australia; [Rudeva, Irina] RAS, PP Shirshov Inst Oceanol, Moscow, Russia</t>
  </si>
  <si>
    <t>Free University of Berlin; University of Birmingham; University of Bern; University of Bern; University of Melbourne; Russian Academy of Sciences; Shirshov Institute of Oceanology</t>
  </si>
  <si>
    <t>Grieger, J (corresponding author), Free Univ Berlin, Inst Meteorol, Berlin, Germany.</t>
  </si>
  <si>
    <t>jens.grieger@met.fu-berlin.de</t>
  </si>
  <si>
    <t>Leckebusch, Gregor/ABE-1058-2021; Raible, Christoph/M-8309-2016; Grieger, Jens/A-1107-2014</t>
  </si>
  <si>
    <t>Leckebusch, Gregor/0000-0001-9242-7682; Rudeva, Irina/0000-0001-9851-8198; Raible, Christoph/0000-0003-0176-0602; Grieger, Jens/0000-0003-0985-8479</t>
  </si>
  <si>
    <t>Australian Research Council [DP16010997]; Antarctic Science Advisory Committee [4080]; German Federal Ministry for Education and Research [FKZ: 01LP1520A]; EU Marie Curie CI Grant EVE [322208]; Schweizerischer Nationalfonds zur Forderung der Wissenschaftlichen Forschung [200020_172745]; Ministry of Education and Science of Russian Federation [14.613.21.0083, RFMEFI61317X0083]</t>
  </si>
  <si>
    <t>Australian Research Council(Australian Research Council); Antarctic Science Advisory Committee; German Federal Ministry for Education and Research(Federal Ministry of Education &amp; Research (BMBF)); EU Marie Curie CI Grant EVE(European Union (EU)); Schweizerischer Nationalfonds zur Forderung der Wissenschaftlichen Forschung(Swiss National Science Foundation (SNSF)); Ministry of Education and Science of Russian Federation(Ministry of Education and Science, Russian Federation)</t>
  </si>
  <si>
    <t>This work was supported by the Australian Research Council [grant number DP16010997]; Antarctic Science Advisory Committee [grant number 4080]; German Federal Ministry for Education and Research through the research program MiKlip (FKZ: 01LP1520A); EU Marie Curie CI Grant EVE [grant number 322208]; Schweizerischer Nationalfonds zur Forderung der Wissenschaftlichen Forschung [grant number 200020_172745] and by courtesy of the contract #14.613.21.0083 (ID RFMEFI61317X0083) with the Ministry of Education and Science of Russian Federation.</t>
  </si>
  <si>
    <t>STOCKHOLM UNIV PRESS</t>
  </si>
  <si>
    <t>STOCKHOLM</t>
  </si>
  <si>
    <t>STOCKHOLM UNIV LIBRARY, UNIVERSITETSVAGEN 14 D, STOCKHOLM, SE-106 91, SWEDEN</t>
  </si>
  <si>
    <t>1600-0870</t>
  </si>
  <si>
    <t>TELLUS A</t>
  </si>
  <si>
    <t>Tellus Ser. A-Dyn. Meteorol. Oceanogr.</t>
  </si>
  <si>
    <t>10.1080/16000870.2018.1454808</t>
  </si>
  <si>
    <t>GB8XV</t>
  </si>
  <si>
    <t>WOS:000429359500001</t>
  </si>
  <si>
    <t>Shi, GT; Hastings, MG; Yu, JH; Ma, TM; Hu, ZY; An, CL; Li, CJ; Ma, HM; Jiang, S; Li, YS</t>
  </si>
  <si>
    <t>Shi, Guitao; Hastings, Meredith G.; Yu, Jinhai; Ma, Tianming; Hu, Zhengyi; An, Chunlei; Li, Chuanjin; Ma, Hongmei; Jiang, Su; Li, Yuansheng</t>
  </si>
  <si>
    <t>Nitrate deposition and preservation in the snowpack along a traverse from coast to the ice sheet summit (Dome A) in East Antarctica</t>
  </si>
  <si>
    <t>SIZE-SEGREGATED AEROSOL; SURFACE MASS-BALANCE; SEA-SALT PARTICLES; REACTIVE NITROGEN; ATMOSPHERIC NITRATE; ZHONGSHAN STATION; CORE NITRATE; SOUTH-POLE; PART 2; ISOTOPIC CONSTRAINTS</t>
  </si>
  <si>
    <t>Antarctic ice core nitrate (NO3-) can provide a unique record of the atmospheric reactive nitrogen cycle. However, the factors influencing the deposition and preservation of NO3- at the ice sheet surface must first be understood. Therefore, an intensive program of snow and atmospheric sampling was made on a traverse from the coast to the ice sheet summit, Dome A, East Antarctica. Snow samples in this observation include 120 surface snow samples (top similar to 3 cm), 20 snow pits with depths of 150 to 300 cm, and 6 crystal ice samples (the topmost needle-like layer on Dome A plateau). The main purpose of this investigation is to characterize the distribution pattern and preservation of NO3- concentrations in the snow in different environments. Results show that an increasing trend of NO3- concentrations with distance inland is present in surface snow, and NO3- is extremely enriched in the topmost crystal ice (with a maximum of 16.1 mu eq L-1). NO3- concentration profiles for snow pits vary between coastal and inland sites. On the coast, the deposited NO3- was largely preserved, and the archived NO3- fluxes are dominated by snow accumulation. The relationship between the archived NO3- and snow accumulation rate can be depicted well by a linear model, suggesting a homogeneity of atmospheric NO3- levels. It is estimated that dry deposition contributes 27-44% of the archived NO3- fluxes, and the dry deposition velocity and scavenging ratio for NO3- were relatively constant near the coast. Compared to the coast, the inland snow shows a relatively weak correlation between archived NO3- and snow accumulation, and the archived NO3- fluxes were more dependent on concentration. The relationship between NO3- and coexisting ions (nssSO(4)(2-), Na+ and Cl- ) was also investigated, and the results show a correlation between nssSO(4)(2-) (fine aerosol particles) and NO3- in surface snow, while the correlation between NO3- and Na+ (mainly associated with coarse aerosol particles) is not significant. In inland snow, there were no significant relationships found between NO3- and the coexisting ions, suggesting a dominant role of NO3- recycling in determining the concentrations.</t>
  </si>
  <si>
    <t>[Shi, Guitao] East China Normal Univ, Sch Geog Sci, Minist Educ, Key Lab Geog Informat Sci, Shanghai 200241, Peoples R China; [Shi, Guitao] East China Normal Univ, Inst Ecochongming, Shanghai 200241, Peoples R China; [Shi, Guitao; Yu, Jinhai; Ma, Tianming; Hu, Zhengyi; An, Chunlei; Ma, Hongmei; Jiang, Su; Li, Yuansheng] Polar Res Inst China, Key Lab Polar Sci State Ocean Adm, Shanghai 200062, Peoples R China; [Hastings, Meredith G.] Brown Univ, Dept Earth Environm &amp; Planetary Sci, Providence, RI 02912 USA; [Hastings, Meredith G.] Brown Univ, Inst Brown Environm &amp; Soc, Providence, RI 02912 USA; [Yu, Jinhai] Nanjing Univ, Sch Geog &amp; Oceanog Sci, Nanjing 210023, Jiangsu, Peoples R China; [Ma, Tianming] Tongji Univ, Sch Ocean &amp; Earth Sci, Shanghai 200092, Peoples R China; [Li, Chuanjin] Chinese Acad Sci, Northwest Inst Ecoenvironm &amp; Resources, State Key Lab Cryospher Sci, Lanzhou 730000, Gansu, Peoples R China</t>
  </si>
  <si>
    <t>East China Normal University; East China Normal University; Polar Research Institute of China; Brown University; Brown University; Nanjing University; Tongji University; Chinese Academy of Sciences</t>
  </si>
  <si>
    <t>Shi, GT (corresponding author), East China Normal Univ, Sch Geog Sci, Minist Educ, Key Lab Geog Informat Sci, Shanghai 200241, Peoples R China.;Shi, GT (corresponding author), East China Normal Univ, Inst Ecochongming, Shanghai 200241, Peoples R China.;Shi, GT (corresponding author), Polar Res Inst China, Key Lab Polar Sci State Ocean Adm, Shanghai 200062, Peoples R China.;Hastings, MG (corresponding author), Brown Univ, Dept Earth Environm &amp; Planetary Sci, Providence, RI 02912 USA.;Hastings, MG (corresponding author), Brown Univ, Inst Brown Environm &amp; Soc, Providence, RI 02912 USA.</t>
  </si>
  <si>
    <t>gt_shi@163.com; meredith_hastings@brown.edu</t>
  </si>
  <si>
    <t>Hastings, Meredith G/C-6199-2008</t>
  </si>
  <si>
    <t>Shi, Guitao/0000-0003-1702-6322</t>
  </si>
  <si>
    <t>National Science Foundation of China [41576190, 41206188, 41476169]; National Key Research and Development Program of China [2016YFA0302204]; Fundamental Research Funds for the Central Universities; Chinese Polar Environment Comprehensive Investigation and Assessment Programmes [CHINARE 201X-02-02, 201X-04-01]</t>
  </si>
  <si>
    <t>National Science Foundation of China(National Natural Science Foundation of China (NSFC)); National Key Research and Development Program of China; Fundamental Research Funds for the Central Universities(Fundamental Research Funds for the Central Universities); Chinese Polar Environment Comprehensive Investigation and Assessment Programmes</t>
  </si>
  <si>
    <t>This project was supported by the National Science Foundation of China (grant nos. 41576190, 41206188, and 41476169), the National Key Research and Development Program of China (grant no. 2016YFA0302204), the Fundamental Research Funds for the Central Universities and Chinese Polar Environment Comprehensive Investigation and Assessment Programmes (grant nos. CHINARE 201X-02-02 and 201X-04-01). The authors appreciate the CHINARE inland members for providing help during sampling. The authors would like to thank Joel Savarino and two anonymous referees for their help .in the development and improvement of this paper.</t>
  </si>
  <si>
    <t>APR 5</t>
  </si>
  <si>
    <t>10.5194/tc-12-1177-2018</t>
  </si>
  <si>
    <t>GB7HB</t>
  </si>
  <si>
    <t>WOS:000429244400001</t>
  </si>
  <si>
    <t>Schmidt, K; Brown, TA; Belt, ST; Ireland, LC; Taylor, KWR; Thorpe, SE; Ward, P; Atkinson, A</t>
  </si>
  <si>
    <t>Schmidt, Katrin; Brown, Thomas A.; Belt, Simon T.; Ireland, Louise C.; Taylor, Kyle W. R.; Thorpe, Sally E.; Ward, Peter; Atkinson, Angus</t>
  </si>
  <si>
    <t>Do pelagic grazers benefit from sea ice? Insights from the Antarctic sea ice proxy IPSO25</t>
  </si>
  <si>
    <t>KRILL EUPHAUSIA-SUPERBA; STABLE-ISOTOPE ANALYSIS; WINTER PACK-ICE; CLIMATE-CHANGE; SOUTHERN-OCEAN; FATTY-ACID; WEDDELL SEA; BERING-SEA; SCOTIA SEA; FOOD-WEB</t>
  </si>
  <si>
    <t>Sea ice affects primary production in polar regions in multiple ways. It can dampen water column productivity by reducing light or nutrient supply, provide a habitat for ice algae and condition the marginal ice zone (MIZ) for phytoplankton blooms on its seasonal retreat. The relative importance of three different carbon sources (sea ice derived, sea ice conditioned, non-sea-ice associated) for the polar food web is not well understood, partly due to the lack of methods that enable their unambiguous distinction. Here we analysed two highly branched isoprenoid (HBI) biomarkers to trace sea-ice-derived and sea-ice-conditioned carbon in Antarctic krill (Euphausia superba) and relate their concentrations to the grazers' body reserves, growth and recruitment. During our sampling in January-February 2003, the proxy for sea ice diatoms (a di-unsaturated HBI termed IPSO25, delta C-13 = -12.5 +/- 3.3 parts per thousand) occurred in open waters of the western Scotia Sea, where seasonal ice retreat was slow. In suspended matter from surface waters, IPSO25 was present at a few stations close to the ice edge, but in krill the marker was widespread. Even at stations that had been ice-free for several weeks, IPSO25 was found in krill stomachs, suggesting that they gathered the ice-derived algae from below the upper mixed layer. Peak abundances of the proxy for MIZ diatoms (a tri-unsaturated HBI termed HBI III, delta C-13 = -42.2 +/- 2.4 parts per thousand) occurred in regions of fast sea ice retreat and persistent salinity-driven stratification in the eastern Scotia Sea. Krill sampled in the area defined by the ice edge bloom likewise contained high amounts of HBI III. As indicators for the grazer's performance we used the mass-length ratio, size of digestive gland and growth rate for krill, and recruitment for the biomass-dominant calanoid copepods Calanoides acutus and Calanus propinquus. These indices consistently point to blooms in the MIZ as an important feeding ground for pelagic grazers. Even though ice-conditioned blooms are of much shorter duration than blooms downstream of the permanently sea-ice-free South Georgia, they enabled fast growth and offspring development. Our study shows two rarely considered ways that pelagic grazers may benefit from sea ice: firstly, after their release from sea ice, suspended or sinking ice algae can supplement the grazers' diet if phytoplankton concentrations are low. Secondly, conditioning effects of seasonal sea ice can promote pelagic primary production and therefore food availability in spring and summer.</t>
  </si>
  <si>
    <t>[Schmidt, Katrin; Brown, Thomas A.; Belt, Simon T.] Univ Plymouth, Sch Geog Earth &amp; Environm Sci, Plymouth PL4 8AA, Devon, England; [Brown, Thomas A.] Scottish Assoc Marine Sci, Marine Ecol &amp; Chem, Oban PA37 1QA, Argyll, Scotland; [Ireland, Louise C.; Thorpe, Sally E.; Ward, Peter] British Antarctic Survey, Nat Environm Res Council, Madingley Rd, Cambridge CB3 0ET, England; [Taylor, Kyle W. R.] Elementar UK Ltd, Isoprime House,Earl Rd, Stockport SK8 6PT, Lancs, England; [Atkinson, Angus] Plymouth Marine Lab, Prospect Pl, Plymouth PL1 3DH, Devon, England</t>
  </si>
  <si>
    <t>University of Plymouth; UHI Millennium Institute; UK Research &amp; Innovation (UKRI); Natural Environment Research Council (NERC); NERC British Antarctic Survey; Plymouth Marine Laboratory</t>
  </si>
  <si>
    <t>Brown, TA; Belt, ST (corresponding author), Univ Plymouth, Sch Geog Earth &amp; Environm Sci, Plymouth PL4 8AA, Devon, England.;Brown, TA (corresponding author), Scottish Assoc Marine Sci, Marine Ecol &amp; Chem, Oban PA37 1QA, Argyll, Scotland.</t>
  </si>
  <si>
    <t>thomas.brown@sams.ac.uk; s.belt@plymouth.ac.uk</t>
  </si>
  <si>
    <t>Atkinson, Angus/HOH-3417-2023</t>
  </si>
  <si>
    <t>Brown, Thomas/0000-0003-0322-474X; Thorpe, Sally/0000-0002-5193-6955</t>
  </si>
  <si>
    <t>Leverhulme Trust (UK) [RPG-2014-021]; NERC; Department for Environment, Food and Rural Affairs (DEFRA) [NE/L 003279/1]; NERC [bas0100035, NE/L003279/1] Funding Source: UKRI</t>
  </si>
  <si>
    <t>Leverhulme Trust (UK)(Leverhulme Trust); NERC(UK Research &amp; Innovation (UKRI)Natural Environment Research Council (NERC)); Department for Environment, Food and Rural Affairs (DEFRA)(Department for Environment, Food &amp; Rural Affairs (DEFRA)); NERC(UK Research &amp; Innovation (UKRI)Natural Environment Research Council (NERC))</t>
  </si>
  <si>
    <t>We thank the officers, crew and scientists on board the RRS James Clark Ross for their professional support during JR82. We acknowledge the MODIS mission scientists and associated NASA personnel for the production of data in the Giovanni online data system. We thank Rebecca Korb for providing size-fractionated chl a measurements, Nathan Cunningham for supplying oceanographic data, and Patricia Cabedo-Sanz and Lukas Smik for help with lab work. Comments from Kim Bernard, an anonymous reviewer and the Associate Editor Jack Middelburg were much appreciated. This study was supported by a research project grant (RPG-2014-021) awarded by the Leverhulme Trust (UK) to Simon T. Belt. Angus Atkinson was part-funded by NERC and Department for Environment, Food and Rural Affairs (DEFRA) grant NE/L 003279/1 (Marine Ecosystems Research Program).</t>
  </si>
  <si>
    <t>APR 4</t>
  </si>
  <si>
    <t>10.5194/bg-15-1987-2018</t>
  </si>
  <si>
    <t>GB6DA</t>
  </si>
  <si>
    <t>Green Accepted, gold, Green Submitted</t>
  </si>
  <si>
    <t>WOS:000429157700003</t>
  </si>
  <si>
    <t>Ronsmans, G; Wespes, C; Hurtmans, D; Clerbaux, C; Coheur, PF</t>
  </si>
  <si>
    <t>Ronsmans, Gaetane; Wespes, Catherine; Hurtmans, Daniel; Clerbaux, Cathy; Coheur, Pierre-Francois</t>
  </si>
  <si>
    <t>Spatio-temporal variations of nitric acid total columns from 9 years of IASI measurements - a driver study</t>
  </si>
  <si>
    <t>QUASI-BIENNIAL OSCILLATION; ANTARCTIC OZONE-HOLE; STRATOSPHERIC CLOUD FORMATION; TROPICAL LOWER STRATOSPHERE; SOLAR-CYCLE; PART 1; HETEROGENEOUS CHEMISTRY; INTERANNUAL VARIATIONS; AIRCRAFT MEASUREMENTS; ATMOSPHERIC DYNAMICS</t>
  </si>
  <si>
    <t>This study aims to understand the spatial and temporal variability of HNO3 total columns in terms of explanatory variables. To achieve this, multiple linear regressions are used to fit satellite-derived time series of HNO3 daily averaged total columns. First, an analysis of the IASI 9-year time series (2008-2016) is conducted based on various equivalent latitude bands. The strong and systematic denitrification of the southern polar stratosphere is observed very clearly. It is also possible to distinguish, within the polar vortex, three regions which are differently affected by the denitrification. Three exceptional denitrification episodes in 2011, 2014 and 2016 are also observed in the Northern Hemisphere, due to unusually low arctic temperatures. The time series are then fitted by multivariate regressions to identify what variables are responsible for HNO3 variability in global distributions and time series, and to quantify their respective influence. Out of an ensemble of proxies (annual cycle, solar flux, quasi-biennial oscillation, multivariate ENSO index, Arctic and Antarctic oscillations and volume of polar stratospheric clouds), only the those defined as significant (p value &lt; 0.05) by a selection algorithm are retained for each equivalent latitude band. Overall, the regression gives a good representation of HNO3 variability, with especially good results at high latitudes (60-80% of the observed variability explained by the model). The regressions show the dominance of annual variability in all latitudinal bands, which is related to specific chemistry and dynamics depending on the latitudes. We find that the polar stratospheric clouds (PSCs) also have a major influence in the polar regions, and that their inclusion in the model improves the correlation coefficients and the residuals. However, there is still a relatively large portion of HNO3 variability that remains unexplained by the model, especially in the intertropical regions, where factors not included in the regression model (such as vegetation fires or lightning) may be at play.</t>
  </si>
  <si>
    <t>[Ronsmans, Gaetane; Wespes, Catherine; Hurtmans, Daniel; Clerbaux, Cathy; Coheur, Pierre-Francois] Univ Libre Bruxelles ULB, Fac Sci Chim Quant &amp; Photophys, Brussels, Belgium; [Clerbaux, Cathy] UPMC Univ Paris 06, Sorbonne Univ, LATMOS IPSL, UVSQ,CNRS, Paris, France</t>
  </si>
  <si>
    <t>Universite Libre de Bruxelles; Universite Paris Cite; Universite Paris Saclay; Sorbonne Universite; Centre National de la Recherche Scientifique (CNRS)</t>
  </si>
  <si>
    <t>Ronsmans, G (corresponding author), Univ Libre Bruxelles ULB, Fac Sci Chim Quant &amp; Photophys, Brussels, Belgium.</t>
  </si>
  <si>
    <t>gronsman@ulb.ac.be</t>
  </si>
  <si>
    <t>clerbaux, cathy/I-5478-2013</t>
  </si>
  <si>
    <t>F.R.S.-FNRS; Belgian State Federal Office for Scientific, Technical and Cultural Affairs [4000111403 IASI.FLOW]; EUMETSAT through the Satellite Application Facility on Atmospheric Composition Monitoring (ACSAF); Fonds pour la Formation a la Recherche dans l'Industrie et dans l'Agriculture of Belgium; CNES</t>
  </si>
  <si>
    <t>F.R.S.-FNRS(Fonds de la Recherche Scientifique - FNRS); Belgian State Federal Office for Scientific, Technical and Cultural Affairs; EUMETSAT through the Satellite Application Facility on Atmospheric Composition Monitoring (ACSAF); Fonds pour la Formation a la Recherche dans l'Industrie et dans l'Agriculture of Belgium(Fonds de la Recherche Scientifique - FNRS); CNES(Centre National D'etudes Spatiales)</t>
  </si>
  <si>
    <t>IASI was developed and built under the responsibility of the Centre National d'Etudes Spatiales (CNES, France). It is flown on board the Metop satellites as part of the EUMETSAT Polar System. The research was funded by the F.R.S.-FNRS, the Belgian State Federal Office for Scientific, Technical and Cultural Affairs (Prodex arrangement 4000111403 IASI.FLOW) and EUMETSAT through the Satellite Application Facility on Atmospheric Composition Monitoring (ACSAF). The authors would like to thank Ingo Wohltmann for the VPSC proxy and for useful discussions. Gaetane Ronsmans is grateful to the Fonds pour la Formation a la Recherche dans l'Industrie et dans l'Agriculture of Belgium for a PhD grant (Boursier FRIA). Cathy Clerbaux is grateful to CNES for financial support.</t>
  </si>
  <si>
    <t>APR 3</t>
  </si>
  <si>
    <t>10.5194/acp-18-4403-2018</t>
  </si>
  <si>
    <t>GB4DQ</t>
  </si>
  <si>
    <t>WOS:000429011100001</t>
  </si>
  <si>
    <t>Griessinger, J; Langhamer, L; Schneider, C; Sass, BL; Steger, D; Skvarca, P; Braun, MH; Meier, WJH; Srur, AM; Hochreuther, P</t>
  </si>
  <si>
    <t>Griessinger, Jussi; Langhamer, Lukas; Schneider, Christoph; Sass, Bjoern-Lukas; Steger, David; Skvarca, Pedro; Braun, Matthias H.; Meier, Wolfgang J. -H.; Srur, Ana M.; Hochreuther, Philipp</t>
  </si>
  <si>
    <t>Imprints of Climate Signals in a 204 Year δ18O Tree-Ring Record of Nothofagus pumilio From Perito Moreno Glacier, Southern Patagonia (50°S)</t>
  </si>
  <si>
    <t>tree-ring delta O-18; Nothofagus pumilio; Southern Patagonia; Perito Moreno Glacier; Southern Annular Mode (SAM); backward trajectory modeling; main weather types</t>
  </si>
  <si>
    <t>SOUTHEASTERN TIBETAN PLATEAU; STABLE-ISOTOPES; OXYGEN ISOTOPES; CELLULOSE DELTA-O-18; MODERN PRECIPITATION; CLOUD COVER; VARIABILITY; RECONSTRUCTIONS; FRACTIONATION; 20TH-CENTURY</t>
  </si>
  <si>
    <t>A 204 year-long record of delta O-18 in tree-ring cellulose of southern beech (Nothofagus pumilio) from a site near Perito Moreno Glacier (50:S) in Southern Patagonia was established to assess its potential for a climate reconstruction. The annually resolved oxygen isotope chronology is built out of seven individual tree-ring delta O-18 series with a significant mean inter-series correlation (r = 0.61) and is the first of its kind located in Southern America south of 50 degrees S. Over a common period from 1960 to 2013 of available stationary and high-resolution gridded CRU TS v. 4.01 data, the delta O-18 chronology exhibits a strong sensitivity toward hydroclimatic as well as temperature parameters as revealed by correlation analyses. Among these, positive correlations with maximum temperature in the first part of the summer season (CRU r(ONDJ) = 0.51, p &lt; 0.01) and negative correlations with precipitation in the latter half of the vegetation period (CRU r(ONDJ) = -0.54, p &lt; 0.01) show the highest sensitivities. A strong supra-regional influence of the Southern Annular Mode (SAM) is clearly recorded in this chronology as indicated by significant positive correlations during the vegetation period (r(ONDJ) = 0.62, p &lt; 0.01). This indicates that the presented delta O-18-chronology shows great promise to reconstruct the influence and variability of the SAM within the last two centuries in southern South America. The modulation of positive and negative anomalies within this series can be interlinked to changes in moisture source origin as revealed by backward trajectory modeling. Additionally, these anomalies can be directly associated to positive or negative phases of the Antarctic Oscillation Index (AAOI) and therefore the strength of the Westerlies. Aligned by the analysis on the influence of different main weather types on the delta O-18 chronology it is shown that such time-series hold the potential to additionally capture their respective influence and change during the last centuries.</t>
  </si>
  <si>
    <t>[Griessinger, Jussi; Sass, Bjoern-Lukas; Braun, Matthias H.; Meier, Wolfgang J. -H.; Hochreuther, Philipp] Friedrich Alexander Univ Erlangen Nurnberg, Inst Geog, Erlangen, Germany; [Langhamer, Lukas] Univ Innsbruck, Inst Atmospher &amp; Cryospher Sci, Innsbruck, Austria; [Schneider, Christoph; Steger, David] Humboldt Univ, Geog Dept, Berlin, Germany; [Skvarca, Pedro] Glaciarium Ctr Interpretac Glaciares, El Calafate, Argentina; [Srur, Ana M.] Consejo Nacl Invest Cient &amp; Tecn, Inst Argentino Nivol Glaciol &amp; Ciencias Ambiental, Mendoza, Argentina</t>
  </si>
  <si>
    <t>University of Erlangen Nuremberg; University of Innsbruck; Humboldt University of Berlin; Consejo Nacional de Investigaciones Cientificas y Tecnicas (CONICET)</t>
  </si>
  <si>
    <t>Griessinger, J (corresponding author), Friedrich Alexander Univ Erlangen Nurnberg, Inst Geog, Erlangen, Germany.</t>
  </si>
  <si>
    <t>jussi.griessinger@fau.de</t>
  </si>
  <si>
    <t>Grießinger, Jussi/D-6318-2013; Braun, Matthias H/S-4693-2016; Grießinger, Jussi/JAO-0179-2023; Schneider, Christoph/V-2150-2017; Braun, Matthias/A-4968-2009</t>
  </si>
  <si>
    <t>Grießinger, Jussi/0000-0001-6103-2071; Schneider, Christoph/0000-0002-9914-3217; Langhamer, Lukas/0000-0002-5020-5966; Srur, Ana M./0000-0001-8533-5296; Braun, Matthias/0000-0001-5169-1567; Meier, Wolfgang/0000-0002-3167-7570</t>
  </si>
  <si>
    <t>joint CONYCET-BMBF research project GABY-VASA [01DN15020]</t>
  </si>
  <si>
    <t>joint CONYCET-BMBF research project GABY-VASA</t>
  </si>
  <si>
    <t>This study was funded by the joint CONYCET-BMBF research project GABY-VASA (grant no. 01DN15020).</t>
  </si>
  <si>
    <t>10.3389/feart.2018.00027</t>
  </si>
  <si>
    <t>GG0RI</t>
  </si>
  <si>
    <t>WOS:000432385900001</t>
  </si>
  <si>
    <t>Zhang, ZH; An, ML; Miao, JL; Gu, ZQ; Liu, C; Zhong, BJ</t>
  </si>
  <si>
    <t>Zhang, Zhenhua; An, Meiling; Miao, Jinlai; Gu, Zhiqiang; Liu, Chang; Zhong, Bojian</t>
  </si>
  <si>
    <t>The Antarctic sea ice alga Chlamydomonas sp ICE-L provides insights into adaptive patterns of chloroplast evolution</t>
  </si>
  <si>
    <t>BMC PLANT BIOLOGY</t>
  </si>
  <si>
    <t>Antarctic ice algae; Positive selection; Photosynthesis; Convergent evolution</t>
  </si>
  <si>
    <t>CONVERGENT EVOLUTION; PHYLOGENETIC ANALYSIS; PHOTOSYNTHESIS; ALIGNMENT; PHOTOINHIBITION; SUBSTITUTIONS; ADAPTATION; SEQUENCE; MODEL; DEGRADATION</t>
  </si>
  <si>
    <t>Background: The ice alga Chlamydomonas sp. ICE-L is the main contributor to primary productivity in Antarctic sea ice ecosystems and is well adapted to the extremely harsh environment. However, the adaptive mechanism of Chlamydomonas sp. ICE-L to sea-ice environment remains unclear. To study the adaptive strategies in Chlamydomonas sp. ICE-L, we investigated the molecular evolution of chloroplast photosynthetic genes that are essential for the accumulation of carbohydrate and energy living in Antarctic sea ice. Results: The 60 chloroplast protein-coding genes of Chlamydomonas sp. ICE-L were obtained, and the branch-site test detected significant signatures of positive selection on atpB, psaB, and rbcL genes in Chlamydomonas sp. ICE-L associated with the photosynthetic machinery. These positively selected genes were further identified as being under convergent evolution between Chlamydomonas sp. ICE-L and the halotolerant alga Dunaliella salina. Conclusions: Our study provides evidence that the phototrophic component of Chlamydomonas sp. ICE-L exhibits adaptive evolution under extreme environment. The positive Darwinian selection operates on the chloroplast protein-coding genes of Antarctic ice algae adapted to extreme environment following functional-specific and lineages-specific patterns. In addition, three positively selected genes with convergent substitutions in Chlamydomonas sp. ICE-L were identified, and the adaptive modifications in these genes were in functionally important regions of the proteins. Our study provides a foundation for future experiments on the biochemical and physiological impacts of photosynthetic genes in green algae.</t>
  </si>
  <si>
    <t>[Zhang, Zhenhua; Gu, Zhiqiang; Zhong, Bojian] Nanjing Normal Univ, Coll Life Sci, Jiangsu Key Lab Biodivers &amp; Biotechnol, Nanjing, Jiangsu, Peoples R China; [An, Meiling; Miao, Jinlai] Qingdao Univ, Med Coll, Qingdao, Peoples R China; [Miao, Jinlai] State Ocean Adm, Inst Oceanog 1, Key Lab Marine Bioact Subst, Qingdao, Peoples R China; [Liu, Chang] China Pharmaceut Univ, Sch Life Sci &amp; Technol, State Key Lab Nat Med, Nanjing, Jiangsu, Peoples R China</t>
  </si>
  <si>
    <t>Nanjing Normal University; Qingdao University; First Institute of Oceanography, Ministry of Natural Resources; China Pharmaceutical University</t>
  </si>
  <si>
    <t>Zhong, BJ (corresponding author), Nanjing Normal Univ, Coll Life Sci, Jiangsu Key Lab Biodivers &amp; Biotechnol, Nanjing, Jiangsu, Peoples R China.</t>
  </si>
  <si>
    <t>bjzhong@gmail.com</t>
  </si>
  <si>
    <t>Zhong, Bojian/AAH-1236-2020; Zhang, Zhenhua/ITT-3269-2023</t>
  </si>
  <si>
    <t>Zhong, Bojian/0000-0002-6496-7646; Zhang, Zhenhua/0000-0001-8650-8881</t>
  </si>
  <si>
    <t>National Natural Science Foundation of China [31570219]; Natural Science Foundation of Jiangsu Province [BK20150971]; Jiangsu Province Key Project for Scientific Research [16KJA180002]; Six Talent Peaks Project of Jiangsu Province [16KJA180002]; Priority Academic Program Development of Jiangsu Higher Education Institutions (PAPD); Qing Lan Project</t>
  </si>
  <si>
    <t>National Natural Science Foundation of China(National Natural Science Foundation of China (NSFC)); Natural Science Foundation of Jiangsu Province(Natural Science Foundation of Jiangsu Province); Jiangsu Province Key Project for Scientific Research; Six Talent Peaks Project of Jiangsu Province; Priority Academic Program Development of Jiangsu Higher Education Institutions (PAPD); Qing Lan Project(Jiangsu Polytech Institute)</t>
  </si>
  <si>
    <t>This study was financially supported by the National Natural Science Foundation of China (31570219), the Natural Science Foundation of Jiangsu Province (BK20150971), the Jiangsu Province Key Project for Scientific Research (16KJA180002), the Six Talent Peaks Project of Jiangsu Province (16KJA180002), the Priority Academic Program Development of Jiangsu Higher Education Institutions (PAPD) and Qing Lan Project.</t>
  </si>
  <si>
    <t>1471-2229</t>
  </si>
  <si>
    <t>BMC PLANT BIOL</t>
  </si>
  <si>
    <t>BMC Plant Biol.</t>
  </si>
  <si>
    <t>10.1186/s12870-018-1273-x</t>
  </si>
  <si>
    <t>GB4YG</t>
  </si>
  <si>
    <t>WOS:000429068400001</t>
  </si>
  <si>
    <t>Guo, YD; Wang, NF; Li, GY; Rosas, G; Zang, JY; Ma, Y; Liu, J; Han, WB; Cao, HS</t>
  </si>
  <si>
    <t>Guo, Yudong; Wang, Nengfei; Li, Gaoyang; Rosas, Gabriela; Zang, Jiaye; Ma, Yue; Liu, Jie; Han, Wenbing; Cao, Huansheng</t>
  </si>
  <si>
    <t>Direct and Indirect Effects of Penguin Feces on Microbiomes in Antarctic Ornithogenic Soils</t>
  </si>
  <si>
    <t>Antarctica; geochemical properties; network; penguin; ornithogenic soil; microbiome</t>
  </si>
  <si>
    <t>BACTERIAL DIVERSITY; COMMUNITY; NITROGEN; REGION; NITRIFICATION; SEQUENCES</t>
  </si>
  <si>
    <t>Expansion of penguin activity in maritime Antarctica, under ice thaw, increases the chances of penguin feces affecting soil microbiomes. The detail of such effects begins to be revealed. By comparing soil geochemistry and microbiome composition inside (one site) and outside (three sites) of the rookery, we found significant effects of penguin feces on both. First, penguin feces change soil geochemistry, causing increased moisture content (MC) of ornithogenic soils and nutrients C, N, P, and Si in the rookery compared to non-rookery sites, but not pH. Second, penguin feces directly affect microbiome composition in the rookery, not those outside. Specifically, we found 4,364 operational taxonomical units (OTUs) in 404 genera in six main phyla: Proteobacteria, Actinobacteria, Gemmatimonadetes, Acidobacteria, Chloroflexi, and Bacteroidetes. Although the diversity is similar among the four sites, the composition is different. For example, penguin rookery has a lower abundance of Acidobacteria, Chloroflexi, and Nitrospirae but a higher abundance of Bacteroidetes, Firmicutes, and Thermomicrobia. Strikingly, the family Clostridiaceae of Firmicutes of penguin-feces origin is most abundant in the rookery than non-rookery sites with two most abundant genera, Tissierella and Proteiniclasticum. Redundancy analysis showed all measured geochemical factors are significant in structuring microbiomes, with MC showing the highest correlation. We further extracted 21 subnetworks of microbes which contain 4,318 of the 4,364 OTUs using network analysis and are closely correlated with all geochemical factors except pH. Our finding f penguin feces, directly and indirectly, affects soil microbiome suggests an important role of penguins in soil geochemistry and microbiome structure of maritime Antarctica.</t>
  </si>
  <si>
    <t>[Guo, Yudong; Ma, Yue; Liu, Jie] Qingdao Univ Sci &amp; Technol, Dept Bioengn, Coll Marine Sci &amp; Biol Engn, Qingdao, Peoples R China; [Wang, Nengfei; Zang, Jiaye] State Ocean Adm, Inst Oceanog 1, Key Lab Marine Bioact Subst, Qingdao, Peoples R China; [Li, Gaoyang] Jilin Univ, Coll Comp Sci &amp; Technol, Changchun, Jilin, Peoples R China; [Rosas, Gabriela; Cao, Huansheng] Arizona State Univ, Biodesign Inst, Ctr Fundamental &amp; Appl Microbiom, Tempe, AZ 85281 USA; [Han, Wenbing] Qingdao Univ, Coll Chem &amp; Chem Engn, Qingdao, Peoples R China</t>
  </si>
  <si>
    <t>Qingdao University of Science &amp; Technology; First Institute of Oceanography, Ministry of Natural Resources; Jilin University; Arizona State University; Arizona State University-Tempe; Qingdao University</t>
  </si>
  <si>
    <t>Wang, NF (corresponding author), State Ocean Adm, Inst Oceanog 1, Key Lab Marine Bioact Subst, Qingdao, Peoples R China.;Cao, HS (corresponding author), Arizona State Univ, Biodesign Inst, Ctr Fundamental &amp; Appl Microbiom, Tempe, AZ 85281 USA.</t>
  </si>
  <si>
    <t>wangnengfei@fio.org.cn; hshcao@asu.edu</t>
  </si>
  <si>
    <t>Li, Gaoyang/I-4482-2019</t>
  </si>
  <si>
    <t>Li, Gaoyang/0000-0001-6837-0719</t>
  </si>
  <si>
    <t>National Natural Science Foundation of China [41776198]; Key Research Program of Shandong Province [2015GSF115004]; Chinese Polar Environment Comprehensive Investigation and Assessment Programmers [02-01]</t>
  </si>
  <si>
    <t>National Natural Science Foundation of China(National Natural Science Foundation of China (NSFC)); Key Research Program of Shandong Province; Chinese Polar Environment Comprehensive Investigation and Assessment Programmers</t>
  </si>
  <si>
    <t>This research was supported by National Natural Science Foundation of China (No. 41776198), the Key Research Program of Shandong Province (No. 2015GSF115004) and Chinese Polar Environment Comprehensive Investigation and Assessment Programmers (No. 02-01).</t>
  </si>
  <si>
    <t>10.3389/fmicb.2018.00552</t>
  </si>
  <si>
    <t>GB4JO</t>
  </si>
  <si>
    <t>WOS:000429026600001</t>
  </si>
  <si>
    <t>Miller, BS; Miller, EJ</t>
  </si>
  <si>
    <t>Miller, Brian S.; Miller, Elanor J.</t>
  </si>
  <si>
    <t>The seasonal occupancy and diel behaviour of Antarctic sperm whales revealed by acoustic monitoring</t>
  </si>
  <si>
    <t>HIGH-LATITUDE HABITAT; PHYSETER-MACROCEPHALUS; DIVING BEHAVIOR; FORAGING BEHAVIOR; KILLER WHALES; BEAM PATTERN; CLICK RATES; ECHOLOCATION; POPULATION; KAIKOURA</t>
  </si>
  <si>
    <t>The seasonal occupancy and diel behaviour of sperm whales (Physeter macrocephalus) was investigated using data from long-term acoustic recorders deployed off east Antarctica. An automated method for investigating acoustic presence of sperm whales was developed, characterised, and applied to multi-year acoustic datasets at three locations. Instead of focusing on the acoustic properties of detected clicks, the method relied solely on the inter-click-interval (ICI) for determining presence within an hourlong recording. Parameters for our classifier were informed by knowledge of typical vocal behaviour of sperm whales. Sperm whales were detected predominantly from Dec-Feb, occasionally in Nov, Mar, Apr, and May, but never in the Austral winter or early spring months. Ice cover was found to have a statistically significant negative effect on sperm whale presence. In ice-free months sperm whales were detected more often during daylight hours and were seldom detected at night, and this effect was also statistically significant. Seasonal presence at the three east Antarctic recording sites were in accord with what has been inferred from 20th century whale catches off western Antarctica and from stomach contents of whales caught off South Africa.</t>
  </si>
  <si>
    <t>[Miller, Brian S.] Australian Antarctic Div, Kingston, Tas, Australia; [Miller, Elanor J.] E Miller Consulting, Hobart, Tas, Australia</t>
  </si>
  <si>
    <t>Australian Antarctic Division</t>
  </si>
  <si>
    <t>Miller, BS (corresponding author), Australian Antarctic Div, Kingston, Tas, Australia.</t>
  </si>
  <si>
    <t>Brian.Miller@aad.gov.au</t>
  </si>
  <si>
    <t>Miller, Brian/0000-0001-7615-3044</t>
  </si>
  <si>
    <t>Australian Antarctic Science Projects [4101, 4102]</t>
  </si>
  <si>
    <t>Australian Antarctic Science Projects</t>
  </si>
  <si>
    <t>Thanks to Jason Gedamke, Mark Milnes, and Steve Whiteside and the AAD's Science Technology Support (STS) group for development of the acoustic recorders used in this study. Thanks to Nicki Wicks, AAD STS, the crew of the RV Aurora Australis, and all those involved in providing operational and field support for deployment and recovery of recorders. Thanks to Natalie Kelly, Bill de la Mare, John McKinlay, Simon Wotherspoon, Gabrielle Nowara, Ben Raymond, Martin Cox, and Mike Double for their constructive input on specific aspects of this manuscript. We also thank the two reviewers for their thoughtful and constructive feedback on this manuscript. Data from acoustic recorders were collected under Australian Antarctic Science Projects 4101 &amp; 4102 and the Acoustic Trends Project of the International Whaling Commission's Southern Ocean Research Partnership (IWC-SORP). All data collected under these programs were from non-lethal methods and were collected under authorization of the Australian Antarctic Division in accordance with section 12D of the Antarctic Treaty (Environment Protection) Act 1980.</t>
  </si>
  <si>
    <t>10.1038/s41598-018-23752-1</t>
  </si>
  <si>
    <t>GB3XP</t>
  </si>
  <si>
    <t>WOS:000428994100022</t>
  </si>
  <si>
    <t>Moreau, C; Mah, C; Agüera, A; Améziane, N; Barnes, D; Crokaert, G; Eléaume, M; Griffiths, H; Guillaumot, C; Hemery, LG; Jazdzewska, A; Jossart, Q; Laptikhovsky, V; Linse, K; Neill, K; Sands, C; Saucède, T; Schiaparelli, S; Sicinski, J; Vasset, N; Danis, B</t>
  </si>
  <si>
    <t>Moreau, Camille; Mah, Christopher; Aguera, Antonio; Ameziane, Nadia; Barnes, David; Crokaert, Guillaume; Eleaume, Marc; Griffiths, Huw; Guillaumot, Charlene; Hemery, Lenaig G.; Jazdzewska, Anna; Jossart, Quentin; Laptikhovsky, Vladimir; Linse, Katrin; Neill, Kate; Sands, Chester; Saucede, Thomas; Schiaparelli, Stefano; Sicinski, Jacek; Vasset, Noemie; Danis, Bruno</t>
  </si>
  <si>
    <t>Antarctic and Sub-Antarctic Asteroidea database</t>
  </si>
  <si>
    <t>Antarctic; Asteroidea; presence-only data; Southern Ocean; Sub-Antarctic</t>
  </si>
  <si>
    <t>STAR ODONTASTER-VALIDUS; SEA STAR; MCMURDO SOUND; BENTHIC INVERTEBRATES; REPRODUCTIVE-BIOLOGY; POPULATION-STRUCTURE; LIFE-HISTORY; PORT FOSTER; ECHINODERMATA; ISLAND</t>
  </si>
  <si>
    <t>The present dataset is a compilation of georeferenced occurrences of asteroids (Echinodermata: Asteroidea) in the Southern Ocean. Occurrence data south of 45 degrees S latitude were mined from various sources together with information regarding the taxonomy, the sampling source and sampling sites when available. Records from 1872 to 2016 were thoroughly checked to ensure the quality of a dataset that reaches a total of 13,840 occurrences from 4,580 unique sampling events. Information regarding the reproductive strategy (brooders vs. broadcasters) of 63 species is also made available. This dataset represents the most exhaustive occurrence database on Antarctic and Sub-Antarctic asteroids.</t>
  </si>
  <si>
    <t>[Moreau, Camille; Aguera, Antonio; Crokaert, Guillaume; Guillaumot, Charlene; Jossart, Quentin; Danis, Bruno] Univ Libre Bruxelles, Marine Biol Lab, CP160-15,50, B-1050 Brussels, Belgium; [Moreau, Camille; Saucede, Thomas] UBFC, UMR CNRS Biogeosci 6282, 6 Blvd Gabriel, F-21000 Dijon, France; [Mah, Christopher] Smithsonian Inst, Natl Museum Nat Hist, Dept Invertebrate Zool, Washington, DC 20560 USA; [Ameziane, Nadia; Eleaume, Marc; Vasset, Noemie] Museum Natl Hist Nat, Stn Biol Marine, Pl Croix,BP 225 9182, Concarneau, France; [Barnes, David; Griffiths, Huw; Linse, Katrin; Sands, Chester] British Antarctic Survey, Madingley Rd, Cambridge CB3 0ET, England; [Eleaume, Marc; Hemery, Lenaig G.] UMR ISYEB MNHN CNRS UPMC EPHE 7205, Museum Natl Hist Nat, Dept Origines, CP51,57 Rue Cuvier, F-75231 Paris 05, France; [Jazdzewska, Anna; Sicinski, Jacek] Univ Lodz, Fac Biol &amp; Environm Protect, Dept Invertebrate Zool &amp; Hydrobiol, Lab Polar Biol &amp; Oceanobiol, 12-16 Banacha St, PL-90237 Lodz, Poland; [Jossart, Quentin] VUB, Marine Biol, Pl Laan 2, B-1050 Brussels, Belgium; [Laptikhovsky, Vladimir] Ctr Environm Fisheries &amp; Aquaculture Sci, Pakefield Rd, Lowestoft NR33 0HT, Suffolk, England; [Laptikhovsky, Vladimir] Shallow Marine Surveys Grp, POB 598, Stanley FIQQ 1ZZ, Falkland Island; [Neill, Kate] Natl Inst Water &amp; Atmospher Res, Coasts &amp; Oceans Ctr, 301 Evans Bay Parade, Wellington, New Zealand; [Schiaparelli, Stefano] Univ Genoa, Dipartimento Sci Terra Ambiente &amp; Vita DISTAV, Cso Europa 26, I-16132 Genoa, Italy</t>
  </si>
  <si>
    <t>Universite Libre de Bruxelles; Universite de Bourgogne; Smithsonian Institution; Smithsonian National Museum of Natural History; Museum National d'Histoire Naturelle (MNHN); UK Research &amp; Innovation (UKRI); Natural Environment Research Council (NERC); NERC British Antarctic Survey; Museum National d'Histoire Naturelle (MNHN); University of Lodz; Vrije Universiteit Brussel; Centre for Environment Fisheries &amp; Aquaculture Science; National Institute of Water &amp; Atmospheric Research (NIWA) - New Zealand; University of Genoa</t>
  </si>
  <si>
    <t>Moreau, C (corresponding author), Univ Libre Bruxelles, Marine Biol Lab, CP160-15,50, B-1050 Brussels, Belgium.;Moreau, C (corresponding author), UBFC, UMR CNRS Biogeosci 6282, 6 Blvd Gabriel, F-21000 Dijon, France.</t>
  </si>
  <si>
    <t>mr.moreau.camille@gmail.com</t>
  </si>
  <si>
    <t>Agüera, Antonio/O-5498-2017; Jazdzewska, Anna/AAK-4697-2020; Hemery, Lenaïg/AAA-5799-2021; Sicinski, Jacek/P-2033-2017; Danis, Bruno/AAS-8444-2021; Griffiths, Huw J/D-4234-2009</t>
  </si>
  <si>
    <t>Agüera, Antonio/0000-0003-0076-1849; Jazdzewska, Anna/0000-0003-2529-0641; Hemery, Lenaïg/0000-0001-5337-4514; Danis, Bruno/0000-0002-9037-7623; Griffiths, Huw J/0000-0003-1764-223X; Sands, Chester/0000-0003-1028-0328; Jossart, Quentin/0000-0002-2280-243X; Moreau, Camille/0000-0002-0981-7442; Sicinski, Jacek/0000-0002-5235-3188; Neill, Kate/0000-0002-1639-2403; Ameziane, Nadia/0000-0002-8546-9961</t>
  </si>
  <si>
    <t>Fonds pour la formation a la Recherche dans l'Industrie et l'Agriculture (FRIA); MNHN; Belgian Science Policy Office (BELSPO) [BR/132/A1/vERSO]; IPEV [1124 REVOLTA, 1044 PROTEKER]; NERC [bas0100036] Funding Source: UKRI</t>
  </si>
  <si>
    <t>Fonds pour la formation a la Recherche dans l'Industrie et l'Agriculture (FRIA)(Fonds de la Recherche Scientifique - FNRS); MNHN; Belgian Science Policy Office (BELSPO)(Belgian Federal Science Policy Office); IPEV; NERC(UK Research &amp; Innovation (UKRI)Natural Environment Research Council (NERC))</t>
  </si>
  <si>
    <t>This work was supported by a Fonds pour la formation a la Recherche dans l'Industrie et l'Agriculture (FRIA) grants to C.Moreau. C. Mah was funded by MNHN invited researcher grants (2013, 2014, 2015, 2016). This is contribution no. 16 to the vERSO project (www.versoproject.be), funded by the Belgian Science Policy Office (BELSPO, contract no BR/132/A1/vERSO). This is contribution to the IPEV programs no 1124 REVOLTA and no 1044 PROTEKER and to team SAMBA of the Biogeosciences laboratory. We are grateful to the crew and participants of all the cruises and research programs involved in the capture of the samples included in this dataset: POKER 2, REVOLTA 1 &amp; 2, CEAMARC, JR144, JR179, JR230, JR262, JR275, JR287, JR15005. We also thank the following institutions: California Academy of Sciences, Alfred Wegener Institute, Helmholtz Centre for Polar and Marine Research, Shallow Marine Surveys Group, University of Lodz, Museum national d'Histoire naturelle and University of Genoa, NIWA (National Institute of Water and Atmospheric Research) Invertebrate Collection.</t>
  </si>
  <si>
    <t>APR 2</t>
  </si>
  <si>
    <t>10.3897/zookeys.747.22751</t>
  </si>
  <si>
    <t>GB5JY</t>
  </si>
  <si>
    <t>WOS:000429101600001</t>
  </si>
  <si>
    <t>van de Water, JAJM; Allemand, D; Ferrier-Pagès, C</t>
  </si>
  <si>
    <t>van de Water, Jeroen A. J. M.; Allemand, Denis; Ferrier-Pages, Christine</t>
  </si>
  <si>
    <t>Host-microbe interactions in octocoral holobionts - recent advances and perspectives</t>
  </si>
  <si>
    <t>MICROBIOME</t>
  </si>
  <si>
    <t>Microbiome; Holobiont; Symbiodinium; Immunity; Bacteria; Fungi; Gorgonians; Octocoral; Soft coral</t>
  </si>
  <si>
    <t>SEA FAN CORAL; EUNICELLIN-BASED DITERPENOIDS; SOFT CORAL; BACTERIAL COMMUNITIES; GORGONIA-VENTALINA; ANTIMICROBIAL ACTIVITY; MASS-MORTALITY; RED-SEA; SP-NOV.; DINOFLAGELLATE SYMBIONT</t>
  </si>
  <si>
    <t>Octocorals are one of the most ubiquitous benthic organisms in marine ecosystems from the shallow tropics to the Antarctic deep sea, providing habitat for numerous organisms as well as ecosystem services for humans. In contrast to the holobionts of reef-building scleractinian corals, the holobionts of octocorals have received relatively little attention, despite the devastating effects of disease outbreaks on many populations. Recent advances have shown that octocorals possess remarkably stable bacterial communities on geographical and temporal scales as well as under environmental stress. This may be the result of their high capacity to regulate their microbiome through the production of antimicrobial and quorum-sensing interfering compounds. Despite decades of research relating to octocoral-microbe interactions, a synthesis of this expanding field has not been conducted to date. We therefore provide an urgently needed review on our current knowledge about octocoral holobionts. Specifically, we briefly introduce the ecological role of octocorals and the concept of holobiont before providing detailed overviews of (I) the symbiosis between octocorals and the algal symbiont Symbiodinium; (II) the main fungal, viral, and bacterial taxa associated with octocorals; (III) the dominance of the microbial assemblages by a few microbial species, the stability of these associations, and their evolutionary history with the host organism; (IV) octocoral diseases; (V) how octocorals use their immune system to fight pathogens; (VI) microbiome regulation by the octocoral and its associated microbes; and (VII) the discovery of natural products with microbiome regulatory activities. Finally, we present our perspectives on how the field of octocoral research should move forward, and the recognition that these organisms may be suitable model organisms to study coral-microbe symbioses.</t>
  </si>
  <si>
    <t>[van de Water, Jeroen A. J. M.; Allemand, Denis; Ferrier-Pages, Christine] Ctr Sci Monaco, 8 Quai Antoine 1er, MC-98000 Monaco, Monaco</t>
  </si>
  <si>
    <t>van de Water, JAJM (corresponding author), Ctr Sci Monaco, 8 Quai Antoine 1er, MC-98000 Monaco, Monaco.</t>
  </si>
  <si>
    <t>jvdewater@centrescientifique.mc</t>
  </si>
  <si>
    <t>van de Water, Jeroen A.J.M./F-1302-2011</t>
  </si>
  <si>
    <t>van de Water, Jeroen A.J.M./0000-0001-6974-2270</t>
  </si>
  <si>
    <t>Fondation Paul Hamel</t>
  </si>
  <si>
    <t>The funding was provided by the Fondation Paul Hamel.</t>
  </si>
  <si>
    <t>2049-2618</t>
  </si>
  <si>
    <t>Microbiome</t>
  </si>
  <si>
    <t>10.1186/s40168-018-0431-6</t>
  </si>
  <si>
    <t>GB2UN</t>
  </si>
  <si>
    <t>WOS:000428911300002</t>
  </si>
  <si>
    <t>Gavrilov, A</t>
  </si>
  <si>
    <t>Gavrilov, Alexander</t>
  </si>
  <si>
    <t>Propagation of Underwater Noise from an Offshore Seismic Survey in Australia to Antarctica: Measurements and Modelling</t>
  </si>
  <si>
    <t>ACOUSTICS AUSTRALIA</t>
  </si>
  <si>
    <t>Seismic survey; Underwater sound propagation; Antarctica</t>
  </si>
  <si>
    <t>ENVIRONMENTS; SOUND</t>
  </si>
  <si>
    <t>An offshore seismic survey was conducted over the western edge of the continental shelf in Bass Strait in 2006. Underwater noise from this survey was recorded on an autonomous sound recorder deployed in the Southern Ocean on the Antarctic continental slope. Sound emission and propagation models were verified by experimental measurements using parameters and position of the airgun array and characteristics of the underwater sound channel. A parabolic equation approximation method was used to calculate the sound field over the continental slope of Australia, and then, a normal mode model was employed to account for the transmission loss due to sound scattering by surface waves south of the polar front. The numerical predictions are consistent with the measurement results within a few dBs for the sound exposure and energy spectral density levels. It is also demonstrated by measurements and modelling that the best coupling of a near-surface sound source with the deep underwater sound channel takes place when the source is located over the continental slope at a sea depth of about half of the channel's axis depth. The model can be used to predict masking effects of man-made underwater noise on the communication environment of marine mammals in Antarctica.</t>
  </si>
  <si>
    <t>[Gavrilov, Alexander] Curtin Univ, Ctr Marine Sci &amp; Technol, Kent St, Bentley, WA, Australia</t>
  </si>
  <si>
    <t>Curtin University</t>
  </si>
  <si>
    <t>Gavrilov, A (corresponding author), Curtin Univ, Ctr Marine Sci &amp; Technol, Kent St, Bentley, WA, Australia.</t>
  </si>
  <si>
    <t>a.gavrilov@curtin.edu.au</t>
  </si>
  <si>
    <t>Gavrilov, Alexander N/B-2812-2013</t>
  </si>
  <si>
    <t>Gavrilov, Alexander/0000-0003-1907-458X</t>
  </si>
  <si>
    <t>German Federal Ministry for the Environment, Nature Conservation, Building and Nuclear Safety; Institute for Terrestrial and Aquatic Wildlife Research, University of Veterinary Medicine, Hannover</t>
  </si>
  <si>
    <t>This modelling study was funded by the German Federal Ministry for the Environment, Nature Conservation, Building and Nuclear Safety under a contract with the Institute for Terrestrial and Aquatic Wildlife Research, University of Veterinary Medicine, Hannover. The authors also acknowledge the effort and experience of the Australian Antarctic Division team led by Dr. Jason Gedamke who deployed and retrieved the underwater sound recorders in the Southern Ocean.</t>
  </si>
  <si>
    <t>1839-2571</t>
  </si>
  <si>
    <t>ACOUST AUST</t>
  </si>
  <si>
    <t>Acoust. Aust.</t>
  </si>
  <si>
    <t>APR</t>
  </si>
  <si>
    <t>10.1007/s40857-018-0131-1</t>
  </si>
  <si>
    <t>Acoustics</t>
  </si>
  <si>
    <t>GH8MJ</t>
  </si>
  <si>
    <t>WOS:000433922300014</t>
  </si>
  <si>
    <t>Lenaerts, JTM; Ligtenberg, SRM; Medley, B; Van de Berg, WJ; Konrad, H; Nicolas, JP; Van Wessem, JM; Trusel, LD; Mulvaney, R; Tuckwell, RJ; Hogg, AE; Thomas, ER</t>
  </si>
  <si>
    <t>Lenaerts, Jan T. M.; Ligtenberg, Stefan R. M.; Medley, Brooke; Van de Berg, Willem Jan; Konrad, Hannes; Nicolas, Julien P.; Van Wessem, J. Melchior; Trusel, Luke D.; Mulvaney, Robert; Tuckwell, Rebecca J.; Hogg, Anna E.; Thomas, Elizabeth R.</t>
  </si>
  <si>
    <t>Climate and surface mass balance of coastal West Antarctica resolved by regional climate modelling</t>
  </si>
  <si>
    <t>ANNALS OF GLACIOLOGY</t>
  </si>
  <si>
    <t>accumulation; Antarctic glaciology; ice/atmosphere interactions; snow/ice surface processes; surface mass budget</t>
  </si>
  <si>
    <t>AMUNDSEN SEA EMBAYMENT; GREENLAND ICE-SHEET; THWAITES GLACIER; SNOW ACCUMULATION; ENERGY BALANCE; AIRBORNE-RADAR; SUMMER MELT; PINE ISLAND; VARIABILITY; SHELF</t>
  </si>
  <si>
    <t>West Antarctic climate and surface mass balance (SMB) records are sparse. To fill this gap, regional atmospheric climate modelling is useful, providing that such models are employed at sufficiently high horizontal resolution and coupled with a snow model. Here we present the results of a high-resolution (5.5 km) regional atmospheric climate model (RACMO2) simulation of coastal West Antarctica for the period 1979-2015. We evaluate the results with available in situ weather observations, remote-sensing estimates of surface melt, and SMB estimates derived from radar and firn cores. Moreover, results are compared with those from a lower-resolution version, to assess the added value of the resolution. The high-resolution model resolves small-scale climate variability invoked by topography, such as the relatively warm conditions over ice-shelf grounding zones, and local wind speed accelerations. Surface melt and SMB are well reproduced by RACMO2. This dataset will prove useful for picking ice core locations, converting elevation changes to mass changes, for driving ocean, ice-sheet and coupled models, and for attributing changes in the West Antarctic Ice Sheet and shelves to changes in atmospheric forcing.</t>
  </si>
  <si>
    <t>[Lenaerts, Jan T. M.] Univ Colorado, Dept Atmospher &amp; Ocean Sci, Boulder, CO 80309 USA; [Lenaerts, Jan T. M.; Ligtenberg, Stefan R. M.; Van de Berg, Willem Jan; Van Wessem, J. Melchior] Univ Utrecht, Inst Marine &amp; Atmospher Res Utrecht, Utrecht, Netherlands; [Medley, Brooke] NASA, Cryospher Sci Lab, Goddard Space Flight Ctr, Greenbelt, MD USA; [Konrad, Hannes; Hogg, Anna E.] Univ Leeds, Ctr Polar Observat &amp; Modelling, Leeds, W Yorkshire, England; [Nicolas, Julien P.] Ohio State Univ, Byrd Polar &amp; Climate Res Ctr, Columbus, OH 43210 USA; [Trusel, Luke D.] Rowan Univ, Dept Geol, Glassboro, NJ USA; [Mulvaney, Robert; Tuckwell, Rebecca J.; Thomas, Elizabeth R.] British Antarctic Survey, Cambridge, England</t>
  </si>
  <si>
    <t>University of Colorado System; University of Colorado Boulder; Utrecht University; National Aeronautics &amp; Space Administration (NASA); NASA Goddard Space Flight Center; University System of Ohio; Ohio State University; Rowan University; UK Research &amp; Innovation (UKRI); Natural Environment Research Council (NERC); NERC British Antarctic Survey</t>
  </si>
  <si>
    <t>Lenaerts, JTM (corresponding author), Univ Colorado, Dept Atmospher &amp; Ocean Sci, Boulder, CO 80309 USA.;Lenaerts, JTM (corresponding author), Univ Utrecht, Inst Marine &amp; Atmospher Res Utrecht, Utrecht, Netherlands.</t>
  </si>
  <si>
    <t>Jan.Lenaerts@colorado.edu</t>
  </si>
  <si>
    <t>Lenaerts, Jan/D-9423-2012; van Wessem, Melchior/AAB-1987-2019; Thomas, Elizabeth Ruth/ADF-3660-2022; Trusel, Luke D/E-2578-2013; van de Berg, Willem Jan/H-4385-2011; Konrad, Hannes/H-7647-2013; Mulvaney, Robert/K-3929-2012; Ligtenberg, Stefan/AAF-8290-2020; Konrad, Hannes/A-1813-2016</t>
  </si>
  <si>
    <t>Lenaerts, Jan/0000-0003-4309-4011; Thomas, Elizabeth Ruth/0000-0002-3010-6493; van de Berg, Willem Jan/0000-0002-8232-2040; van Wessem, Melchior/0000-0003-3221-791X; Konrad, Hannes/0000-0002-5058-8637; Tuckwell, Rebecca/0000-0002-6389-3091; Trusel, Luke/0000-0002-7792-6173</t>
  </si>
  <si>
    <t>Netherlands Science Organization through the Innovational Research Incentives Scheme Veni; UK Natural Environment Research Council's iSTAR Programme; University of Wisconsin-Madison Automatic Weather Station Program; NSF [ANT-1543305]; NERC [NE/J005657/1, NE/J005681/1, cpom30001, bas0100034, NE/J00569X/1] Funding Source: UKRI</t>
  </si>
  <si>
    <t>Netherlands Science Organization through the Innovational Research Incentives Scheme Veni; UK Natural Environment Research Council's iSTAR Programme; University of Wisconsin-Madison Automatic Weather Station Program; NSF(National Science Foundation (NSF)); NERC(UK Research &amp; Innovation (UKRI)Natural Environment Research Council (NERC))</t>
  </si>
  <si>
    <t>J. T. M. L. and S. R. M. L. are funded by the Netherlands Science Organization through the Innovational Research Incentives Scheme Veni. H. K., R. M., R. J. T. and A. E. H. were supported by the UK Natural Environment Research Council's iSTAR Programme. The authors appreciate the support of the University of Wisconsin-Madison Automatic Weather Station Program for the data set, data display and information, NSF grant number ANT-1543305, and of the iSTAR management and field logistics. Data analysis and plotting were performed using the the NCAR Command Language (UCAR/NCAR/CISL/VETS, 2014) and the QGIS Quantarctica package developed by the Norwegian Polar Institute.</t>
  </si>
  <si>
    <t>EDINBURGH BLDG, SHAFTESBURY RD, CB2 8RU CAMBRIDGE, ENGLAND</t>
  </si>
  <si>
    <t>0260-3055</t>
  </si>
  <si>
    <t>1727-5644</t>
  </si>
  <si>
    <t>ANN GLACIOL</t>
  </si>
  <si>
    <t>Ann. Glaciol.</t>
  </si>
  <si>
    <t>10.1017/aog.2017.42</t>
  </si>
  <si>
    <t>GP4HH</t>
  </si>
  <si>
    <t>WOS:000440821000005</t>
  </si>
  <si>
    <t>Berrocoso, M; Prates, G; Fernández-Ros, A; Peci, LM; de Gil, A; Rosado, B; Páez, R; Jigena, B</t>
  </si>
  <si>
    <t>Berrocoso, M.; Prates, G.; Fernandez-Ros, A.; Peci, L. M.; de Gil, A.; Rosado, B.; Paez, R.; Jigena, B.</t>
  </si>
  <si>
    <t>Caldera unrest detected with seawater temperature anomalies at Deception Island, Antarctic Peninsula</t>
  </si>
  <si>
    <t>BULLETIN OF VOLCANOLOGY</t>
  </si>
  <si>
    <t>Caldera unrest; Seawater temperature anomalies; Deception Island; Antarctic Peninsula</t>
  </si>
  <si>
    <t>SOUTH SHETLAND ISLANDS; BRANSFIELD BASIN; CRATER LAKE; VOLCANIC-ERUPTIONS; WATER; DEFORMATION; HYDROGRAPHY; CONSTRAINTS; VARIABILITY; EVOLUTION</t>
  </si>
  <si>
    <t>Increased thermal activity was detected to coincide with the onset of volcano inflation in the seawater-filled caldera at Deception Island. This thermal activity was manifested in pulses of high water temperature that coincided with ocean tide cycles. The seawater temperature anomalies were detected by a thermometric sensor attached to the tide gauge (bottom pressure sensor). This was installed where the seawater circulation and the locations of known thermal anomalies, fumaroles and thermal springs, together favor the detection of water warmed within the caldera. Detection of the increased thermal activity was also possible because sea ice, which covers the entire caldera during the austral winter months, insulates the water and thus reduces temperature exchange between seawater and atmosphere. In these conditions, the water temperature data has been shown to provide significant information about Deception volcano activity. The detected seawater temperature increase, also observed in soil temperature readings, suggests rapid and near-simultaneous increase in geothermal activity with onset of caldera inflation and an increased number of seismic events observed in the following austral summer.</t>
  </si>
  <si>
    <t>[Berrocoso, M.; Prates, G.; Fernandez-Ros, A.; Peci, L. M.; de Gil, A.; Rosado, B.; Paez, R.; Jigena, B.] Univ Cadiz, Lab Astron Geodesia &amp; Cartog, Cadiz, Spain; [Prates, G.] Univ Lisbon, IGOT, Ctr Estudos Geog, Lisbon, Portugal; [Prates, G.] Univ Algarve, Inst Super Engn, Faro, Portugal</t>
  </si>
  <si>
    <t>Consejo Superior de Investigaciones Cientificas (CSIC); CSIC-UCM - Instituto de Astronomia y Geodesia (IAG); Universidad de Cadiz; Universidade de Lisboa; Universidade do Algarve</t>
  </si>
  <si>
    <t>Prates, G (corresponding author), Univ Cadiz, Lab Astron Geodesia &amp; Cartog, Cadiz, Spain.;Prates, G (corresponding author), Univ Lisbon, IGOT, Ctr Estudos Geog, Lisbon, Portugal.;Prates, G (corresponding author), Univ Algarve, Inst Super Engn, Faro, Portugal.</t>
  </si>
  <si>
    <t>gprates@ualg.pt</t>
  </si>
  <si>
    <t>Prates, Gonçalo/K-4018-2014; Páez Jiménez, Raúl/L-1041-2014; Sánchez, Luis M. Peci/K-5141-2014; Jigena-Antelo, Bismarck/N-8079-2015; BERROCOSO, MANUEL/O-3818-2014</t>
  </si>
  <si>
    <t>Prates, Gonçalo/0000-0001-5797-9158; Páez Jiménez, Raúl/0000-0003-4617-261X; Jigena-Antelo, Bismarck/0000-0002-4858-3415; BERROCOSO, MANUEL/0000-0002-1878-9658; Rosado Moscoso, Belen/0000-0003-1677-904X</t>
  </si>
  <si>
    <t>Spanish Ministry of Education and Science as part of the National Antarctic Program; [CGL2005-07589-C03-01/ANT]; [CTM2009-07251/ANT]</t>
  </si>
  <si>
    <t>Spanish Ministry of Education and Science as part of the National Antarctic Program; ;</t>
  </si>
  <si>
    <t>This geodetic research has been carried out with the support of the Spanish Ministry of Education and Science as part of the National Antarctic Program. The following research projects contributed directly to this work: Volcano-tectonic activity on Deception Island: geodetic, geophysical investigations and remote sensing on Deception Island and its surroundings (CGL2005-07589-C03-01/ANT) and Geodetic and geothermal researches, time serial analysis, and volcanic innovation in Antarctica (South Shetland Islands and Antarctic Peninsula (GEOTINANT) (CTM2009-07251/ANT). The contributions of both editors and of the reviewers Nicolas Fournier and Magnus T. Gudmundsson are very much appreciated, which greatly helped to improve the manuscript.</t>
  </si>
  <si>
    <t>0258-8900</t>
  </si>
  <si>
    <t>1432-0819</t>
  </si>
  <si>
    <t>B VOLCANOL</t>
  </si>
  <si>
    <t>Bull. Volcanol.</t>
  </si>
  <si>
    <t>10.1007/s00445-018-1216-2</t>
  </si>
  <si>
    <t>GB7MW</t>
  </si>
  <si>
    <t>WOS:000429259700001</t>
  </si>
  <si>
    <t>Spolaor, A; Angot, H; Roman, M; Dommergue, A; Scarchilli, C; Vardè, M; Del Guasta, M; Pedeli, X; Varin, C; Sprovieri, F; Magand, O; Legrand, M; Barbante, C; Cairns, WRL</t>
  </si>
  <si>
    <t>Spolaor, Andrea; Angot, Helene; Roman, Marco; Dommergue, Aurelien; Scarchilli, Claudio; Varde, Massimiliano; Del Guasta, Massimo; Pedeli, Xanthi; Varin, Cristiano; Sprovieri, Francesca; Magand, Olivier; Legrand, Michel; Barbante, Carlo; Cairns, Warren R. L.</t>
  </si>
  <si>
    <t>Feedback mechanisms between snow and atmospheric mercury: Results and observations from field campaigns on the Antarctic plateau</t>
  </si>
  <si>
    <t>CHEMOSPHERE</t>
  </si>
  <si>
    <t>Mercury; Antarctica; Dome C</t>
  </si>
  <si>
    <t>GASEOUS ELEMENTAL MERCURY; COASTAL DUMONT DURVILLE; SEA-ICE EXTENT; OXIDIZED MERCURY; DRY DEPOSITION; BOUNDARY-LAYER; POLAR SNOW; DOME C; SITES; OXIDATION</t>
  </si>
  <si>
    <t>The Antarctic Plateau snowpack is an important environment for the mercury geochemical cycle. We have extensively characterized and compared the changes in surface snow and atmospheric mercury concentrations that occur at Dome C. Three summer sampling campaigns were conducted between 2013 and 2016. The three campaigns had different meteorological conditions that significantly affected mercury deposition processes and its abundance in surface snow. In the absence of snow deposition events, the surface mercury concentration remained stable with narrow oscillations, while an increase in precipitation results in a higher mercury variability. The Hg concentrations detected confirm that snowfall can act as a mercury atmospheric scavenger. A high temporal resolution sampling experiment showed that surface concentration changes are connected with the diurnal solar radiation cycle. Mercury in surface snow is highly dynamic and it could decrease by up to 90% within 4/6 h. A negative relationship between surface snow mercury and atmospheric concentrations has been detected suggesting a mutual dynamic exchange between these two environments. Mercury concentrations were also compared with the Br concentrations in surface and deeper snow, results suggest that Br could have an active role in Hg deposition, particularly when air masses are from coastal areas. This research presents new information on the presence of Hg in surface and deeper snow layers, improving our understanding of atmospheric Hg deposition to the snow surface and the possible role of re-emission on the atmospheric Hg concentration. (C) 2018 Elsevier Ltd. All rights reserved.</t>
  </si>
  <si>
    <t>[Spolaor, Andrea; Roman, Marco; Varde, Massimiliano; Barbante, Carlo; Cairns, Warren R. L.] CNR, Inst Dynam Environm Proc IDPA, I-30172 Venice, Italy; [Angot, Helene; Dommergue, Aurelien; Magand, Olivier; Legrand, Michel] Univ Grenoble Alpes, CNRS, IRD, IGE, F-38000 Grenoble, France; [Scarchilli, Claudio] ENEA, CR Casaccia, I-00123 Rome, Italy; [Del Guasta, Massimo] CNR, INO, I-50019 Sesto Fiorentino, Italy; [Pedeli, Xanthi; Varin, Cristiano; Barbante, Carlo] Univ Ca Foscari Venice, Dept Environm Sci Informat &amp; Stat, I-30172 Venice, Italy; [Sprovieri, Francesca] CNR, Inst Atmospher Pollut Res IIA, Div Rende, I-87036 Arcavacata Di Rende, Italy; [Angot, Helene] MIT, Inst Data Syst &amp; Soc, Cambridge, MA 02139 USA</t>
  </si>
  <si>
    <t>Consiglio Nazionale delle Ricerche (CNR); Istituto per la Dinamica dei Processi Ambientali (IDPA-CNR); Communaute Universite Grenoble Alpes; Universite Grenoble Alpes (UGA); Centre National de la Recherche Scientifique (CNRS); Institut de Recherche pour le Developpement (IRD); Italian National Agency New Technical Energy &amp; Sustainable Economics Development; Consiglio Nazionale delle Ricerche (CNR); Istituto Nazionale di Ottica (INO-CNR); Universita Ca Foscari Venezia; Consiglio Nazionale delle Ricerche (CNR); Istituto Sull'inquinamento Atmosferico (IIA-CNR); Massachusetts Institute of Technology (MIT)</t>
  </si>
  <si>
    <t>Spolaor, A (corresponding author), CNR, Inst Dynam Environm Proc IDPA, I-30172 Venice, Italy.</t>
  </si>
  <si>
    <t>andrea.spolaor@unive.it</t>
  </si>
  <si>
    <t>Roman, Marco/HCI-7752-2022; Spolaor, Andrea/AAX-8808-2020; dommergue, aurelien/HLP-6539-2023; Legrand, Michel/AAU-4678-2020; Cairns, Warren/AAX-5018-2020; Pedeli, Xanthi/ABC-5899-2020; VARIN, CRISTIANO/E-8269-2015; Roman, Marco/ABC-7022-2020; VARIN, CRISTIANO/Q-4484-2018; Barbante, Carlo/B-3195-2011</t>
  </si>
  <si>
    <t>Spolaor, Andrea/0000-0001-8635-9193; dommergue, aurelien/0000-0002-8185-9604; Cairns, Warren/0000-0002-7128-7753; Roman, Marco/0000-0003-1289-8236; VARIN, CRISTIANO/0000-0002-5591-5705; Varde, Massimiliano/0000-0001-7180-2463; Barbante, Carlo/0000-0003-4177-2288; Pedeli, Xanthi/0000-0002-2627-2990; Scarchilli, Claudio/0000-0002-2414-2439</t>
  </si>
  <si>
    <t>Programma Nazionale per la Ricerca in Antartide (PNRA) [2013/AC3.03 PEA 2013-2015]; FP7 Global Mercury Observation System (GMOS) project; Labex OSUG (Investissements d'avenir) [ANR10 LABX56]; French Polar Institute IPEV [1028]; PNRA-MIUR</t>
  </si>
  <si>
    <t>Programma Nazionale per la Ricerca in Antartide (PNRA); FP7 Global Mercury Observation System (GMOS) project; Labex OSUG (Investissements d'avenir)(Agence Nationale de la Recherche (ANR)); French Polar Institute IPEV; PNRA-MIUR</t>
  </si>
  <si>
    <t>This work was supported by the Programma Nazionale per la Ricerca in Antartide (PNRA, project number 2013/AC3.03 PEA 2013-2015). Analytical instrument resources for the elements determination in the snow were provided by the Institute for the Dynamic of Environmental Process (IDPA-CNR) of the National Research Council. Atmospheric Hg measurements were also supported by the FP7 (2010-2015) Global Mercury Observation System (GMOS) project. This work contributed to the EU-FP7 project Global Mercury Observation System (GMOS, www.gmos.eu) and has been supported by a grant from Labex OSUG@2020 (Investissements d'avenir - ANR10 LABX56). Logistical and financial support was provided by the French Polar Institute IPEV (Program 1028, GMOstral). Helene Angot, Olivier Magand, and Aurelien Dommergue thank the overwintering crew: S. Aubin, A. Barbero, N. Hueber, C. Lenormant, R. Jacob, and P. Serre at DC. Calculations, model comparison and analysis have been conducted in the framework of the PRE-REC projects, funded by PNRA-MIUR. Data and meteorological information were obtained from IPEV/PNRA Project Routine Meteorological Observation at Station Concordia' http://www.climantartide.it/. The authors gratefully acknowledge Elga Lab water for the supply of the ultrapure water systems used during this study.</t>
  </si>
  <si>
    <t>0045-6535</t>
  </si>
  <si>
    <t>1879-1298</t>
  </si>
  <si>
    <t>Chemosphere</t>
  </si>
  <si>
    <t>10.1016/j.chemosphere.2017.12.180</t>
  </si>
  <si>
    <t>FX6XZ</t>
  </si>
  <si>
    <t>WOS:000426231900035</t>
  </si>
  <si>
    <t>Reisinger, RR; Raymond, B; Hindell, MA; Bester, MN; Crawford, RJM; Davies, D; de Bruyn, PJN; Dilley, BJ; Kirkman, SP; Makhado, AB; Ryan, PG; Schoombie, S; Stevens, K; Sumner, MD; Tosh, CA; Wege, M; Whitehead, TO; Wotherspoon, S; Pistorius, PA</t>
  </si>
  <si>
    <t>Reisinger, Ryan R.; Raymond, Ben; Hindell, Mark A.; Bester, Marthan N.; Crawford, Robert J. M.; Davies, Delia; de Bruyn, P. J. Nico; Dilley, Ben J.; Kirkman, Stephen P.; Makhado, Azwianewi B.; Ryan, Peter G.; Schoombie, Stefan; Stevens, Kim; Sumner, Michael D.; Tosh, Cheryl A.; Wege, Mia; Whitehead, Thomas Otto; Wotherspoon, Simon; Pistorius, Pierre A.</t>
  </si>
  <si>
    <t>Habitat modelling of tracking data from multiple marine predators identifies important areas in the Southern Indian Ocean</t>
  </si>
  <si>
    <t>DIVERSITY AND DISTRIBUTIONS</t>
  </si>
  <si>
    <t>areas of ecological significance; distribution; distribution models; hotspots; marine mammals; marine protected areas; seabirds</t>
  </si>
  <si>
    <t>ELEPHANT SEALS; BIODIVERSITY; POPULATIONS; PREFERENCE; COMMUNITY; PENGUINS; PACKAGE; TRENDS; ISLAND; SPACE</t>
  </si>
  <si>
    <t>Aim: The distribution of marine predators is driven by the distribution and abundance of their prey; areas preferred by multiple marine predator species should therefore indicate areas of ecological significance. The Southern Ocean supports large populations of seabirds and marine mammals and is undergoing rapid environmental change. The management and conservation of these predators and their environment relies on understanding their distribution and its link with the biophysical environment, as the latter determines the distribution and abundance of prey. We addressed this issue using tracking data from 14 species of marine predators to identify important habitat. Location: Indian Ocean sector of the Southern Ocean. Methods: We used tracking data from 538 tag deployments made over a decade at the Subantarctic Prince Edward Islands. For each real track, we simulated a set of pseudo-tracks that allowed a presence-availability habitat modelling approach that estimates an animal's habitat preference. Using model ensembles of boosted regression trees and random forests, we modelled these tracks as a response to a set of 17 environmental variables. We combined the resulting species-specific models to evaluate areas of mean importance. Results: Real tracking locations covered 39.75 million km(2), up to 7,813 km from the Prince Edward Islands. Areas of high mean importance were located broadly from the Subtropical Zone to the Polar Frontal Zone in summer and from the Subantarctic to Antarctic Zones in winter. Areas of high mean importance were best predicted by factors including wind speed, sea surface temperature, depth and current speed. Main conclusions: The models and predictions developed here identify important habitat of marine predators around the Prince Edward Islands and can support the large-scale conservation and management of Subantarctic ecosystems and the marine predators they sustain. The results also form the basis of future efforts to predict the consequences of environmental change.</t>
  </si>
  <si>
    <t>[Reisinger, Ryan R.; Pistorius, Pierre A.] Nelson Mandela Univ, FitzPatrick Inst African Ornithol, DST NRF Ctr Excellence, Dept Zool, Port Elizabeth, South Africa; [Reisinger, Ryan R.; Pistorius, Pierre A.] Nelson Mandela Univ, Coastal &amp; Marine Res Inst, Port Elizabeth, South Africa; [Reisinger, Ryan R.] Univ La Rochelle, Ctr Etud Biol Chize, CNRS, UMR 7372, Villiers En Bois, France; [Reisinger, Ryan R.] CESAB FRB, Aix En Provence, France; [Raymond, Ben; Sumner, Michael D.; Wotherspoon, Simon] Australian Antarctic Div, Kingston, Tas, Australia; [Raymond, Ben; Hindell, Mark A.; Wotherspoon, Simon] Univ Tasmania, Inst Marine &amp; Antarctic Studies, Hobart, Tas, Australia; [Raymond, Ben; Hindell, Mark A.; Sumner, Michael D.] Univ Tasmania, Antarctic Climate &amp; Ecosyst Cooperat Res Ctr, Hobart, Tas, Australia; [Bester, Marthan N.; de Bruyn, P. J. Nico; Tosh, Cheryl A.; Wege, Mia] Univ Pretoria, Mammal Res Inst, Dept Zool &amp; Entomol, Hatfield, South Africa; [Crawford, Robert J. M.; Kirkman, Stephen P.; Makhado, Azwianewi B.] Branch Oceans &amp; Coasts, Dept Environm Affairs, Cape Town, South Africa; [Crawford, Robert J. M.; Kirkman, Stephen P.] Univ Cape Town, Dept Biol Sci, Anim Demog Unit, Rondebosch, South Africa; [Davies, Delia; Dilley, Ben J.; Makhado, Azwianewi B.; Ryan, Peter G.; Schoombie, Stefan; Stevens, Kim; Whitehead, Thomas Otto] Univ Cape Town, DST NRF Ctr Excellence, FitzPatrick Inst African Ornithol, Rondebosch, South Africa</t>
  </si>
  <si>
    <t>National Research Foundation - South Africa; Nelson Mandela University; Nelson Mandela University; Centre National de la Recherche Scientifique (CNRS); CNRS - Institute of Ecology &amp; Environment (INEE); La Rochelle Universite; Australian Antarctic Division; University of Tasmania; University of Tasmania; Antarctic Climate &amp; Ecosystems Cooperative Research Centre (ACE CRC); University of Pretoria; Department of Environment, Forestry &amp; Fisheries; University of Cape Town; National Research Foundation - South Africa; University of Cape Town</t>
  </si>
  <si>
    <t>Reisinger, RR (corresponding author), Univ La Rochelle, Ctr Etud Biol Chize, CNRS, UMR 7372, Villiers En Bois, France.</t>
  </si>
  <si>
    <t>de Bruyn, P. J. Nico/E-4176-2010; Wege, Mia/B-1103-2016; Sumner, Michael D/J-3478-2013; Wotherspoon, Simon J/B-2390-2013; Hindell, Mark A/K-1131-2013; Kirkman, Stephen/AAA-9139-2021; Bester, Marthán N/E-5387-2010; Reisinger, Ryan R/D-6151-2014</t>
  </si>
  <si>
    <t>de Bruyn, P. J. Nico/0000-0002-9114-9569; Wege, Mia/0000-0002-9022-3069; Wotherspoon, Simon J/0000-0002-6947-4445; Kirkman, Stephen/0000-0001-5428-7375; Reisinger, Ryan R/0000-0002-8933-6875; Hindell, Mark/0000-0002-7823-7185; Sumner, Michael/0000-0002-2471-7511; Pistorius, Pierre/0000-0001-6561-7069</t>
  </si>
  <si>
    <t>National Research Foundation [94916, SNA103359, SNA2005060800001]; South African Department of Environmental Affairs; Scientific Committee on Antarctic Research; Fondation pour la Recherche sur la Biodiversite</t>
  </si>
  <si>
    <t>National Research Foundation; South African Department of Environmental Affairs; Scientific Committee on Antarctic Research; Fondation pour la Recherche sur la Biodiversite</t>
  </si>
  <si>
    <t>National Research Foundation, Grant/Award Number: 94916, SNA103359 and SNA2005060800001; South African Department of Environmental Affairs; Scientific Committee on Antarctic Research; Fondation pour la Recherche sur la Biodiversite</t>
  </si>
  <si>
    <t>1366-9516</t>
  </si>
  <si>
    <t>1472-4642</t>
  </si>
  <si>
    <t>DIVERS DISTRIB</t>
  </si>
  <si>
    <t>Divers. Distrib.</t>
  </si>
  <si>
    <t>10.1111/ddi.12702</t>
  </si>
  <si>
    <t>FZ0GP</t>
  </si>
  <si>
    <t>WOS:000427246300010</t>
  </si>
  <si>
    <t>Kim, JT; Choi, YJ; Barghi, M; Yoon, YJ; Kim, JH; Kim, JH; Chang, YS</t>
  </si>
  <si>
    <t>Kim, Jun-Tae; Choi, Yun-Jeong; Barghi, Mandana; Yoon, Young-Jun; Kim, Jeong-Hoon; Kim, Ji Hee; Chang, Yoon-Seok</t>
  </si>
  <si>
    <t>Occurrence and distribution of old and new halogenated flame retardants in mosses and lichens from the South Shetland Islands, Antarctica</t>
  </si>
  <si>
    <t>Halogenated flame retardants; Antarctica; Hexabromocyclododecanes; Dechloranes; Long-range transport</t>
  </si>
  <si>
    <t>PERSISTENT ORGANIC POLLUTANTS; KING-GEORGE ISLAND; DIPHENYL ETHERS PBDES; DECHLORANE PLUS; HEXABROMOCYCLODODECANE DIASTEREOISOMERS; ORGANOCHLORINE PESTICIDES; POLYCHLORINATED-BIPHENYLS; RESEARCH STATIONS; LOCAL-SOURCES; AIR</t>
  </si>
  <si>
    <t>The spatial distribution of old and new halogenated flame retardants (HFRs), including polybrominated diphenyl ethers (PBDEs), hexabromocyclododecanes (HBCDs), and Dechlorane Plus (DPs) and related compounds (Dechloranes), were investigated in the South Shetland Islands of Antarctica, employing mosses (Andreaea depressinervis and Sanionia uncinata) and lichens (Himantormia lugubris and Usnea antarctica) as bioindicators. The levels of PBDEs, HBCDs, and Dechloranes ranged from 3.2 to 71.5, 0.63 960, and 2.04-2400 pg/g dw (dry weight) in the mosses, and from 1.5 to 188, 0.1-21.1, and 1.0-83.8 pg/g dw in the lichens, respectively. HFRs were detected in all of the collected samples, even in those from the remote regions. The dominance of high brominated-BDE, anti-DP fraction, and HBCD diastereomeric ratio in the samples from remote regions suggested the long-range atmospheric transport (LRAT) of the HFRs. The relatively high HBCDs and Dechloranes contamination and their similar chemical profile with commercial products in the vicinity of Antarctic research stations indicated that human activities might act as local sources, while PBDEs appeared to be more influenced by LRAT and bioaccumulation rather than local emission. Lastly, the relatively high HFR levels and dominance of more brominated BDEs at the Nargbski Point and in the wet lowlands suggested that penguin colonies and melting glacier water could be secondary HFR sources in Antarctica. The HFR levels differed by sample species, suggesting that further research on the factors associated with the HFR accumulation in the different species is necessary. This study firstly reports the alternative HFR levels in a wide area of the Antarctica, which could improve our understanding of the source, transport, and fate of the HFRs. (C) 2017 Elsevier Ltd. All rights reserved.</t>
  </si>
  <si>
    <t>[Kim, Jun-Tae; Choi, Yun-Jeong; Barghi, Mandana; Chang, Yoon-Seok] Pohang Univ Sci &amp; Technol POSTECH, San 31, Pohang 37673, South Korea; [Kim, Jun-Tae; Yoon, Young-Jun; Kim, Jeong-Hoon; Kim, Ji Hee] Korea Polar Res Inst KOPRI, 26 Songdomirae Ro, Incheon 21990, South Korea</t>
  </si>
  <si>
    <t>Pohang University of Science &amp; Technology (POSTECH); Korea Polar Research Institute (KOPRI)</t>
  </si>
  <si>
    <t>Chang, YS (corresponding author), Pohang Univ Sci &amp; Technol POSTECH, San 31, Pohang 37673, South Korea.</t>
  </si>
  <si>
    <t>yschang@postech.ac.kr</t>
  </si>
  <si>
    <t>Barghi, Mandana/0000-0001-7171-1051; Chang, Yoon-Seok/0000-0002-0623-2932</t>
  </si>
  <si>
    <t>Korea Ministry of Environment [RE201402059]; National Research Foundation of Korea (NRF) - Korea government (MSIP) [NRF-2017R1A2B3012681]</t>
  </si>
  <si>
    <t>Korea Ministry of Environment(Ministry of Environment (ME), Republic of Korea); National Research Foundation of Korea (NRF) - Korea government (MSIP)(National Research Foundation of KoreaMinistry of Science, ICT &amp; Future Planning, Republic of Korea)</t>
  </si>
  <si>
    <t>The research was supported by The GALA Project by the Korea Ministry of Environment [RE201402059] and the National Research Foundation of Korea (NRF) grant (No. NRF-2017R1A2B3012681) funded by the Korea government (MSIP).</t>
  </si>
  <si>
    <t>10.1016/j.envpol.2017.12.080</t>
  </si>
  <si>
    <t>GA1TL</t>
  </si>
  <si>
    <t>WOS:000428100200033</t>
  </si>
  <si>
    <t>Cabral, AC; Stark, JS; Kolm, HE; Martins, CC</t>
  </si>
  <si>
    <t>Cabral, Ana Caroline; Stark, Jonathan S.; Kolm, Hedda E.; Martins, Cesar C.</t>
  </si>
  <si>
    <t>An integrated evaluation of some faecal indicator bacteria (FIB) and chemical markers as potential tools for monitoring sewage contamination in subtropical estuaries</t>
  </si>
  <si>
    <t>Coprostanol; Linear alkylbenzenes; E. coli; Enterococci; Logistic regression; South Atlantic</t>
  </si>
  <si>
    <t>PEARL RIVER DELTA; LINEAR ALKYLBENZENES; ESCHERICHIA-COLI; ORGANIC-MATTER; MARINE-ENVIRONMENT; GUARATUBA BAY; PARANAGUA BAY; SEASONAL VARIABILITY; LIPID BIOMARKERS; SOUTHERN BRAZIL</t>
  </si>
  <si>
    <t>Sewage input and the relationship between chemical markers (linear alkylbenzenes and coprostanol) and fecal indicator bacteria (FIB, Escherichia coil and enterococci), were evaluated in order to establish thresholds values for chemical markers in suspended particulate matter (SPM) as indicators of sewage contamination in two subtropical estuaries in South Atlantic Brazil. Both chemical markers presented no linear relationship with FIB due to high spatial microbiological variability, however, microbiological water quality was related to coprostanol values when analyzed by logistic regression, indicating that linear models may not be the best representation of the relationship between both classes of indicators. Logistic regression was performed with all data and separately for two sampling seasons, using 800 and 100 MPN 100 mL(-1) of E. coli and enterococci, respectively, as the microbiological limits of sewage contamination. Threshold values of coprostanol varied depending on the FIB and season, ranging between 1.00 and 2.23 mu g g(-1) SPM. The range of threshold values of coprostanol for SPM are relatively higher and more variable than those suggested in literature for sediments (0.10-0.50 mu g g(-1)), probably due to higher concentration of coprostanol in SPM than in sediment. Temperature may affect the relationship between microbiological indicators and coprostanol, since the threshold value of coprostanol found here was similar to tropical areas, but lower than those found during winter in temperate areas, reinforcing the idea that threshold values should be calibrated for different climatic conditions. (C) 2018 Elsevier Ltd. All rights reserved.</t>
  </si>
  <si>
    <t>[Cabral, Ana Caroline] Univ Fed Parana, Programa Posgrad Sistemas Costeiros &amp; Ocean PGSIS, Caixa Postal 61, BR-83255976 Pontal Do Parana, Parana, Brazil; [Cabral, Ana Caroline; Kolm, Hedda E.; Martins, Cesar C.] Univ Fed Parana, Ctr Estudos Mar, Caixa Postal 61, BR-83255976 Pontal Do Parana, Parana, Brazil; [Stark, Jonathan S.] Australian Antarctic Div, Antarctic Conservat &amp; Management Theme, Channel Hwy, Kingston, Tas 7050, Australia</t>
  </si>
  <si>
    <t>Universidade Federal do Parana; Universidade Federal do Parana; Australian Antarctic Division</t>
  </si>
  <si>
    <t>Cabral, AC (corresponding author), Univ Fed Parana, Programa Posgrad Sistemas Costeiros &amp; Ocean PGSIS, Caixa Postal 61, BR-83255976 Pontal Do Parana, Parana, Brazil.;Cabral, AC; Martins, CC (corresponding author), Univ Fed Parana, Ctr Estudos Mar, Caixa Postal 61, BR-83255976 Pontal Do Parana, Parana, Brazil.</t>
  </si>
  <si>
    <t>anac.cabral@ufpr.br; ccmart@ufpr.br</t>
  </si>
  <si>
    <t>Cabral, Ana Caroline/ABF-7950-2020; de Castro Martins, Cesar C/I-1086-2012; Stark, Jonathan/ABF-4025-2020; Cabral, Ana/HTN-0713-2023</t>
  </si>
  <si>
    <t>Cabral, Ana Caroline/0000-0001-9592-609X; Stark, Jonathan/0000-0002-4268-8072; Kolm, Hedda Elisabeth/0000-0002-4887-532X; de Castro Martins, Cesar/0000-0002-2515-5565</t>
  </si>
  <si>
    <t>CAPES (Coordenacao de Aperfeicoamento de Pessoal de Ensino Superior); CNPq (Brazilian National Council for Scientific and Technological Development) [305734/2014-8]; Fundacao Araucaria de Apoio ao Desenvolvimento Cientifico e Tecnologico do Estado do Parana [408/2014, 42.799]</t>
  </si>
  <si>
    <t>CAPES (Coordenacao de Aperfeicoamento de Pessoal de Ensino Superior)(Coordenacao de Aperfeicoamento de Pessoal de Nivel Superior (CAPES)); CNPq (Brazilian National Council for Scientific and Technological Development)(Conselho Nacional de Desenvolvimento Cientifico e Tecnologico (CNPQ)); Fundacao Araucaria de Apoio ao Desenvolvimento Cientifico e Tecnologico do Estado do Parana(Fundacao Araucaria de Apoio ao Desenvolvimento Cientifico e Tecnologico do Estado do Parana FA)</t>
  </si>
  <si>
    <t>A.C. Cabral would like to thank CAPES (Coordenacao de Aperfeicoamento de Pessoal de Ensino Superior) for the Ph. D. Scholarship. C.C. Martins would like to thank CNPq (Brazilian National Council for Scientific and Technological Development) for a research grant (305734/2014-8) and Fundacao Araucaria de Apoio ao Desenvolvimento Cientifico e Tecnologico do Estado do Parana (408/2014; 42.799). We are grateful to F.K. Ishii and L. O. Pelegrini for assistance with the FBI analysis and to Dr. Maikon Di Domenico for support on statistical analysis. This study was developed as part of a post-graduate course on estuarine and ocean systems at the Federal University of Parana (PGSISCO-UFPR).</t>
  </si>
  <si>
    <t>10.1016/j.envpol.2017.12.109</t>
  </si>
  <si>
    <t>WOS:000428100200079</t>
  </si>
  <si>
    <t>Monforte, L; Soriano, G; Núñez-Olivera, E; Martínez-Abaigar, J</t>
  </si>
  <si>
    <t>Monforte, Laura; Soriano, Gonzalo; Nunez-Olivera, Encarnacion; Martinez-Abaigar, Javier</t>
  </si>
  <si>
    <t>Cell compartmentation of ultraviolet-absorbing compounds: An underexplored tool related to bryophyte ecology, phylogeny and evolution</t>
  </si>
  <si>
    <t>cell wall; Ellenberg indicator values; hornworts; land colonization; leaf mass per area ratio; liverworts; mosses; ultraviolet radiation</t>
  </si>
  <si>
    <t>UV-B RADIATION; LIVERWORT CEPHALOZIELLA-VARIANS; EXSERTIFOLIA SUBSP CORDIFOLIA; STRATOSPHERIC OZONE DEPLETION; ANTARCTIC MOSS; LAND PLANTS; PIGMENT COMPOSITION; SCREENING COMPOUNDS; PHOTOPROTECTION; FLAVONOIDS</t>
  </si>
  <si>
    <t>1. Excessive exposure to ultraviolet (UV) radiation can be harmful to photosynthetic organisms, that most frequently respond with the accumulation of protective UV-absorbing compounds (UVACs). UVACs location in different cell compartments can influence their preferential protective role as antioxidants and/or UV screens. However, the phylogenetic, ecological and evolutionary implications of UVACs compartmentation has been little studied, particularly in bryophytes. 2. We analysed UVACs in the methanol-soluble and -insoluble fractions (SUVACs and IUVACs respectively) in extracts of 87 bryophytes belonging to their three evolutionary lineages: 22 liverworts, 64 mosses and one hornwort. Assuming that the cell wall-bound IUVACs are more effective UV screens than the mainly vacuolar SUVACs, thus conferring a higher UV tolerance, we evaluated whether UVACs levels and compartmentation were related to: (1) the bryophyte phylogeny down to the Order level; and (2) the bryophyte ecological attributes, including sun exposure and Ellenberg indicator values (numerical system classifying species' habitat along gradients of environmental factors). A similar phylogenetic and ecological analysis was conducted on the sclerophylly index (the ratio between the dry mass and the surface area of the bryophyte shoot). 3. Mosses showed lower SUVACs but higher IUVACs and total UVACs, together with higher IUVAC/SUVAC ratios, than liverworts. Thus, mosses would better tolerate UV radiation than liverworts, which matches well with their general ecological preferences. As bryophytes were the earliest diverging land plants, we could infer that the different UVACs compartmentation between mosses and liverworts could have influenced their ecological segregation upon plant land colonization. 4. UVACs compartmentation also differed between the two major moss lineages (acrocarpous and pleurocarpous), while the anatomically peculiar Sphagnales were the best characterized Order. 5. There were not solid relationships between UVACs and the ecological attributes considered. Hence, UVACs might be mainly constitutive in bryophytes, depending more on the species phylogeny than on the habitat occupied in nature. 6. Liverworts were less sclerophyllous than mosses, and, as in tracheophytes, water restrictions and high sun exposures increased sclerophylly. 7. In conclusion, UVACs compartmentation represents an ecophysiological trait useful to understand the bryophyte ecophylogeny, because different compartmentation modalities seem to imply different UV adaptations and tolerance.</t>
  </si>
  <si>
    <t>[Monforte, Laura; Soriano, Gonzalo; Nunez-Olivera, Encarnacion; Martinez-Abaigar, Javier] Univ La Rioja, Fac Ciencia &amp; Tecnol, Logrono, Spain</t>
  </si>
  <si>
    <t>Universidad de La Rioja</t>
  </si>
  <si>
    <t>Martínez-Abaigar, J (corresponding author), Univ La Rioja, Fac Ciencia &amp; Tecnol, Logrono, Spain.</t>
  </si>
  <si>
    <t>javier.martinez@unirioja.es</t>
  </si>
  <si>
    <t>Núñez-Olivera, Encarnación/L-7164-2014; Soriano, Gonzalo/A-1353-2019; Martinez-Abaigar, Javier/L-7000-2014</t>
  </si>
  <si>
    <t>Martinez-Abaigar, Javier/0000-0002-9762-9862; Soriano, Gonzalo/0000-0002-1728-7656</t>
  </si>
  <si>
    <t>Ministerio de Economia y Competitividad of Spain (MINECO); FEDER</t>
  </si>
  <si>
    <t>Ministerio de Economia y Competitividad of Spain (MINECO)(Spanish Government); FEDER(European Union (EU)Spanish Government)</t>
  </si>
  <si>
    <t>10.1111/1365-2435.13048</t>
  </si>
  <si>
    <t>GB8JY</t>
  </si>
  <si>
    <t>WOS:000429323400004</t>
  </si>
  <si>
    <t>Chiriac, C; Baricz, A; Coman, C</t>
  </si>
  <si>
    <t>Chiriac, Cecilia; Baricz, Andreea; Coman, Cristian</t>
  </si>
  <si>
    <t>Draft Genome Sequence of Janthinobacterium sp. Strain ROICE36, a Putative Secondary Metabolite-Synthesizing Bacterium Isolated from Antarctic Snow</t>
  </si>
  <si>
    <t>GENOME ANNOUNCEMENTS</t>
  </si>
  <si>
    <t>LIVIDUM; IDENTIFICATION</t>
  </si>
  <si>
    <t>The draft genome assembly of Janthinobacterium sp. strain ROICE36 has 207 contigs, with a total genome size of 5,977,006 bp and a G + C content of 62%. Preliminary genome analysis identified 5,363 protein-coding genes and a total of 7 secondary metabolic gene clusters (encoding bacteriocins, nonribosomal peptide-synthetase [NRPS], terpene, hserlactone, and other ketide synthases).</t>
  </si>
  <si>
    <t>[Chiriac, Cecilia; Baricz, Andreea; Coman, Cristian] Inst Biol Res, NIRDBS, Cluj Napoca, Romania; [Chiriac, Cecilia; Baricz, Andreea] Babes Bolyai Univ, Fac Biol &amp; Geol, Mol Biol &amp; Biotechnol Dept, Cluj Napoca, Romania</t>
  </si>
  <si>
    <t>National Research Institute for Biological Sciences; Babes Bolyai University from Cluj</t>
  </si>
  <si>
    <t>Coman, C (corresponding author), Inst Biol Res, NIRDBS, Cluj Napoca, Romania.</t>
  </si>
  <si>
    <t>cristian.coman@icbcluj.ro</t>
  </si>
  <si>
    <t>Baricz, Andreea/ABH-5341-2020; Chiriac, Cecilia/R-7093-2017; Coman, Cristian/AAI-4866-2020</t>
  </si>
  <si>
    <t>Baricz, Andreea/0000-0003-1307-3172; Chiriac, Cecilia/0000-0001-5130-5232;</t>
  </si>
  <si>
    <t>CNCS/CCCDI-UEFISCDI within PNCDI III [PN-III-P2-2.1-PED-2016-1170]; [PN 16-19 102]</t>
  </si>
  <si>
    <t>CNCS/CCCDI-UEFISCDI within PNCDI III(Consiliul National al Cercetarii Stiintifice (CNCS)Unitatea Executiva pentru Finantarea Invatamantului Superior, a Cercetarii, Dezvoltarii si Inovarii (UEFISCDI));</t>
  </si>
  <si>
    <t>This work was supported by a grant of CNCS/CCCDI-UEFISCDI, project PN-III-P2-2.1-PED-2016-1170 within PNCDI III, and partially by the Core Project PN 16-19 102.</t>
  </si>
  <si>
    <t>AMER SOC MICROBIOLOGY</t>
  </si>
  <si>
    <t>1752 N ST NW, WASHINGTON, DC 20036-2904 USA</t>
  </si>
  <si>
    <t>2169-8287</t>
  </si>
  <si>
    <t>Genom. Ann.</t>
  </si>
  <si>
    <t>e01553-17</t>
  </si>
  <si>
    <t>10.1128/genomeA.01553-17</t>
  </si>
  <si>
    <t>HD2IA</t>
  </si>
  <si>
    <t>WOS:000452333100024</t>
  </si>
  <si>
    <t>Spinola, DN; Portes, RD; Srivastava, P; Torrent, J; Barrón, V; Kühn, P</t>
  </si>
  <si>
    <t>Spinola, Diogo Noses; Portes, Raquel de Castro; Srivastava, Pankaj; Torrent, Jose; Barron, Vidal; Kuehn, Peter</t>
  </si>
  <si>
    <t>Diagenetic reddening of Early Eocene paleosols on King George Island, Antarctica</t>
  </si>
  <si>
    <t>GEODERMA</t>
  </si>
  <si>
    <t>Red paleosols; Diagenetic reddening; Hematite formation; Lava flow heating; Magnetic susceptibility</t>
  </si>
  <si>
    <t>DIFFUSE-REFLECTANCE SPECTROSCOPY; IRON-OXIDES; MAGNETIC-PROPERTIES; EARLY TERTIARY; RED BEDS; SOILS; BASIN; TRANSFORMATIONS; IDENTIFICATION; MINERALS</t>
  </si>
  <si>
    <t>The objective of this study was to determine if the Early Eocene paleosols on King George Island, Maritime Antarctica, have acquired their reddish color during the paleopedogenesis, by burial diagenesis and/or by heating of a covering lava flow. We used micromorphology, diffuse reflectance spectroscopy, X-ray diffraction, and mineral magnetic properties to identify the iron oxides in these paleosols. These are weakly/moderately developed paleosols formed on a basaltic tephra under a cool humid paleoclimate, therefore, prone to ferrihydrite and goethite rather than hematite formation. However, the iron oxide assembly was dominated by maghemite and hematite. Nevertheless, the large grain size and high crystallinity of hematites suggested they are rather diagenetic than pedogenic. The clustering, content, and distribution of hematites (finely dispersed on the groundmass; coating/replacing primary minerals and as mottles and/or nodules) rather than their crystal size were responsible for the color differences. These properties were likely the result of past pedogenesis processes (forming originally ferrihydrite) linked with paleodrainage conditions. Heating by the covering lava flow affected the magnetic properties of two profiles but without affecting their color. Taken together, all these results suggest that the burial reddening took place by dehydration and transformation of ferrihydrite to hematite. Our findings highlight the importance of detailed mineralogical analysis to identify iron oxides present in reddish paleosols because identification based solely on morphology</t>
  </si>
  <si>
    <t>[Spinola, Diogo Noses; Kuehn, Peter] Eberhard Karls Univ Tubingen, Dept Geosci Soil Sci &amp; Geomorphol, Lab Soil Sci &amp; Geoecol, Rumelinstr 19-23, D-72070 Tubingen, Germany; [Portes, Raquel de Castro] Univ Zurich, Dept Geog, Winterthurerstr 190, CH-8057 Zurich, Switzerland; [Srivastava, Pankaj] Univ Delhi, Dept Geol, Delhi 110007, India; [Torrent, Jose; Barron, Vidal] Univ Cordoba, Dept Agron, Edificio C4,Campus Rabanales, E-14071 Cordoba, Spain</t>
  </si>
  <si>
    <t>Eberhard Karls University of Tubingen; University of Zurich; University of Delhi; Universidad de Cordoba</t>
  </si>
  <si>
    <t>Spinola, DN (corresponding author), Eberhard Karls Univ Tubingen, Dept Geosci Soil Sci &amp; Geomorphol, Lab Soil Sci &amp; Geoecol, Rumelinstr 19-23, D-72070 Tubingen, Germany.</t>
  </si>
  <si>
    <t>diogo.noses-spinola@geographie.uni-tuebingen.de; raquel.decastroportes@geo.uzh.ch; pankajps@gmail.com; torrent@uco.es; cr1balov@uco.es; peter.kuehn@uni-tuebingen.de</t>
  </si>
  <si>
    <t>Kühn, Peter/A-9146-2009; Torrent, José/K-5293-2014; Srivastava, Pankaj/AAN-4132-2021; Torrent, José/AAA-6674-2020; Barrón, Vidal/G-4483-2013; Spinola, Diogo/V-8593-2018</t>
  </si>
  <si>
    <t>Kühn, Peter/0000-0002-4417-5633; Torrent, José/0000-0001-7725-105X; Srivastava, Pankaj/0000-0002-8947-2252; Torrent, José/0000-0001-7725-105X; Barrón, Vidal/0000-0003-1484-1655; Spinola, Diogo/0000-0003-3525-9461</t>
  </si>
  <si>
    <t>National Counsel of Technological and Scientific Development (CNPq), Brazil [490109/2012-8]; German Research Foundation [DFG KU 1946/9-1]</t>
  </si>
  <si>
    <t>National Counsel of Technological and Scientific Development (CNPq), Brazil(Conselho Nacional de Desenvolvimento Cientifico e Tecnologico (CNPQ)); German Research Foundation(German Research Foundation (DFG))</t>
  </si>
  <si>
    <t>The present work was possible with financial support of the National Counsel of Technological and Scientific Development (CNPq) (490109/2012-8), Brazil. This study was also supported by the German Research Foundation (DFG KU 1946/9-1). We thank the Brazilian Navy and the colleagues (38. Polska Wyprawa Antarktyczna) from the Henry Arctowski Station for all logistics and much additional support to realize the successful field work during the Antarctic expedition in the summer of 2013/2014. We also thank Jose Maria Mendez Alvarez (University of Cordoba) for carrying out the DCB and oxalate analyses and Simon Degler (University of Tubingen) for helping with the sample preparation.</t>
  </si>
  <si>
    <t>0016-7061</t>
  </si>
  <si>
    <t>1872-6259</t>
  </si>
  <si>
    <t>Geoderma</t>
  </si>
  <si>
    <t>APR 1</t>
  </si>
  <si>
    <t>10.1016/j.geoderma.2017.11.010</t>
  </si>
  <si>
    <t>Soil Science</t>
  </si>
  <si>
    <t>FU9LY</t>
  </si>
  <si>
    <t>WOS:000424178600017</t>
  </si>
  <si>
    <t>Guo, XY; Wu, ZF; He, HS; Du, HB; Wang, L; Yang, Y; Zhao, WH</t>
  </si>
  <si>
    <t>Guo, Xiangyu; Wu, Zhengfang; He, Hongshi; Du, Haibo; Wang, Lei; Yang, Yue; Zhao, Weihong</t>
  </si>
  <si>
    <t>Variations in the start, end, and length of extreme precipitation period across China</t>
  </si>
  <si>
    <t>INTERNATIONAL JOURNAL OF CLIMATOLOGY</t>
  </si>
  <si>
    <t>extreme precipitation period; spatio-temporal change; atmospheric circulation indexes; China</t>
  </si>
  <si>
    <t>ASIAN SUMMER MONSOON; DAILY CLIMATE EXTREMES; YANGTZE-RIVER BASIN; TEMPORAL VARIABILITY; TRENDS; TEMPERATURE; FREQUENCY; EVENTS; INTENSITY; SOUTHERN</t>
  </si>
  <si>
    <t>Using the daily precipitation records during 1961-2013 from 686 meteorological stations across China and the atmospheric circulation indexes, this study investigates the spatio-temporal changes in the occurrence time and length of the extreme precipitation period (EPP), as well as their influencing factors. The results show the following aspects: (1) In the last 53 years, the start dates of the extreme precipitation period (EPPS) generally advanced. The end dates of the extreme precipitation period (EPPE) are delayed, which show an increasing trend. The lengths of the extreme precipitation period (EPPL) in most of the China meteorological stations increased. (2) The spatial patterns of the trends in the occurrence time and length of the extreme precipitation period are similar and show obvious clustering. The occurrence time and length of the extreme precipitation period have obvious spatial gradient differences in their average values. In southeastern China, the average EPPS is earlier, EPPE is later than those in other regions, and their EPPL is prolonged. The EPP in northeastern China begins later and ends earlier, and its EPPL is shorter than that in other regions. (3) The western Pacific subtropical high, Northern Hemisphere polar vortex, Antarctic Oscillation, and western Pacific warm pool have significant effects on the occurrence time and length of EPP over China, and different regions show different effects.</t>
  </si>
  <si>
    <t>[Guo, Xiangyu; Wu, Zhengfang; He, Hongshi; Du, Haibo; Wang, Lei; Yang, Yue; Zhao, Weihong] Northeast Normal Univ, Sch Geog Sci, 5268 Renmin St, Changchun 130024, Jilin, Peoples R China; [He, Hongshi] Univ Missouri, Sch Nat Resources, Columbia, MO USA; [Wang, Lei] Chinese Acad Sci, Northeast Inst Geog &amp; Agroecol, Changchun, Jilin, Peoples R China</t>
  </si>
  <si>
    <t>Northeast Normal University - China; University of Missouri System; University of Missouri Columbia; Chinese Academy of Sciences; Northeast Institute of Geography &amp; Agroecology, CAS</t>
  </si>
  <si>
    <t>Wu, ZF; Du, HB (corresponding author), Northeast Normal Univ, Sch Geog Sci, 5268 Renmin St, Changchun 130024, Jilin, Peoples R China.</t>
  </si>
  <si>
    <t>wuzf@nenu.edu.cn; duhb655@nenu.edu.cn</t>
  </si>
  <si>
    <t>Wang, Jin/GYA-2019-2022; he, shan/JUV-4092-2023</t>
  </si>
  <si>
    <t>Wu, Zhengfang/0000-0003-3406-7011; He, Hong S./0000-0002-3983-2512; Yue, Yang/0000-0001-8914-8543</t>
  </si>
  <si>
    <t>Fundamental Research Funds for the Central Universities of China [2412016KJ025]; National Natural Science Foundation of China [41471085, 41171038]; China Postdoctoral Science Foundation [2016M600225]; National Key Research and Development Program of China [2016YFA0602301]</t>
  </si>
  <si>
    <t>Fundamental Research Funds for the Central Universities of China(Fundamental Research Funds for the Central Universities); National Natural Science Foundation of China(National Natural Science Foundation of China (NSFC)); China Postdoctoral Science Foundation(China Postdoctoral Science Foundation); National Key Research and Development Program of China</t>
  </si>
  <si>
    <t>We acknowledge the China Meteorological Data Sharing Service System for sharing the Chinese observed climate data. This study was financially supported by the National Key Research and Development Program of China (2016YFA0602301), the National Natural Science Foundation of China (grant nos. 41171038 and 41471085), China Postdoctoral Science Foundation (2016M600225), and the Fundamental Research Funds for the Central Universities of China (grant no. 2412016KJ025).</t>
  </si>
  <si>
    <t>0899-8418</t>
  </si>
  <si>
    <t>1097-0088</t>
  </si>
  <si>
    <t>INT J CLIMATOL</t>
  </si>
  <si>
    <t>Int. J. Climatol.</t>
  </si>
  <si>
    <t>10.1002/joc.5345</t>
  </si>
  <si>
    <t>GB2KG</t>
  </si>
  <si>
    <t>WOS:000428880600021</t>
  </si>
  <si>
    <t>Vera, CS; Osman, M</t>
  </si>
  <si>
    <t>Vera, Carolina S.; Osman, Marisol</t>
  </si>
  <si>
    <t>Activity of the Southern Annular Mode during 2015-2016 El Nino event and its impact on Southern Hemisphere climate anomalies</t>
  </si>
  <si>
    <t>SAM; PSA patterns; ENSO; southeastern South America</t>
  </si>
  <si>
    <t>LOW-FREQUENCY VARIABILITY; ENSO TELECONNECTION; REANALYSES; TRENDS; SAM</t>
  </si>
  <si>
    <t>Previous studies documented that El Nino (EN) events are in general associated with negative phases of the Southern Annular Mode (SAM). EN 2015-2016 (EN15-16) was one of the three strongest events ever recorded. However, it was associated with a SAM positive phase of extreme intensity. Furthermore, while the negative linear relationship between ENSO and SAM during the most recent period (1986-2014) was significant and associated with a narrow uncertainty band, the combined condition of both climate patterns in the EN15-16 event was an outlier. The EN15-16 influence on the austral summer circulation anomalies at the extratropical and polar regions of the Southern Hemisphere was considerably altered by the strong SAM positive phase, which was evident not only at the troposphere but also at the stratosphere. Such circulation changes resulted in unusual regional impacts, such as negative anomalies of surface air temperature in western Antarctic Peninsula and negative precipitation anomalies in southeastern South America, ever recorded for previous strong EN events. Further research is needed to better understand the mechanisms explaining the SAM behaviour during 2015-2016 and its implication for climate predictability on seasonal timescales.</t>
  </si>
  <si>
    <t>[Vera, Carolina S.; Osman, Marisol] Fac Ciencias Exactas &amp; Nat Buenos Aires, Dept Ciencias Atmosfera &amp; Oceanos, Buenos Aires, DF, Argentina; [Vera, Carolina S.; Osman, Marisol] Univ Buenos Aires, CONICET, Inst Francoargentino Clima &amp; Sus Impactos, Ctr Invest Mar &amp; Atmosfera,CNRS,UMI,IFAECI, Buenos Aires, DF, Argentina</t>
  </si>
  <si>
    <t>University of Buenos Aires; Consejo Nacional de Investigaciones Cientificas y Tecnicas (CONICET)</t>
  </si>
  <si>
    <t>Vera, CS (corresponding author), Univ Buenos Aires, Fac Ciencias Exactas &amp; Nat, Ctr Invest Mar &amp; Atmosfera, Ciudad Univ,Pabellon 2,Piso 2, RA-1432 Buenos Aires, DF, Argentina.</t>
  </si>
  <si>
    <t>carolina@cima.fcen.uba.ar</t>
  </si>
  <si>
    <t>Osman, Marisol/AAV-2379-2020; Osman, Marisol/CAE-6713-2022</t>
  </si>
  <si>
    <t>Osman, Marisol/0000-0002-6275-1454; Osman, Marisol/0000-0002-6275-1454; Vera, Carolina/0000-0003-4032-5232</t>
  </si>
  <si>
    <t>Consejo Nacional de Investigaciones Cientificas y Tecnicas (CONICET) [PIP 112-20120100626CO]; UBACyT [20020130100489BA]; PIDDEF [15]; Belmont Forum [ANR-15-JCL/-0002-01 CLIMAX]; CONICET, Argentina</t>
  </si>
  <si>
    <t>Consejo Nacional de Investigaciones Cientificas y Tecnicas (CONICET)(Consejo Nacional de Investigaciones Cientificas y Tecnicas (CONICET)); UBACyT; PIDDEF; Belmont Forum; CONICET, Argentina(Consejo Nacional de Investigaciones Cientificas y Tecnicas (CONICET))</t>
  </si>
  <si>
    <t>The research was supported by Consejo Nacional de Investigaciones Cientificas y Tecnicas (CONICET) PIP 112-20120100626CO, UBACyT 20020130100489BA, PIDDEF 2014/2017 Nro 15, Belmont Forum/ANR-15-JCL/-0002-01 CLIMAX. M.O. was supported by a postdoctoral grant from CONICET, Argentina.</t>
  </si>
  <si>
    <t>E1288</t>
  </si>
  <si>
    <t>E1295</t>
  </si>
  <si>
    <t>10.1002/joc.5419</t>
  </si>
  <si>
    <t>GF5IJ</t>
  </si>
  <si>
    <t>WOS:000431999600087</t>
  </si>
  <si>
    <t>Balan, BM; Shini, S; Krishnan, KP; Mohan, M</t>
  </si>
  <si>
    <t>Balan, Binish Mechirackal; Shini, Sruthy; Krishnan, Kottekkattu P.; Mohan, Mahesh</t>
  </si>
  <si>
    <t>Mercury tolerance and biosorption in bacteria isolated from Ny-Ålesund, Svalbard, Arctic</t>
  </si>
  <si>
    <t>Arctic; bioremediation; heavy metal tolerance; mercury</t>
  </si>
  <si>
    <t>HEAVY-METAL RESISTANCE; ANTIBIOTIC-RESISTANCE; ANTIMICROBIAL RESISTANCE; CLINICAL SPECIMENS; WASTE-WATER; SEA-ICE; SP NOV.; SOIL; ARTHROBACTER; PERMAFROST</t>
  </si>
  <si>
    <t>Mercury tolerant bacteria Pseudarthrobacter oxydans strain MM20 and Pseudomonas frederiksbergensis strain SS18 were isolated from the tundra ecosystem of Ny-angstrom lesund, Svalbard, where commercial exploitation of the coal existed till 1960s. Minimum inhibitory concentration (MIC), mercury removal, mercury biosorption, and antibiotic resistance of these strains were analyzed. P. frederiksbergensis strain SS18 showed high tolerance (2.0ppm) to mercury than P. oxydans strain MM20 (1.5ppm). Mercury removal and biosorption studies were carried out in liquid media containing 1.0ppm mercury. More than 90% of mercury was removed from the culture media by the selected strains. The mercury biosorption assay revealed that a part of mercury was accumulated in cell pellets and was 22 and 25% respectively for P. oxydans strain MM20 and P. frederiksbergensis strain SS18. Fourier transform infrared study revealed that alkyl halide, alkynes, alcoholic, aliphatic and aromatic amines, alkanes, nitro compound, primary amines, carboxylic acid, alkenes, and amide groups play a major role in the development of tolerance towards mercury. Out of eleven antibiotics tested, P. oxydans strain MM20 was found to be resistant to lincomycin and novobiocin while P. frederiksbergensis strain SS18 was found to be resistant to seven antibiotics. Our study demonstrates that under experimental conditions, bacterial isolates undergo detailed structural and functional changes to tolerate as well as immobilize toxic elements like mercury.</t>
  </si>
  <si>
    <t>[Balan, Binish Mechirackal; Shini, Sruthy; Mohan, Mahesh] Mahatma Gandhi Univ, Sch Environm Sci, Kottayam 686560, Kerala, India; [Krishnan, Kottekkattu P.] Natl Ctr Antarctic &amp; Ocean Res, Vasco Da Gama, Goa, India</t>
  </si>
  <si>
    <t>Mahatma Gandhi University, Kerala; Ministry of Earth Sciences (MoES) - India; National Centre for Polar and Ocean Research (NCPOR)</t>
  </si>
  <si>
    <t>Mohan, M (corresponding author), Mahatma Gandhi Univ, Sch Environm Sci, Kottayam 686560, Kerala, India.</t>
  </si>
  <si>
    <t>mahises@gmail.com</t>
  </si>
  <si>
    <t>Mohan, Mahesh/C-3076-2011; P, Krishnan K/ABF-8783-2020</t>
  </si>
  <si>
    <t>Department of Environment and Climate Change; Ministry of Earth Sciences, India; University Grant Commission, India</t>
  </si>
  <si>
    <t>Department of Environment and Climate Change; Ministry of Earth Sciences, India; University Grant Commission, India(University Grants Commission, India)</t>
  </si>
  <si>
    <t>10.1002/jobm.201700496</t>
  </si>
  <si>
    <t>GB4AG</t>
  </si>
  <si>
    <t>WOS:000429001400002</t>
  </si>
  <si>
    <t>Dow, CF; Werder, MA; Babonis, G; Nowicki, S; Walker, RT; Csatho, B; Morlighem, M</t>
  </si>
  <si>
    <t>Dow, C. F.; Werder, M. A.; Babonis, G.; Nowicki, S.; Walker, R. T.; Csatho, B.; Morlighem, M.</t>
  </si>
  <si>
    <t>Dynamics of Active Subglacial Lakes in Recovery Ice Stream</t>
  </si>
  <si>
    <t>subglacial lakes; glacier hydrology; modeling; ice streams; ice dynamics</t>
  </si>
  <si>
    <t>WEST ANTARCTICA; EAST ANTARCTICA; LASER ALTIMETRY; MASS-BALANCE; SHEET; DRAINAGE; SURFACE; MODEL; BENEATH; SYSTEM</t>
  </si>
  <si>
    <t>Recovery Ice Stream has a substantial number of active subglacial lakes that are observed, with satellite altimetry, to grow and drain over multiple years. These lakes store and release water that could be important for controlling the velocity of the ice stream. We apply a subglacial hydrology model to analyze lake growth and drainage characteristics together with the simultaneous development of the ice stream hydrological network. Our outputs produce a good match between modeled lake location and those identified using satellite altimetry for many of the lakes. The modeled subglacial system demonstrates development of pressure waves that initiate at the ice stream neck and transit to within 100km of the terminus. These waves alter the hydraulic potential of the ice stream and encourage growth and drainage of the subglacial lakes. Lake drainage can cause large R-channels to develop between basal overdeepenings that persist for multiple years. The pressure waves, along with lake growth and drainage rates, do not identically repeat over multiple years due to basal network development. This suggests that the subglacial hydrology of Recovery Ice Stream is influenced by regional drainage development on the scale of hundreds of kilometers rather than local conditions over tens of kilometers. Plain Language Summary Ice streams are fast-flowing areas of the Antarctic ice sheet that drain large quantities of ice into the ocean, contributing to sea level rise. We have run a model of water flow underneath Recovery Ice Stream to examine lakes that build up and drain underneath kilometers of ice to find out whether they have an impact on the speed of the overlying ice. We find that the timing of the lake growth and drainage is determined by the hydrological conditions underneath the entirety of the ice stream, stretching over hundreds of kilometers. As the lakes drain, they melt channels that connect as sub-ice rivers between the drainage basins. We also find that the regions of highest water pressure, and therefore the fastest-moving overlying ice, are concentrated in the deepest parts of the trough that the ice stream flows through. This is an important finding for determining the controls on fast ice stream flow speed and therefore the stability of the Antarctic ice sheet.</t>
  </si>
  <si>
    <t>[Dow, C. F.] Univ Waterloo, Dept Geog &amp; Environm Management, Waterloo, ON, Canada; [Dow, C. F.; Nowicki, S.; Walker, R. T.] NASA, Goddard Space Flight Ctr, Cryospher Sci Lab, Greenbelt, MD USA; [Werder, M. A.] Swiss Fed Inst Technol, Lab Hydraul Hydrol &amp; Glaciol VAW, Zurich, Switzerland; [Babonis, G.] SUNY Buffalo, Geol Dept, Buffalo, NY USA; [Walker, R. T.] Univ Maryland, Earth Syst Sci Interdisciplinary Ctr, College Pk, MD 20742 USA; [Morlighem, M.] Univ Calif Irvine, Dept Earth Syst Sci, Irvine, CA USA</t>
  </si>
  <si>
    <t>University of Waterloo; National Aeronautics &amp; Space Administration (NASA); NASA Goddard Space Flight Center; Swiss Federal Institutes of Technology Domain; ETH Zurich; State University of New York (SUNY) System; State University of New York (SUNY) Buffalo; University System of Maryland; University of Maryland College Park; University of California System; University of California Irvine</t>
  </si>
  <si>
    <t>Dow, CF (corresponding author), Univ Waterloo, Dept Geog &amp; Environm Management, Waterloo, ON, Canada.;Dow, CF (corresponding author), NASA, Goddard Space Flight Ctr, Cryospher Sci Lab, Greenbelt, MD USA.</t>
  </si>
  <si>
    <t>christine.dow@uwaterloo.ca</t>
  </si>
  <si>
    <t>Morlighem, Mathieu/O-9942-2014; Csatho, Beata/KGK-9301-2024</t>
  </si>
  <si>
    <t>Morlighem, Mathieu/0000-0001-5219-1310; Werder, Mauro/0000-0003-0137-9377; Csatho, Beata/0000-0001-7768-4998; Dow, Christine/0000-0003-1346-2258</t>
  </si>
  <si>
    <t>NASA; Natural Sciences and Engineering Research Council of Canada [RGPIN-03761-2017]; Canada Research Chairs Program; NSF [PLR-1443284]; NASA [NNH13ZDA001N, NNX10AO66H, NNX14AN03G]; NASA [NNX14AN03G, NNX10AO66H, 126926, 677588] Funding Source: Federal RePORTER</t>
  </si>
  <si>
    <t>NASA(National Aeronautics &amp; Space Administration (NASA)); Natural Sciences and Engineering Research Council of Canada(Natural Sciences and Engineering Research Council of Canada (NSERC)CGIAR); Canada Research Chairs Program(Canada Research Chairs); NSF(National Science Foundation (NSF)); NASA(National Aeronautics &amp; Space Administration (NASA)); NASA(National Aeronautics &amp; Space Administration (NASA))</t>
  </si>
  <si>
    <t>C. D. was supported with a NASA Postdoctoral Program fellowship at the Goddard Space Flight Center, administered by Oak Ridge Associated Universities and Universities Space Research Association through a contract with NASA; and through Natural Sciences and Engineering Research Council of Canada (RGPIN-03761-2017) and the Canada Research Chairs Program funding. S. N. and R. W. were supported by the NASA Cryosphere Science Program. R. W. was also supported by NSF grant PLR-1443284. G. B. and B. C. acknowledge funding from NASA Sea Level Rise Program (NNH13ZDA001N); G. B. was also supported by the NASA Earth and Space Science Fellowship Program (NNX10AO66H). M. M. was supported by the NASA Sea Level Rise Program (NNX14AN03G). ICESat and Antarctic basal topography data are available from the National Snow and Ice Data Center (NSIDC). Model outputs are available in Zenodo data repository (doi:10.5281/zenodo.1197370). We thank the Editor and three anonymous reviewers for their helpful comments.</t>
  </si>
  <si>
    <t>10.1002/2017JF004409</t>
  </si>
  <si>
    <t>GF5MX</t>
  </si>
  <si>
    <t>WOS:000432012800012</t>
  </si>
  <si>
    <t>Holzer, M; Smethie, WM; Ting, YH</t>
  </si>
  <si>
    <t>Holzer, Mark; Smethie, William M., Jr.; Ting, Yu-Heng</t>
  </si>
  <si>
    <t>Ventilation of the Subtropical North Atlantic: Locations and Times of Last Ventilation Estimated Using Tracer Constraints From GEOTRACES Section GA03</t>
  </si>
  <si>
    <t>ventilation; tracers; boundary propagator; deconvolution; water masses; time scales</t>
  </si>
  <si>
    <t>LABRADOR SEA; ANTHROPOGENIC CARBON; TRANSIT-TIME; DENMARK STRAIT; DATA PRODUCT; DEEP-WATER; OCEAN; DISTRIBUTIONS; GREENLAND; TRANSPORT</t>
  </si>
  <si>
    <t>The ventilation of the subtropical North Atlantic along GEOTRACES section GA03 is quantified in terms of where and how long ago water was last in the mixed layer. Measurements of T, S, PO4, CFC-11, CFC-12, SF6, and estimates of prebomb C-14 are deconvolved for the boundary propagator G using a maximum-entropy approach. From G, we calculate the fractions of water last ventilated in specified surface regions (w). We estimate that (5613)% of the water deeper than 1,000 m was ventilated in northern high latitudes, (155)% in the Mediterranean, and (2712)% in the Southern Ocean. Below the thermocline and outside the deep western boundary current, mean ages of (w)-ventilated water exceed a century. Consequently, memory of where last ventilation occurred tends to get lost and the deep mean-age patterns of (w)-ventilated water are broadly similar for all (w). The mean ventilation ages, averaged over the section with (w)-fraction weights, are roughly 200 years for all deep water masses except for water last ventilated south of the Antarctic divergence, which is about twice as old. The uncertainties in the section-mean profiles of the (w) fractions and their mean ages are approximate to 50% and approximate to 20%, respectively. The (w) fractions have vertically diffuse overlapping patterns suggesting significant diapycnal mixing, consistent with century-scale mean ages. We quantify the seasonal cycle of ventilation and find that in both hemispheres peak ventilation occurs during late winter and early spring, but Northern Hemisphere ventilated deep waters have a more pronounced seasonal cycle with nearly zero summertime ventilation.</t>
  </si>
  <si>
    <t>[Holzer, Mark; Ting, Yu-Heng] Univ New South Wales, Sch Math &amp; Stat, Dept Appl Math, Sydney, NSW, Australia; [Smethie, William M., Jr.] Columbia Univ, Lamont Doherty Earth Observ, Palisades, NY USA</t>
  </si>
  <si>
    <t>University of New South Wales Sydney; Columbia University</t>
  </si>
  <si>
    <t>Holzer, M (corresponding author), Univ New South Wales, Sch Math &amp; Stat, Dept Appl Math, Sydney, NSW, Australia.</t>
  </si>
  <si>
    <t>mholzer@unsw.edu.au</t>
  </si>
  <si>
    <t>Holzer, Mark/E-8735-2011</t>
  </si>
  <si>
    <t>Holzer, Mark/0000-0002-9568-1763; Smethie, William/0000-0001-7580-8918</t>
  </si>
  <si>
    <t>US National Science Foundation [OCE-1332834, OCE-0928612, OCE-1132545]; Directorate For Geosciences; Division Of Ocean Sciences [1332834] Funding Source: National Science Foundation</t>
  </si>
  <si>
    <t>US National Science Foundation(National Science Foundation (NSF)); Directorate For Geosciences; Division Of Ocean Sciences(National Science Foundation (NSF)NSF - Directorate for Geosciences (GEO))</t>
  </si>
  <si>
    <t>This work was supported by US National Science Foundation grants OCE-1332834, OCE-0928612, and OCE-1132545 (W.S.). The hydrographic, CFC, and SF6 data for GEOTRACES section GA03 are available publicly online at the Biological and Chemical Oceanography Data Management Office (BCO-DMO, http://www.bco.dmo.org) and are included in the GEOTRACES Intermediate Data Product 2014 (Mawji et al., 2015). The GLODAP CFC data are available from cdiac.ornl.gov/ftp/oceans/GLODAP_Gridded_Data. Atmospheric CFC and SF6 concentrations are provided by www.nodc.noaa.gov/ocads/oceans/CFC_ATM_Hist2015.html. Climatological data were taken from WOA09, www.nodc.noaa.gov/OC5/WOA09/woa09data.html.</t>
  </si>
  <si>
    <t>10.1002/2017JC013698</t>
  </si>
  <si>
    <t>GI1LL</t>
  </si>
  <si>
    <t>WOS:000434131900002</t>
  </si>
  <si>
    <t>Minchew, BM; Gudmundsson, GH; Gardner, AS; Paolo, FS; Fricker, HA</t>
  </si>
  <si>
    <t>Minchew, Brent M.; Gudmundsson, G. Hilmar; Gardner, Alex S.; Paolo, Fernando S.; Fricker, Helen A.</t>
  </si>
  <si>
    <t>Modeling the dynamic response of outlet glaciers to observed ice-shelf thinning in the Bellingshausen Sea Sector, West Antarctica</t>
  </si>
  <si>
    <t>JOURNAL OF GLACIOLOGY</t>
  </si>
  <si>
    <t>glacier flow; glacier modeling; glaciological model experiments; ice-ocean interactions; ice shelves</t>
  </si>
  <si>
    <t>SURFACE MASS-BALANCE; PINE ISLAND GLACIER; FLOW; STABILITY; GREENLAND; DISCHARGE; COLLAPSE; RETREAT</t>
  </si>
  <si>
    <t>Satellite observations of gravity anomalies, ice-surface elevation and glacier velocity show significant increases in net grounded-ice-mass loss over the past decade along the Bellingshausen Sea sector (BSS), West Antarctica, in areas where warm (&gt; 1 degrees C) sea water floods the continental shelf. These observations provide compelling but indirect evidence that mass losses are driven primarily by reduced buttressing from the floating ice shelves caused by ocean-driven ice-shelf thinning. Here, we combine recent observations of ice velocity, thickness and thickness changes with an ice flow model to study the instantaneous dynamic response of BSS outlet glaciers to observed ice-shelf thinning, alone. Our model results show that multiple BSS outlet glaciers respond instantaneously to observed ice-shelf thinning, particularly in areas where ice shelves ground at discrete points. Increases in modeled and observed dynamic mass losses, however, account for similar to 5% of the mass loss rates estimated from gravity anomalies and changes in ice-surface elevation, suggesting that variations in surface mass balance may be key to understanding recent BSS mass loss. Our approach isolates the impact of ice-shelf thinning on glacier flow and shows that if ice-shelf thinning continues at or above current rates, total BSS mass loss will increase in the next decade.</t>
  </si>
  <si>
    <t>[Minchew, Brent M.; Gudmundsson, G. Hilmar] British Antarctic Survey, Cambridge, England; [Gardner, Alex S.; Paolo, Fernando S.] CALTECH, Jet Prop Lab, Pasadena, CA USA; [Paolo, Fernando S.; Fricker, Helen A.] Univ Calif San Diego, Scripps Inst Oceanog, San Diego, CA 92103 USA</t>
  </si>
  <si>
    <t>UK Research &amp; Innovation (UKRI); Natural Environment Research Council (NERC); NERC British Antarctic Survey; California Institute of Technology; National Aeronautics &amp; Space Administration (NASA); NASA Jet Propulsion Laboratory (JPL); University of California System; University of California San Diego; Scripps Institution of Oceanography</t>
  </si>
  <si>
    <t>Minchew, BM (corresponding author), British Antarctic Survey, Cambridge, England.</t>
  </si>
  <si>
    <t>minchew@mit.edu</t>
  </si>
  <si>
    <t>Gudmundsson, Gudmundur Hilmar/AAU-5987-2020; Paolo, Fernando/AGQ-9348-2022</t>
  </si>
  <si>
    <t>Gudmundsson, Gudmundur Hilmar/0000-0003-4236-5369; Paolo, Fernando/0000-0002-6439-2918; Gardner, Alex/0000-0002-8394-8889; Fricker, Helen Amanda/0000-0002-0921-1432</t>
  </si>
  <si>
    <t>NSF Earth Sciences Postdoctoral Fellowship [EAR-1452587]; NERC [bas0100034] Funding Source: UKRI</t>
  </si>
  <si>
    <t>NSF Earth Sciences Postdoctoral Fellowship; NERC(UK Research &amp; Innovation (UKRI)Natural Environment Research Council (NERC))</t>
  </si>
  <si>
    <t>We benefitted from discussions with J. Bamber and B. Wouters. Surface elevation changes were provided by B. Wouters, RACMO2.3 results were provided by J. M. Van Wessem, and ice shelf thickness measurements by S. Chuter. B.M. is funded by NSF Earth Sciences Postdoctoral Fellowship award EAR-1452587 and his work was completed while at the British Antarctic Survey.</t>
  </si>
  <si>
    <t>0022-1430</t>
  </si>
  <si>
    <t>1727-5652</t>
  </si>
  <si>
    <t>J GLACIOL</t>
  </si>
  <si>
    <t>J. Glaciol.</t>
  </si>
  <si>
    <t>10.1017/jog.2018.24</t>
  </si>
  <si>
    <t>GD3RU</t>
  </si>
  <si>
    <t>WOS:000430422000014</t>
  </si>
  <si>
    <t>Morozov, EG; Tarakanov, RY; Frey, DI; Demidova, TA; Makarenko, NI</t>
  </si>
  <si>
    <t>Morozov, Eugene G.; Tarakanov, Roman Yu; Frey, Dmitry I.; Demidova, Tatiana A.; Makarenko, Nikolay I.</t>
  </si>
  <si>
    <t>Bottom water flows in the tropical fractures of the Northern Mid-Atlantic Ridge</t>
  </si>
  <si>
    <t>JOURNAL OF OCEANOGRAPHY</t>
  </si>
  <si>
    <t>Abyssal currents; Antarctic Bottom Water; Fracture zones; Mid-Atlantic Ridge; Underwater cataracts; CTD/LADCP measurements</t>
  </si>
  <si>
    <t>BRAZIL BASIN; ZONE; OCEAN; TRANSPORT; BOUNDARY; ROMANCHE; CATARACTS; SEA</t>
  </si>
  <si>
    <t>The goal of this paper is to study the flows of Antarctic Bottom Water through the fracture zones in the northern part of the Mid-Atlantic Ridge based on the Conductivity-Temperature-Depth and Lowered Acoustic Doppler Current Profiler observations in 2014, 2015, and 2016. We measured the thermohaline properties and velocities and analyzed the flows of bottom water in the Strakhov, Bogdanov, nameless (07A degrees 28'N), Vernadsky, Doldrums, Arkhangelsky, Ten Degree, Vema, Marathon, Fifteen Twenty, and Kane fracture zones. These abyssal channels connect the deep basins of the East and West Atlantic. In addition to the known fact that the main portion of water propagates through the Vema Fracture Zone (11A degrees N), we estimated that additionally a half of this volume propagates through the other fractures. Nevertheless, the pathway for the coldest water is located in the Vema Fracture Zone. Velocities of bottom currents in this fracture reach 45 cm/s. We found strong difference in the structure and transport through the Vema Fracture Zone based on four sections across the fracture occupied in 3 years from 2014 to 2016. The transport varies from 0.7 to 1.2 Sv. The core of maximum velocity in the main channel of this fracture changes its depth between 4000 m and the bottom at 4650 m. The total transport through the other fracture zones is as high as 0.48 +/- 0.05 Sv.</t>
  </si>
  <si>
    <t>[Morozov, Eugene G.; Tarakanov, Roman Yu; Frey, Dmitry I.; Demidova, Tatiana A.] Russian Acad Sci, Shirshov Inst Oceanol, Nakhimovsky Pr 36, Moscow 117997, Russia; [Makarenko, Nikolay I.] Russian Acad Sci, Lavrentiev Inst Hydrodynam, Pr Akad Lavrientieva 15, Novosibirsk 630090, Russia</t>
  </si>
  <si>
    <t>Russian Academy of Sciences; Shirshov Institute of Oceanology; Russian Academy of Sciences; Lavrentyev Institute of Hydrodynamics</t>
  </si>
  <si>
    <t>Morozov, EG (corresponding author), Russian Acad Sci, Shirshov Inst Oceanol, Nakhimovsky Pr 36, Moscow 117997, Russia.</t>
  </si>
  <si>
    <t>egmorozov@mail.ru</t>
  </si>
  <si>
    <t>Frey, Dmitry/X-9812-2018; Tarakanov, Roman/R-3325-2016; Frey, Dmitry/AAD-3366-2021; Morozov, Eugene G/L-3023-2018</t>
  </si>
  <si>
    <t>Tarakanov, Roman/0000-0002-8711-1859; Frey, Dmitry/0000-0001-8141-9513; Morozov, Eugene/0000-0002-0251-3454</t>
  </si>
  <si>
    <t>Russian Foundation for Basic Research [14-08-00107, 15-01-03942, 17-08-00085]; Russian Science Foundation [14-50-00095]</t>
  </si>
  <si>
    <t>Russian Foundation for Basic Research(Russian Foundation for Basic Research (RFBR)Spanish Government); Russian Science Foundation(Russian Science Foundation (RSF))</t>
  </si>
  <si>
    <t>The work by E. G. Morozov, R. T. Tarakanov, D. I. Frey, T. A. Demidova, and N. I. Makarenko has been funded by the Russian Foundation for Basic Research Grants 14-08-00107, 15-01-03942, and 17-08-00085 (field studies); and Russian Science Foundation Grant 14-50-00095 (analysis). We thank the editor and two anonymous reviewers for their time and efforts and for the very important comments for the manuscript that helped us to make the presentation better.</t>
  </si>
  <si>
    <t>0916-8370</t>
  </si>
  <si>
    <t>1573-868X</t>
  </si>
  <si>
    <t>J OCEANOGR</t>
  </si>
  <si>
    <t>J. Oceanogr.</t>
  </si>
  <si>
    <t>10.1007/s10872-017-0445-x</t>
  </si>
  <si>
    <t>FX7PQ</t>
  </si>
  <si>
    <t>WOS:000426283100002</t>
  </si>
  <si>
    <t>Kim, D; Lee, EJ; Lee, J; Leutou, AS; Shin, YH; Choi, B; Hwang, JS; Hahn, D; Choi, H; Chin, J; Cho, SJ; Hong, YD; Ko, J; Seong, CN; Maloney, KN; Oh, DC; Yang, I; Hwang, H; Nam, SJ</t>
  </si>
  <si>
    <t>Kim, Dayoung; Lee, Eun Ju; Lee, Jihye; Leutou, Alain S.; Shin, Yern-Hyerk; Choi, Bomi; Hwang, Ji Sun; Hahn, Dongyup; Choi, Hyukjae; Chin, Jungwook; Cho, Sung Jin; Hong, Yong Deog; Ko, Jaeyoung; Seong, Chi Nam; Maloney, Katherine N.; Oh, Dong-Chan; Yang, Inho; Hwang, Hayoung; Nam, Sang-Jip</t>
  </si>
  <si>
    <t>Antartin, a Cytotoxic Zizaane-Type Sesquiterpenoid from a Streptomyces sp Isolated from an Antarctic Marine Sediment</t>
  </si>
  <si>
    <t>MARINE DRUGS</t>
  </si>
  <si>
    <t>Streptomyces sp.; cold water natural product; marine natural product; zizaane-type sesquiterpenoid</t>
  </si>
  <si>
    <t>BIOLOGICAL-ACTIVITY; NATURAL-PRODUCTS; ALBAFLAVENONE; BIOSYNTHESIS; DRUGS</t>
  </si>
  <si>
    <t>Antartin (1), a new zizaane-type sesquiterpene, was isolated from Streptomyces sp. SCO736. The chemical structure of 1 was assigned from the interpretation of 1D and 2D NMR in addition to mass spectrometric data. The relative stereochemistry of 1 was determined by analysis of NOE data, while the absolute stereochemistry was decided based on a comparison of experimental and calculated electronic circular dichroism (ECD) spectra. Antartin (1) showed cytotoxicity against A549, H1299, and U87 cancer cell lines by causing cell cycle arrest at the G1 phase.</t>
  </si>
  <si>
    <t>[Kim, Dayoung; Lee, Jihye; Leutou, Alain S.; Choi, Bomi; Nam, Sang-Jip] Ewha Womans Univ, Dept Chem &amp; Nano Sci, Seoul 03760, South Korea; [Lee, Eun Ju; Hwang, Ji Sun; Chin, Jungwook; Cho, Sung Jin; Hwang, Hayoung] DGMIF, New Drug Dev Ctr, Daegu 41061, South Korea; [Shin, Yern-Hyerk; Oh, Dong-Chan] Seoul Natl Univ, Coll Pharm, Nat Prod Res Inst, San 56-1, Seoul 08826, South Korea; [Hahn, Dongyup] Kyungpook Natl Univ, Coll Agr &amp; Life Sci, Sch Food Sci &amp; Biotechnol, Daegu 41566, South Korea; [Hahn, Dongyup] Kyungpook Natl Univ, Inst Agr Sci &amp; Technol, Daegu 41566, South Korea; [Choi, Hyukjae] Yeungnam Univ, Coll Pharm, Gyongsan 38541, Gyeongsangbukdo, South Korea; [Hong, Yong Deog; Ko, Jaeyoung] Mat Lab Amorepacific R&amp;D Unit, Yongin 17074, Gyeonggi Do, South Korea; [Seong, Chi Nam] Sunchon Natl Univ, Coll Life Sci &amp; Nat Resource, Dept Biol, Sunchon 57922, South Korea; [Maloney, Katherine N.] Point Loma Nazarene Univ, Dept Chem, 3900 Lomaland Dr, San Diego, CA 92106 USA; [Yang, Inho] Korea Maritime &amp; Ocean Univ, Dept Convergence Study Ocean Sci &amp; Technol, Busan 49112, South Korea</t>
  </si>
  <si>
    <t>Ewha Womans University; Seoul National University (SNU); Kyungpook National University; Kyungpook National University; Yeungnam University; Sunchon National University; Korea Maritime &amp; Ocean University</t>
  </si>
  <si>
    <t>Nam, SJ (corresponding author), Ewha Womans Univ, Dept Chem &amp; Nano Sci, Seoul 03760, South Korea.;Hwang, H (corresponding author), DGMIF, New Drug Dev Ctr, Daegu 41061, South Korea.;Yang, I (corresponding author), Korea Maritime &amp; Ocean Univ, Dept Convergence Study Ocean Sci &amp; Technol, Busan 49112, South Korea.</t>
  </si>
  <si>
    <t>rlaekdud0503@naver.com; ejlee@dgmif.re.kr; jl3414@gmail.com; leutoualain@yahoo.fr; itsue00@snu.ac.kr; bomeec87@naver.com; hjs1228@dgmif.re.kr; dohahn@knu.ac.kr; h5choi@yu.ac.kr; jwchin@dgmif.re.kr; sjcho@dgmif.re.kr; hydhong@amorepacific.com; jaeyoungko@amorepacific.com; scnu@sunchon.ac.kr; KatherineMaloney@pointloma.edu; dongchanoh@snu.ac.kr; ihyang@kmou.ac.kr; hwanghy@dgmif.re.kr; sjnam@ewah.ac.kr</t>
  </si>
  <si>
    <t>Chin, Jungwook/E-7611-2013; Leutou, Alain/AAI-1382-2020; lee, wj/JNR-4926-2023; LEE, JIEUN/HTN-1777-2023; Lee, Eun-ju/JAN-8749-2023</t>
  </si>
  <si>
    <t>Leutou, Alain/0000-0002-2594-9007; Cho, Sung Jin/0000-0002-4786-8830; Yang, Inho/0000-0003-0990-1465</t>
  </si>
  <si>
    <t>Basic Science Research Program through the National Research Foundation of Korea (NRF) - Ministry of Science, ICT, and Future Planning [NRF-2017R1D1A1B03028172]</t>
  </si>
  <si>
    <t>Basic Science Research Program through the National Research Foundation of Korea (NRF) - Ministry of Science, ICT, and Future Planning</t>
  </si>
  <si>
    <t>The present study was supported by Basic Science Research Program through the National Research Foundation of Korea (NRF) funded by the Ministry of Science, ICT, and Future Planning under grant NRF-2017R1D1A1B03028172.</t>
  </si>
  <si>
    <t>1660-3397</t>
  </si>
  <si>
    <t>MAR DRUGS</t>
  </si>
  <si>
    <t>Mar. Drugs</t>
  </si>
  <si>
    <t>10.3390/md16040130</t>
  </si>
  <si>
    <t>Chemistry, Medicinal; Pharmacology &amp; Pharmacy</t>
  </si>
  <si>
    <t>Pharmacology &amp; Pharmacy</t>
  </si>
  <si>
    <t>GE2TR</t>
  </si>
  <si>
    <t>WOS:000431068000032</t>
  </si>
  <si>
    <t>Irvine, LG; Thums, M; Hanson, CE; McMahon, CR; Hindell, MA</t>
  </si>
  <si>
    <t>Irvine, Lyn G.; Thums, Michele; Hanson, Christine E.; McMahon, Clive R.; Hindell, Mark A.</t>
  </si>
  <si>
    <t>Evidence for a widely expanded humpback whale calving range along the Western Australian coast</t>
  </si>
  <si>
    <t>MARINE MAMMAL SCIENCE</t>
  </si>
  <si>
    <t>Megaptera novaeangliae; humpback whale; calving areas; calving ground; neonate calves; Western Australia</t>
  </si>
  <si>
    <t>SOUTHERN RIGHT WHALES; MEGAPTERA-NOVAEANGLIAE; BALEEN WHALES; BEHAVIORAL-DEVELOPMENT; EUBALAENA-AUSTRALIS; HAWAIIAN WATERS; CENTRAL-AMERICA; MARINE MAMMALS; ORCINUS-ORCA; MIGRATION</t>
  </si>
  <si>
    <t>The recognized calving grounds of humpback whales (Megaptera novaeangliae) that breed along the Western Australian coast (Breeding Stock D) extend along the Kimberley coast between Camden Sound and Broome (15 degrees-18 degrees S). However, there are reports of neonates further south, suggesting that the calving areas may be poorly defined. During aerial photogrammetric research in 2013 and 2015, we sighted large numbers of humpback whale calves along North West Cape (21 degrees 47'-22 degrees 43'S). We estimated the minimum relative calf abundance to be 463-603 in 2013 and 557-725 in 2015. We categorized the calves as either neonate or post neonate according to their color and size. The majority of calves sighted in both years (85% in 2013; 94% in 2015) were neonates. Our observations indicate that a minimum of approximately 20% (17.1%-24.3%) of the expected number of calves of this population are born near, or south of, North West Cape. We thus demonstrate that the calving grounds for the Breeding Stock D population extend south from Camden Sound in the Kimberley (15 degrees S) to at least North West Cape (22 degrees 43'S), 1,000 km southwest of the currently recognized calving area.</t>
  </si>
  <si>
    <t>[Irvine, Lyn G.; McMahon, Clive R.; Hindell, Mark A.] Univ Tasmania, Inst Marine &amp; Antarctic Studies, Private Bag 129, Hobart, Tas 7001, Australia; [Thums, Michele] Univ Western Australia, Australian Inst Marine Sci, Indian Ocean Marine Res Ctr, M096,35 Stirling Highway, Crawley, WA 6009, Australia; [Hanson, Christine E.] BMT Oceanica Pty Ltd, POB 462, Wembley, WA 6913, Australia; [McMahon, Clive R.] Sydney Inst Marine Sci, 19 Chowder Bay Rd, Mosman, NSW 2088, Australia</t>
  </si>
  <si>
    <t>University of Tasmania; Australian Institute of Marine Science; University of Western Australia; Sydney Institute of Marine Science</t>
  </si>
  <si>
    <t>Irvine, LG (corresponding author), Univ Tasmania, Inst Marine &amp; Antarctic Studies, Private Bag 129, Hobart, Tas 7001, Australia.</t>
  </si>
  <si>
    <t>lynette.irvine@utas.edu.au</t>
  </si>
  <si>
    <t>Irvine, Lyn/KHD-4206-2024; McMahon, Clive R/D-5713-2013; Hindell, Mark A/K-1131-2013; Thums, Michele/A-3850-2013</t>
  </si>
  <si>
    <t>McMahon, Clive R/0000-0001-5241-8917; Thums, Michele/0000-0002-8669-8440; Hindell, Mark/0000-0002-7823-7185</t>
  </si>
  <si>
    <t>MIRG Australia; Norwest Air Work; Ningaloo Ecology Cruises; Exmouth Light Engineering; Ningaloo Blue; Exmouth Diving Centre; Ningaloo Whaleshark n Dive; Kings Ningaloo Reef Tours; Ocean Eco Adventures; Charter 1; WA Department of Parks and Wildlife (DPaW Exmouth)</t>
  </si>
  <si>
    <t>Our sincere thanks go to Mrs. Macs Shed, John Totterdell (MIRG Australia), and Cam Skirving for funding this study in 2015; and to Norwest Air Work, Ningaloo Ecology Cruises, Exmouth Light Engineering, Ningaloo Blue, Exmouth Diving Centre, Ningaloo Whaleshark n Dive, Kings Ningaloo Reef Tours, Ocean Eco Adventures, Charter 1, Michelle Seaton, Muriel Horack, Emily Jones, and Karen Thompson for supporting the research in 2013. We would also like to thank the WA Department of Parks and Wildlife (DPaW Exmouth) for supporting the research. A special thank you goes to Eric Roulston, Cam Skirving, and Fin Garside from Norwest Air Work for their skill and patience in piloting and maneuvering the spotter aircraft. An earlier version of the manuscript was improved by comments from W. L. Perryman, R. L. Pitman, and C. Salgado Kent. Research was conducted under permits from Department for Parks and Wildlife (DPaW) Regulation 17 Licence #SF010409, Regulation 04 Licence #CE004922 and from the University of Tasmania Animal Ethics Committee #A14185.</t>
  </si>
  <si>
    <t>0824-0469</t>
  </si>
  <si>
    <t>1748-7692</t>
  </si>
  <si>
    <t>MAR MAMMAL SCI</t>
  </si>
  <si>
    <t>Mar. Mamm. Sci.</t>
  </si>
  <si>
    <t>10.1111/mms.12456</t>
  </si>
  <si>
    <t>GE0PS</t>
  </si>
  <si>
    <t>WOS:000430918200002</t>
  </si>
  <si>
    <t>Alley, K; Patacca, K; Pike, J; Dunbar, R; Leventer, A</t>
  </si>
  <si>
    <t>Alley, Karen; Patacca, Kaylie; Pike, Jennifer; Dunbar, Rob; Leventer, Amy</t>
  </si>
  <si>
    <t>Iceberg Alley, East Antarctic Margin: Continuously laminated diatomaceous sediments from the late Holocene</t>
  </si>
  <si>
    <t>Diatoms; Southern Ocean; Holocene; Laminated sediments; East Antarctica</t>
  </si>
  <si>
    <t>FRAGILARIOPSIS-CYLINDRUS BACILLARIOPHYCEAE; SOUTHERN-OCEAN SEDIMENTS; MAC-ROBERTSON LAND; POLAR FRONTAL ZONES; SEA-ICE; VERTICAL MIGRATION; CONTINENTAL-SHELF; SURFACE SEDIMENTS; RESTING SPORES; ADELIE LAND</t>
  </si>
  <si>
    <t>A 24-meter jumbo piston core (NBP0101 JPC41) collected from an inner shelf basin in Iceberg Alley reveals an approximately 2000-year history of unusually high primary productivity. Iceberg Alley, an similar to 85 km long and 10-20 km wide cross-shelf trough on the Mac.Robertson Shelf, East Antarctica, reaches depths of 850 m and is bounded on either side by shallow banks that are lined with grounded icebergs. The sediments are laminated on a mm- to cm-scale throughout and are highly biosiliceous. Microscopic examination of smear slides, quantitative diatom slides, and sediment thin sections reveals that the sediments are visually dominated by the diatom Corethron pennatum, a large and lightly silicified species notable for its long and narrow shape; the valves, girdle bands and spines are all exceptionally well-preserved, suggesting rapid sedimentation. Other common species include sea ice-related Fragilariopsis, such as F. curta and F. cylindrus, with lesser contribution from other large diatoms, including Rhizosolenia spp. and Chaetoceros Ehrenberg subg. Chaetoceros. Chaetoceros Ehrenberg subg. Hyalochaete Gran resting spores, typically associated with large early-season blooms and common in many laminated sedimentary sections around the Antarctic margin, are surprisingly rare. Laminae with any significant terrigenous component are also very rare. Individual laminations appear to represent blooms, and in some cases sub-seasonal events are likely preserved. We suggest that this productive system is associated with the continuous presence of low-salinity meltwater derived from a combination of sea ice melt and grounded icebergs, which may be a source for a steady supply of micronutrients such as iron to the surface mixed layer.</t>
  </si>
  <si>
    <t>[Alley, Karen; Patacca, Kaylie; Leventer, Amy] Colgate Univ, Geol Dept, Hamilton, NY 13346 USA; [Pike, Jennifer] Cardiff Univ, Sch Earth &amp; Ocean Sci, Cardiff, S Glam, Wales; [Dunbar, Rob] Stanford Univ, Dept Environm Earth Syst Sci, Stanford, CA 94305 USA</t>
  </si>
  <si>
    <t>Colgate University; Cardiff University; Stanford University</t>
  </si>
  <si>
    <t>Alley, K (corresponding author), Colgate Univ, Geol Dept, Hamilton, NY 13346 USA.</t>
  </si>
  <si>
    <t>kalley@wooster.edu; kpatacca@colgate.edu; PikeJ@cardiff.ac.uk; dunbar@stanford.edu; aleventer@colgate.edu</t>
  </si>
  <si>
    <t>Pike, Jennifer/D-2589-2009; Alley, Karen E/HGE-5249-2022</t>
  </si>
  <si>
    <t>Pike, Jennifer/0000-0001-9415-6003; Alley, Karen E/0000-0003-0358-3806; Dunbar, Robert/0000-0002-9728-5609; Leventer, Amy/0000-0001-9401-0987</t>
  </si>
  <si>
    <t>NSF [OPP-9909367, OPP-9909837]; NERC [NE/G004811/1] Funding Source: UKRI</t>
  </si>
  <si>
    <t>NSF(National Science Foundation (NSF)); NERC(UK Research &amp; Innovation (UKRI)Natural Environment Research Council (NERC))</t>
  </si>
  <si>
    <t>We thank Tom Gregory for advice on thin section preparation procedures, and Charlotte Sjunneskog and Steve Petrushak for their assistance in sampling the core. Caitlin Cunningham and Kara Vadman were invaluable throughout the slide preparation process. We thank the scientific party and crew of the RVIB NB Palmer cruise NBP0101. NSF OPP-9909367 and -9909837 supported this project.</t>
  </si>
  <si>
    <t>10.1016/j.marmicro.2017.12.002</t>
  </si>
  <si>
    <t>GC8GQ</t>
  </si>
  <si>
    <t>WOS:000430032200005</t>
  </si>
  <si>
    <t>Majda, A; Majewski, W; Mamos, T; Grabowski, M; Godoi, MA; Pawlowski, J</t>
  </si>
  <si>
    <t>Majda, Aneta; Majewski, Wojciech; Mamos, Tomasz; Grabowski, Michal; Angelica Godoi, Maria; Pawlowski, Jan</t>
  </si>
  <si>
    <t>Variable dispersal histories across the Drake Passage: The case of coastal benthic Foraminifera</t>
  </si>
  <si>
    <t>West Antarctica; Southern Patagonia; Foraminifera; rDNA; Population structure; Gene flow; Isolation</t>
  </si>
  <si>
    <t>KING GEORGE ISLAND; WESTERN ANTARCTIC PENINSULA; SUBUNIT RDNA SEQUENCES; SOUTHERN SOUTH-AMERICA; LA MESETA FORMATION; MONOTHALAMOUS FORAMINIFERAN; MOLECULAR PHYLOGENY; SEYMOUR ISLAND; DNA-SEQUENCES; FUEGIAN ANDES</t>
  </si>
  <si>
    <t>The molecular population structure of eight benthic Foraminifera with the same or similar morphotypes in shallow waters of West Antarctica and southern Patagonia was analyzed based on the SSU rDNA. The data suggest recent gene flow across the Drake Passage for the foraminiferal species Pullenia subcarinata as well as for a molecular operational taxonomic unit (MOTU) of Micrometula but not for the remaining majority of taxa/MOTUs. The molecular population structures of different taxa shown by haplotype networks is highly variable, indicating different dispersal histories. Antarctic species/MOTUs show star-like topologies reflecting post-glacial demographic and/or spatial expansion from limited refugia on the Antarctic continental shelf. Some Patagonian species/MOTUs show reticulate topologies suggesting more steady and prolonged evolution, while others show star-like topologies that could reflect impact of South American glaciations. The time-calibrated Bayesian phylogenetic reconstruction suggests that the isolation between Antarctic and Patagonian species/MOTUs postdates the Eocene/Oligocene boundary. Large differences in divergence times between the examined Foraminifera support the hypothesis that separation of ecosystems on the opposite sides of the Drake Passage was a gradual process that started &gt; 30 Ma. It seems that the shallow-water monothalamids were the first to be impacted. Among the calcareous forms, the majority of the divergence ages were at 15 Ma or younger, suggesting that the mid-Miocene was the most important period concerning the separation between Antarctic and Patagonian shallow-water benthic biota.</t>
  </si>
  <si>
    <t>[Majda, Aneta; Majewski, Wojciech] Polish Acad Sci, Inst Paleobiol, Warsaw, Poland; [Mamos, Tomasz; Grabowski, Michal] Univ Lodz, Dept Invertebrate Zool &amp; Hydrobiol, Lodz, Poland; [Angelica Godoi, Maria] Univ Magallanes, Direcc Programas Antarcticos, Punta Arenas, Chile; [Pawlowski, Jan] Univ Geneva, Dept Genet &amp; Evolut, Geneva, Switzerland</t>
  </si>
  <si>
    <t>Polish Academy of Sciences; Institute of Paleobiology of the Polish Academy of Sciences; University of Lodz; Universidad de Magallanes; University of Geneva</t>
  </si>
  <si>
    <t>Majewski, W (corresponding author), Polish Acad Sci, Inst Paleobiol, Warsaw, Poland.</t>
  </si>
  <si>
    <t>wmaj@twarda.pan.pl</t>
  </si>
  <si>
    <t>Pawlowski, Jan/JNS-6857-2023; Grabowski, Michal/K-1016-2012; Mamos, Tomasz/AAU-9303-2020; Majewski, Wojciech/D-9255-2017</t>
  </si>
  <si>
    <t>Grabowski, Michal/0000-0002-4551-3454; Mamos, Tomasz/0000-0002-0524-3015; Majewski, Wojciech/0000-0002-5407-1782</t>
  </si>
  <si>
    <t>Swiss National Science Foundation [31003A_140766, 31003A_159709]; Polish National Science Centre [2011/01/B/ST10/06956, 2013/11/N/ST10/01663]; Swiss National Science Foundation (SNF) [31003A_159709] Funding Source: Swiss National Science Foundation (SNF)</t>
  </si>
  <si>
    <t>Swiss National Science Foundation(Swiss National Science Foundation (SNSF)); Polish National Science Centre; Swiss National Science Foundation (SNF)(Swiss National Science Foundation (SNSF))</t>
  </si>
  <si>
    <t>This work was supported by Swiss National Science Foundation grants 31003A_140766 and 31003A_159709. The Polish National Science Centre provided partial support for the field work in Patagonia (project number 2011/01/B/ST10/06956) and for the research of Aneta Majda (project number 2013/11/N/ST10/01663). We thank Maria Holzmann for helping in processing foraminiferal sequences and two anonymous reviewers for their valuable comments that helped to improve this paper.</t>
  </si>
  <si>
    <t>10.1016/j.marmicro.2018.02.004</t>
  </si>
  <si>
    <t>WOS:000430032200007</t>
  </si>
  <si>
    <t>Wang, Y; Wang, Y; Li, DX; Xu, JG; Ye, CY</t>
  </si>
  <si>
    <t>Wang, Yi; Wang, Yan; Li, Dongxun; Xu, Jianguo; Ye, Changyun</t>
  </si>
  <si>
    <t>Detection of nucleic acids and elimination of carryover contamination by using loop-mediated isothermal amplification and antarctic thermal sensitive uracil-DNA-glycosylase in a lateral flow biosensor: application to the detection of Streptococcus pneumoniae</t>
  </si>
  <si>
    <t>MICROCHIMICA ACTA</t>
  </si>
  <si>
    <t>Diagnostic technique; Nucleic acid amplification; Limit of detection; Nanoparticles; False-positive result</t>
  </si>
  <si>
    <t>DIPSTICK; STRATEGY</t>
  </si>
  <si>
    <t>The authors report on a loop-mediated isothermal amplification (LAMP) scheme that uses antarctic thermally sensitive uracil-DNA-glycosylase (AUDG) for simultaneous detection of nucleic acids and elimination of carryover contamination. It was applied in a lateral flow assay (LFA) format. The assay has attractive features in that it does not require the use of labeled primers or probes, and can eliminate false-positive results generated by unwanted hybridization between two labeled primers or between a labeled primer and probe. LAMP amplification and AUDG digestion are conducted in a single pot, and the application of a closed-tube reaction prevents false-positives due to carryover contamination. The method was applied to the detection of the human pathogen Streptococcus pneumoniaein in pure cultures and spiked blood samples. This LFA can detect S. pneumoniae in pure cultures with a 25 fg.mu L-1 detection limit and in spiked blood samples with a 470 cfu.mL(-1) detection limit. Conceivably, this assay can be applied to the detection of various other targets if the specific LAMP primers are available.</t>
  </si>
  <si>
    <t>[Wang, Yi; Wang, Yan; Xu, Jianguo; Ye, Changyun] Chinese Ctr Dis Control &amp; Prevent, Natl Inst Communicable Dis Control &amp; Prevent, Collaborat Innovat Ctr Diag &amp; Treatment Infect Di, State Key Lab Infect Dis Prevent &amp; Control, Beijing 102206, Peoples R China; [Li, Dongxun] Changping Dist Ctr Dis Control &amp; Prevent, Beijing 102200, Peoples R China</t>
  </si>
  <si>
    <t>Collaborative Innovation Center for Diagnosis &amp; Treatment of Infectious Diseases; Chinese Center for Disease Control &amp; Prevention; National Institute for Communicable Disease Control &amp; Prevention, Chinese Center for Disease Control &amp; Prevention</t>
  </si>
  <si>
    <t>chen, yijia/KGM-4378-2024; Wang, Yi/JAD-1967-2023; Li, Guo/JNR-1700-2023; wang, yiting/GYU-5306-2022</t>
  </si>
  <si>
    <t>We acknowledge the financial supports of the grants (Mega Project of Research on the Prevention and Control of HIV/AIDS, Viral Hepatitis Infectious Diseases 2013ZX10004-101 to Changyun Ye) from the Ministry of Science and Technology, People's Republic of China, and grant (2015SKLID507 to Changyun Ye) from State Key Laboratory of Infectious Disease Prevention and Control, China CDC.</t>
  </si>
  <si>
    <t>SPRINGER WIEN</t>
  </si>
  <si>
    <t>WIEN</t>
  </si>
  <si>
    <t>SACHSENPLATZ 4-6, PO BOX 89, A-1201 WIEN, AUSTRIA</t>
  </si>
  <si>
    <t>0026-3672</t>
  </si>
  <si>
    <t>1436-5073</t>
  </si>
  <si>
    <t>MICROCHIM ACTA</t>
  </si>
  <si>
    <t>Microchim. Acta</t>
  </si>
  <si>
    <t>10.1007/s00604-018-2723-8</t>
  </si>
  <si>
    <t>GB9GF</t>
  </si>
  <si>
    <t>WOS:000429381600002</t>
  </si>
  <si>
    <t>Kocot, KM; Tassia, MG; Halanych, KM; Swalla, BJ</t>
  </si>
  <si>
    <t>Kocot, Kevin M.; Tassia, Michael G.; Halanych, Kenneth M.; Swalla, Billie J.</t>
  </si>
  <si>
    <t>Phylogenomics offers resolution of major tunicate relationships</t>
  </si>
  <si>
    <t>MOLECULAR PHYLOGENETICS AND EVOLUTION</t>
  </si>
  <si>
    <t>Chordata; Tunicata; Urochordata; Thaliacea; Phylogenomic</t>
  </si>
  <si>
    <t>MULTIPLE SEQUENCE ALIGNMENT; MOLECULAR PHYLOGENY; COMPOSITIONAL HETEROGENEITY; DEUTEROSTOME PHYLOGENY; TREE; RECONSTRUCTION; EVOLUTION; GENES</t>
  </si>
  <si>
    <t>Tunicata, a diverse clade of approximately 3000 described species of marine, filter-feeding chordates, is of great interest to researchers because tunicates are the closest living relatives of vertebrates and they facilitate comparative studies of our own biology. The group also includes numerous invasive species that cause considerable economic damage and some species of tunicates are edible. Despite their diversity and importance, relationships among major lineages of Tunicata are not completely resolved. Here, we supplemented public data with transcriptomes from seven species spanning the diversity of Tunicata and conducted phylogenomic analyses on data sets of up to 798 genes. Sensitivity analyses were employed to examine the influences of reducing compositional heterogeneity and branch-length heterogeneity. All analyses maximally supported a monophyletic Tunicata within Olfactores (Vertebrata+Tunicata). Within Tunicata, all analyses recovered Appendicularia sister to the rest of Tunicata and confirmed (with maximal support) that Thaliacea is nested within Ascidiacea. Stolidobranchia is the sister taxon to all other tunicates except Appendicularia. In most analyses, phlebobranch tunicates were recovered paraphyletic with respect to Aplousobranchia. Support for this topology varied but was strong in some cases. However, when only the 50 best genes based on compositional heterogeneity were analysed, we recovered Phlebobranchia and Aplousobranchia reciprocally monophyletic with strong support, consistent with most traditional morphology-based hypotheses. Examination of internode certainty also cast doubt on results of phlebobranch paraphyly, which may be due to limited taxon sampling. Taken together, these results provide a higher-level phylogenetic framework for our closest living invertebrate relatives.</t>
  </si>
  <si>
    <t>[Kocot, Kevin M.] Univ Alabama, Dept Biol Sci, Tuscaloosa, AL 35487 USA; [Kocot, Kevin M.] Univ Alabama, Alabama Museum Nat Hist, Tuscaloosa, AL 35487 USA; [Tassia, Michael G.; Halanych, Kenneth M.] Auburn Univ, Dept Biol Sci, Auburn, AL 36830 USA; [Swalla, Billie J.] Univ Washington, Dept Biol, 24 Kincaid Hall, Seattle, WA 98195 USA; [Swalla, Billie J.] Univ Washington, Friday Harbor Labs, Friday Harbor, WA 98250 USA</t>
  </si>
  <si>
    <t>University of Alabama System; University of Alabama Tuscaloosa; University of Alabama System; University of Alabama Tuscaloosa; Auburn University System; Auburn University; University of Washington; University of Washington Seattle; University of Washington</t>
  </si>
  <si>
    <t>Kocot, KM (corresponding author), Univ Alabama, Dept Biol Sci, Tuscaloosa, AL 35487 USA.;Kocot, KM (corresponding author), Univ Alabama, Alabama Museum Nat Hist, Tuscaloosa, AL 35487 USA.</t>
  </si>
  <si>
    <t>kmkocot@ua.edu</t>
  </si>
  <si>
    <t>Kocot, Kevin/K-9087-2016; Halanych, Ken M/A-9480-2009</t>
  </si>
  <si>
    <t>Tassia, Michael/0000-0002-5485-8155; Swalla, Billie/0000-0002-4200-2544</t>
  </si>
  <si>
    <t>University of Alabama; NSF [ANT-1043745, OPP-0132032]; National Science Foundation [DBI-0939454]; Auburn University Marine Biology Program [169]; Molette Lab [73]</t>
  </si>
  <si>
    <t>University of Alabama; NSF(National Science Foundation (NSF)); National Science Foundation(National Science Foundation (NSF)); Auburn University Marine Biology Program; Molette Lab</t>
  </si>
  <si>
    <t>This study was supported by University of Alabama start-up funds to KMK. We thank Alison Sweeney and James Townsend for facilitating collection of specimens of Thaliacea and Zander Fodor and the faculty and staff of Friday Harbor Labs for facilitating collection of Pacific tunicates. The crew of the R/V Nathaniel B. Palmer and R/V Lawrence M. Gould facilitated collection of Antarctic tunicates through NSF funds to KMH (ANT-1043745 and OPP-0132032). This study is based in part upon work by BJS supported by the National Science Foundation under Cooperative Agreement No. DBI-0939454. Any opinions, findings, and conclusions or recommendations expressed in this material are those of the author(s) and do not necessarily reflect the views of the National Science Foundation. We thank Justin Cox and Emily Pabst for help with RNA extractions. We thank Deb Crocker and Robert Griffin for assistance with the University of Alabama High Performance Computing (UAHPC) system. This is Auburn University Marine Biology Program contribution #169 and Molette Lab contribution #73.</t>
  </si>
  <si>
    <t>1055-7903</t>
  </si>
  <si>
    <t>1095-9513</t>
  </si>
  <si>
    <t>MOL PHYLOGENET EVOL</t>
  </si>
  <si>
    <t>Mol. Phylogenet. Evol.</t>
  </si>
  <si>
    <t>10.1016/j.ympev.2018.01.005</t>
  </si>
  <si>
    <t>Biochemistry &amp; Molecular Biology; Evolutionary Biology; Genetics &amp; Heredity</t>
  </si>
  <si>
    <t>FX6MZ</t>
  </si>
  <si>
    <t>WOS:000426200800017</t>
  </si>
  <si>
    <t>Keogan, K; Daunt, F; Wanless, S; Phillips, RA; Walling, CA; Agnew, P; Ainley, DG; Anker-Nilssen, T; Ballard, G; Barrett, RT; Barton, KJ; Bech, C; Becker, P; Berglund, PA; Bollache, L; Bond, AL; Bouwhuis, S; Bradley, RW; Burr, ZM; Camphuysen, K; Catry, P; Chiaradia, A; Christensen-Dalsgaard, S; Cuthbert, R; Dehnhard, N; Descamps, S; Diamond, T; Divoky, G; Drummond, H; Dugger, KM; Dunn, MJ; Emmerson, L; Erikstad, KE; Fort, J; Fraser, W; Genovart, M; Gilg, O; González-Solís, J; Granadeiro, JP; Grémillet, D; Hansen, J; Hanssen, SA; Harris, M; Hedd, A; Hinke, J; Igual, JM; Jahncke, J; Jones, I; Kappes, PJ; Lang, J; Langset, M; Lescroël, A; Lorentsen, SH; Lyver, PO; Mallory, M; Moe, B; Montevecchi, WA; Monticelli, D; Mostello, C; Newell, M; Nicholson, L; Nisbet, I; Olsson, O; Oro, D; Pattison, V; Poisbleau, M; Pyk, T; Quintana, F; Ramos, JA; Ramos, R; Reiertsen, TK; Rodríguez, C; Ryan, P; Sanz-Aguilar, A; Schmidt, NM; Shannon, P; Sittler, B; Southwell, C; Surman, C; Svagelj, WS; Trivelpiece, W; Warzybok, P; Watanuki, Y; Weimerskirch, H; Wilson, PR; Wood, AG; Phillimore, AB; Lewis, S</t>
  </si>
  <si>
    <t>Keogan, Katharine; Daunt, Francis; Wanless, Sarah; Phillips, Richard A.; Walling, Craig A.; Agnew, Philippa; Ainley, David G.; Anker-Nilssen, Tycho; Ballard, Grant; Barrett, Robert T.; Barton, Kerry J.; Bech, Claus; Becker, Peter; Berglund, Per-Arvid; Bollache, Loic; Bond, Alexander L.; Bouwhuis, Sandra; Bradley, Russell W.; Burr, Zofia M.; Camphuysen, Kees; Catry, Paulo; Chiaradia, Andre; Christensen-Dalsgaard, Signe; Cuthbert, Richard; Dehnhard, Nina; Descamps, Sebastien; Diamond, Tony; Divoky, George; Drummond, Hugh; Dugger, Katie M.; Dunn, Michael J.; Emmerson, Louise; Erikstad, Kjell Einar; Fort, Jerome; Fraser, William; Genovart, Meritxell; Gilg, Olivier; Gonzalez-Solis, Jacob; Granadeiro, Jose Pedro; Gremillet, David; Hansen, Jannik; Hanssen, Sveinn A.; Harris, Mike; Hedd, April; Hinke, Jefferson; Manuel Igual, Jose; Jahncke, Jaime; Jones, Ian; Kappes, Peter J.; Lang, Johannes; Langset, Magdalene; Lescroel, Amelie; Lorentsen, Svein-Hakon; Lyver, Phil O'B.; Mallory, Mark; Moe, Borge; Montevecchi, William A.; Monticelli, David; Mostello, Carolyn; Newell, Mark; Nicholson, Lisa; Nisbet, Ian; Olsson, Olof; Oro, Daniel; Pattison, Vivian; Poisbleau, Maud; Pyk, Tanya; Quintana, Flavio; Ramos, Jaime A.; Ramos, Raul; Reiertsen, Tone Kirstin; Rodriguez, Cristina; Ryan, Peter; Sanz-Aguilar, Ana; Schmidt, Niels M.; Shannon, Paula; Sittler, Benoit; Southwell, Colin; Surman, Christopher; Svagelj, Walter S.; Trivelpiece, Wayne; Warzybok, Pete; Watanuki, Yutaka; Weimerskirch, Henri; Wilson, Peter R.; Wood, Andrew G.; Phillimore, Albert B.; Lewis, Sue</t>
  </si>
  <si>
    <t>Global phenological insensitivity to shifting ocean temperatures among seabirds</t>
  </si>
  <si>
    <t>NATURE CLIMATE CHANGE</t>
  </si>
  <si>
    <t>CLIMATE-CHANGE; MARINE; REVEALS; BIRDS; CONSTRAINTS; VARIABILITY; SENSITIVITY; RESPONSES; MISMATCH; IMPACTS</t>
  </si>
  <si>
    <t>Reproductive timing in many taxa plays a key role in determining breeding productivity(1), and is often sensitive to climatic conditions(2). Current climate change may alter the timing of breeding at different rates across trophic levels, potentially resulting in temporal mismatch between the resource requirements of predators and their prey(3). This is of particular concern for higher-trophic-level organisms, whose longer generation times confer a lower rate of evolutionary rescue than primary producers or consumers(4). However, the disconnection between studies of ecological change in marine systems makes it difficult to detect general changes in the timing of reproduction(5). Here, we use a comprehensive meta-analysis of 209 phenological time series from 145 breeding populations to show that, on average, seabird populations worldwide have not adjusted their breeding seasons over time (-0.020 days yr(-1)) or in response to sea surface temperature (SST) (-0.272 days degrees C-1) between 1952 and 2015. However, marked between-year variation in timing observed in resident species and some Pelecaniformes and Suliformes (cormorants, gannets and boobies) may imply that timing, in some cases, is affected by unmeasured environmental conditions. This limited temperature-mediated plasticity of reproductive timing in seabirds potentially makes these top predators highly vulnerable to future mismatch with lower-trophic-level resources(2).</t>
  </si>
  <si>
    <t>[Keogan, Katharine; Walling, Craig A.; Phillimore, Albert B.; Lewis, Sue] Univ Edinburgh, Ashworth Labs, Inst Evolutionary Biol, Edinburgh, Midlothian, Scotland; [Daunt, Francis; Wanless, Sarah; Harris, Mike; Newell, Mark; Lewis, Sue] Ctr Ecol &amp; Hydrol, Bush Estate, Penicuik, Midlothian, Scotland; [Phillips, Richard A.; Wood, Andrew G.] NERC, British Antarctic Survey, Cambridge, England; [Agnew, Philippa] Oamaru Blue Penguin Colony, Oamaru, New Zealand; [Ainley, David G.] HT Harvey &amp; Associates, Los Gatos, CA USA; [Anker-Nilssen, Tycho; Christensen-Dalsgaard, Signe; Hanssen, Sveinn A.; Langset, Magdalene; Lorentsen, Svein-Hakon; Moe, Borge] Norwegian Inst Nat Res NINA, Trondheim, Norway; [Ballard, Grant; Bradley, Russell W.; Jahncke, Jaime; Warzybok, Pete] Point Blue Conservat Sci, Petaluma, CA USA; [Barrett, Robert T.] Tromso Univ Museum, Dept Nat Sci, Tromso, Norway; [Barton, Kerry J.] Landcare Res, Nelson, New Zealand; [Bech, Claus] Norwegian Univ Sci &amp; Technol, Dept Biol, Trondheim, Norway; [Becker, Peter; Bouwhuis, Sandra] Inst Avian Res, Wilhelmshaven, Germany; [Berglund, Per-Arvid] Swedish Univ Agr Sci, Dept Aquat Resources, Inst Marine Res, Uppsala, Sweden; [Bollache, Loic; Gilg, Olivier; Lang, Johannes; Sittler, Benoit] Grp Rech Ecol Arctique, Francheville, France; [Bollache, Loic] Univ Bourgogne France Comte, Lab Chronoenvironm, Besancon, France; [Bond, Alexander L.; Cuthbert, Richard] Royal Soc Protect Birds, RSPB Ctr Conservat Sci, Sandy, Beds, England; [Bond, Alexander L.] Mem Univ Newfoundland, Dept Biol, St John, NF, Canada; [Burr, Zofia M.] Univ Ctr Svalbard, Longyearbyen, Norway; [Camphuysen, Kees] Texel &amp; Utrecht Univ, Royal Netherlands Inst Sea Res Burg, Dept Coastal Syst, Utrecht, Netherlands; [Catry, Paulo] ISPA Inst Univ, MARE Marine &amp; Environm Sci Ctr, Lisbon, Portugal; [Chiaradia, Andre] Phillip Isl Nat Parks, Cowes, Vic, Australia; [Chiaradia, Andre] Monash Univ, Sch Biol Sci, Melbourne, Vic, Australia; [Dehnhard, Nina; Poisbleau, Maud] Univ Antwerp, Behav Ecol &amp; Ecophysiol Grp, Dept Biol, Antwerp, Belgium; [Descamps, Sebastien; Erikstad, Kjell Einar; Reiertsen, Tone Kirstin] High North Res Ctr Climate &amp; Environm, Norwegian Polar Inst FRAM, Tromso, Norway; [Diamond, Tony] Univ New Brunswick, Fredericton, NB, Canada; [Divoky, George] Friends Cooper Isl, Seattle, WA USA; [Drummond, Hugh; Rodriguez, Cristina] Univ Nacl Autonoma Mexico, Inst Ecol, Mexico City, DF, Mexico; [Dugger, Katie M.] US Geol Survey, Oregon Cooperat Fish &amp; Wildlife Res Unit, Dept Fisheries &amp; Wildlife, Corvallis, OR USA; [Emmerson, Louise] Australian Antarctic Div, Kingston, Tas, Australia; [Erikstad, Kjell Einar] Norwegian Univ Sci &amp; Technol, Dept Biol, Ctr Conservat Biol, Trondheim, Norway; [Fort, Jerome] Univ La Rochelle, CNRS, UMR 7266, Littoral Environm &amp; Soc LIENSs, La Rochelle, France; [Fraser, William] Polar Oceans Res Grp, Sheridan, MT USA; [Genovart, Meritxell; Manuel Igual, Jose; Oro, Daniel; Sanz-Aguilar, Ana] IMEDEA CSIC UIB, Populat Ecol Grp, Esporles, Spain; [Gilg, Olivier] Univ Bourgogne Franche Comte, CNRS, UMR 6282, Lab Biogeosci, Dijon, France; [Gonzalez-Solis, Jacob; Ramos, Raul] Univ Barcelona, Dept Biol Anim, Barcelona, Spain; [Granadeiro, Jose Pedro] Univ Lisbon, Fac Ciencias, Dept Biol Anim, CESAM, Lisbon, Portugal; [Gremillet, David; Lescroel, Amelie] Univ Paul Valery Montpellier, Univ Montpellier, CNRS, EPHE,UMR 5175,Ctr Ecol Fonctionnelle &amp; Evolut, Montpellier, France; [Gremillet, David] Univ Cape Town, DST NRF Ctr Excellence, FitzPatrick Inst, Rondebosch, South Africa; [Hansen, Jannik] Aarhus Univ, Dept Biosci, Aarhus, Denmark; [Hedd, April] Environm &amp; Climate Change Canada, Sci &amp; Technol Branch, Wildlife Res Div, Mount Pearl, NF, Canada; [Hinke, Jefferson] NOAA, Antarctic Ecosyst Res Div, Natl Marine Fisheries Serv, La Jolla, CA USA; [Jones, Ian] Mem Univ, Dept Biol, St John, NF, Canada; [Kappes, Peter J.] Oregon Cooperat Fish &amp; Wildlife Res Unit, Dept Fisheries &amp; Wildlife, Corvallis, OR USA; [Lang, Johannes] Justus Liebig Univ Giessen, Clin Birds Reptiles Amphibians &amp; Fish, Giessen, Germany; [Lyver, Phil O'B.] Landcare Res, Lincoln, New Zealand; [Mallory, Mark] Acad Univ, Biol, Wolfville, NS, Canada; [Montevecchi, William A.] Mem Univ Newfoundland, Dept Psychol Biol &amp; Ocean Sci, St John, NF, Canada; [Monticelli, David; Ramos, Jaime A.] Univ Coimbra, Dept Life Sci, MARE Marine &amp; Environm Sci Ctr, Coimbra, Portugal; [Mostello, Carolyn] Massachusetts Div Fisheries &amp; Wildlife, Westborough, MA USA; [Nicholson, Lisa; Surman, Christopher] Halfmoon Biosci, Ocean Beach, WA, Australia; [Nisbet, Ian] ICT Nisbet &amp; Co, N Falmouth, MA USA; [Olsson, Olof] Stockholm Univ, Stockholm Resilience Ctr, Stockholm, Sweden; [Pattison, Vivian] Laskeek Bay Conservat Soc, Queen Charlotte, BC, Canada; [Pyk, Tanya] Deakin Univ, Sch Life &amp; Environm Sci, Deakin Ctr Integrat Ecol, Burwood, Vic, Australia; [Quintana, Flavio] Inst Biol Organismos Marinos IBIOMAR CONICET, Puerto Madryn, Chubut, Argentina; [Ryan, Peter] Univ Cape Town, DST NRF Ctr Excellence, Percy FitzPatrick Inst African Ornithol, Rondebosch, South Africa; [Schmidt, Niels M.] Aarhus Univ, Dept Biosci, Arctic Res Ctr, Aarhus, Denmark; [Shannon, Paula] Natl Audubon Soc, Seabird Restorat Program, Bremen, ME USA; [Sittler, Benoit] Univ Freiburg, Chair Nat Protect &amp; Landscape Ecol, Freiburg, Germany; [Svagelj, Walter S.] Univ Nacl Mar del Plata, CONICET, IIMyC, Mar Del Plata, Buenos Aires, Argentina; [Trivelpiece, Wayne] 5959 Shoreline Highway, Bolinas, CA USA; [Watanuki, Yutaka] Hokkaido Univ, Grad Sch Fisheries Sci, Hakodate, Hokkaido, Japan; [Weimerskirch, Henri] CNRS, CEBC, Villiers En Bois, France; [Wilson, Peter R.] Landcare Res, Tamaki Campus, Auckland, New Zealand</t>
  </si>
  <si>
    <t>University of Edinburgh; UK Centre for Ecology &amp; Hydrology (UKCEH); UK Research &amp; Innovation (UKRI); Natural Environment Research Council (NERC); NERC British Antarctic Survey; Norwegian Institute Nature Research; UiT The Arctic University of Tromso; Landcare Research - New Zealand; Norwegian University of Science &amp; Technology (NTNU); Swedish University of Agricultural Sciences; Universite de Franche-Comte; Royal Society for Protection of Birds; Memorial University Newfoundland; University Centre Svalbard (UNIS); Instituto Superior Psicologia Aplicada (ISPA); Monash University; Melbourne Genomics Health Alliance; University of Antwerp; Norwegian Polar Institute; University of New Brunswick; Universidad Nacional Autonoma de Mexico; United States Department of the Interior; United States Geological Survey; Australian Antarctic Division; Norwegian University of Science &amp; Technology (NTNU); Centre National de la Recherche Scientifique (CNRS); CNRS - Institute of Ecology &amp; Environment (INEE); La Rochelle Universite; Consejo Superior de Investigaciones Cientificas (CSIC); ATTITUS Educacao; Universitat de les Illes Balears; Centre National de la Recherche Scientifique (CNRS); Universite de Bourgogne; University of Barcelona; Universidade de Lisboa; Centre National de la Recherche Scientifique (CNRS); CNRS - Institute of Ecology &amp; Environment (INEE); Universite PSL; Ecole Pratique des Hautes Etudes (EPHE); Institut Agro; Montpellier SupAgro; CIRAD; Institut de Recherche pour le Developpement (IRD); Universite Paul-Valery; Universite de Montpellier; University of Cape Town; National Research Foundation - South Africa; Aarhus University; Environment &amp; Climate Change Canada; Canadian Wildlife Service; Wildlife Research Division - Environment Canada; National Oceanic Atmospheric Admin (NOAA) - USA; Memorial University Newfoundland; Justus Liebig University Giessen; Landcare Research - New Zealand; Acadia University; Memorial University Newfoundland; Universidade de Coimbra; Stockholm University; Deakin University; National Research Foundation - South Africa; University of Cape Town; Aarhus University; University of Freiburg; Consejo Nacional de Investigaciones Cientificas y Tecnicas (CONICET); National University of Mar del Plata; Hokkaido University; Centre National de la Recherche Scientifique (CNRS); Landcare Research - New Zealand</t>
  </si>
  <si>
    <t>Keogan, K (corresponding author), Univ Edinburgh, Ashworth Labs, Inst Evolutionary Biol, Edinburgh, Midlothian, Scotland.</t>
  </si>
  <si>
    <t>k.keogan@ed.ac.uk; albert.phillimore@ed.ac.uk; suele@ceh.ac.uk</t>
  </si>
  <si>
    <t>Gonzalez-Solis, Jacob/C-3942-2008; Hanssen, Sveinn Are/C-9989-2009; Weimerskirch, Henri/F-5562-2013; Igual, Jose/N-3975-2014; Kappes, Peter/AGT-9289-2022; Anker-Nilssen, Tycho/AAB-7666-2022; Daunt, Francis/K-6688-2012; Oro, Daniel/H-4208-2012; Dehnhard, Nina/H-6160-2016; Chiaradia, Andre/AAG-4928-2022; Kappes, Peter J/C-4063-2015; GILG, Olivier/C-2588-2008; Lewis, Sue/D-3380-2012; Bech, Claus/N-1077-2019; Mallory, Mark L/A-1952-2017; Weimerskirch, Henri/K-7306-2019; Poisbleau, Maud/B-9968-2014; Granadeiro, José Pedro/E-8060-2011; Divoky, George/J-3319-2019; González-Solís, Jacob/AAB-1161-2019; Bond, Alexander L/A-3786-2010; Hansen, Jannik/J-5679-2013; Bech, Claus/C-1086-2011; , Jefferson/AAG-1702-2021; Ramos, Jaime A./B-6616-2018; Chiaradia, Andre/AFK-6634-2022; Ramos, Raül/S-3112-2016; Walling, Craig/HGT-8539-2022; Phillimore, Albert/B-8837-2009; Sanz-Aguilar, Ana/D-3778-2014; Schmidt, Niels Martin/G-3843-2011; Bouwhuis, Sandra/H-5270-2011; Moe, Borge/P-2946-2015; Fort, Jerome/F-1157-2016; Catry, Paulo/I-5408-2013; Gremillet, David/W-1946-2018</t>
  </si>
  <si>
    <t>Gonzalez-Solis, Jacob/0000-0002-8691-9397; Hanssen, Sveinn Are/0000-0003-1792-435X; Igual, Jose/0000-0002-8369-3150; Anker-Nilssen, Tycho/0000-0002-1030-5524; Oro, Daniel/0000-0003-4782-3007; Dehnhard, Nina/0000-0002-4182-2698; Chiaradia, Andre/0000-0002-6178-4211; Kappes, Peter J/0000-0001-6029-5355; Lewis, Sue/0000-0003-3511-2259; Bech, Claus/0000-0002-0860-0663; Weimerskirch, Henri/0000-0002-0457-586X; Granadeiro, José Pedro/0000-0002-7207-3474; Bech, Claus/0000-0002-0860-0663; , Jefferson/0000-0002-3600-1414; Ramos, Jaime A./0000-0002-9533-987X; Chiaradia, Andre/0000-0002-6178-4211; Ramos, Raül/0000-0002-0551-8605; Phillimore, Albert/0000-0002-6553-1553; Sanz-Aguilar, Ana/0000-0002-4177-9749; Schmidt, Niels Martin/0000-0002-4166-6218; GILG, Olivier/0000-0002-9083-4492; Bouwhuis, Sandra/0000-0003-4023-1578; Svagelj, Walter S./0000-0002-8263-7974; Lang, Johannes/0000-0002-7387-795X; Divoky, George/0000-0001-9902-8203; Moe, Borge/0000-0002-2306-1899; Berglund, Per-Arvid/0000-0002-5378-9792; Olsson, Olof/0000-0002-9479-7609; Hansen, Jannik/0000-0002-2716-9928; Hedd, April/0000-0003-2222-2627; Fort, Jerome/0000-0002-0860-6707; Walling, Craig/0000-0002-8547-9828; BOLLACHE, Loic/0000-0003-0316-6746; Catry, Paulo/0000-0003-3000-0522; Ballard, Grant/0000-0002-8604-7066; Dunn, Michael/0000-0003-4633-5466; Jahncke, Jaime/0000-0002-2896-6101; Gremillet, David/0000-0002-7711-9398; Monticelli, David/0000-0002-6566-7346</t>
  </si>
  <si>
    <t>Principal's Career Development Scholarship from the University of Edinburgh; NERC [Ne/I020598/1, NE/E012906/1]; NERC National Capability; CEH; JNCC; Research Fund - Flanders FWO [1265414N, 12Q6915N, 1.2.619.10.N.00, 1.5.020.11.N.00]; National Research Council of Argentina (CONICET) [PIP 5387/05, PIP 11420100100186, PIP 11220130100268]; Ministerio de Ciencia, Tecnologia e Innovacion Productiva Argentina [PICT 04-20343, PICT 13-1229]; Wildlife Conservation Society research grant [ARG_5AR03]; FCT - Portugal [UID/MAR/04292/2013]; Falkland Islands Government; NSERC; NSERC (PDF); Environment Canada; Memorial University of Newfoundland; New Brunswick Wildlife Council; Canadian Wildlife Service (Atlantic Region); Natural Environment Research Council; BirdLife Australia; Deakin University; Department of Conservation and Natural Resources; Holsworth Wildlife Research Fund; Deutsche Forschungsgemeinschaft [BE 916/3, BE 916/4, BE 916/5, BE 916/6, BE 916/7, BE 916/8, BE 916/9]; Australian Antarctic programme through Australian Antarctic Science [2205, 2722, 4087]; Norwegian Environment Agency; Ministry of Climate and Environment; Ministry of Petroleum and Energy; Norwegian Oil and Gas Association; French Polar Institute (program '1036 Interactions'); French Polar Institute Ukaleqarteq (program '388'); US National Science Foundation [OPP 9526865, 9814882, 0125608, 0944411, 0440643]; New Zealand's Ministry of Business, Innovation and Employment Grants [C09X0510, C01X1001]; NERC [NE/E012906/1, ceh020012, bas0100035, NE/I020598/1] Funding Source: UKRI; Natural Environment Research Council [NE/E012906/1] Funding Source: researchfish; New Zealand Ministry of Business, Innovation &amp; Employment (MBIE) [C01X1001] Funding Source: New Zealand Ministry of Business, Innovation &amp; Employment (MBIE); Directorate For Geosciences; Office of Polar Programs (OPP) [1543459] Funding Source: National Science Foundation</t>
  </si>
  <si>
    <t>Principal's Career Development Scholarship from the University of Edinburgh; NERC(UK Research &amp; Innovation (UKRI)Natural Environment Research Council (NERC)); NERC National Capability; CEH; JNCC; Research Fund - Flanders FWO(FWO); National Research Council of Argentina (CONICET)(Consejo Nacional de Investigaciones Cientificas y Tecnicas (CONICET)); Ministerio de Ciencia, Tecnologia e Innovacion Productiva Argentina; Wildlife Conservation Society research grant; FCT - Portugal(Fundacao para a Ciencia e a Tecnologia (FCT)); Falkland Islands Government; NSERC(Natural Sciences and Engineering Research Council of Canada (NSERC)); NSERC (PDF)(Natural Sciences and Engineering Research Council of Canada (NSERC)); Environment Canada(CGIAR); Memorial University of Newfoundland; New Brunswick Wildlife Council; Canadian Wildlife Service (Atlantic Region); Natural Environment Research Council(UK Research &amp; Innovation (UKRI)Natural Environment Research Council (NERC)); BirdLife Australia; Deakin University; Department of Conservation and Natural Resources; Holsworth Wildlife Research Fund; Deutsche Forschungsgemeinschaft(German Research Foundation (DFG)); Australian Antarctic programme through Australian Antarctic Science; Norwegian Environment Agency; Ministry of Climate and Environment; Ministry of Petroleum and Energy; Norwegian Oil and Gas Association; French Polar Institute (program '1036 Interactions'); French Polar Institute Ukaleqarteq (program '388'); US National Science Foundation(National Science Foundation (NSF)); New Zealand's Ministry of Business, Innovation and Employment Grants(New Zealand Ministry of Business, Innovation and Employment (MBIE)); NERC(UK Research &amp; Innovation (UKRI)Natural Environment Research Council (NERC)); Natural Environment Research Council(UK Research &amp; Innovation (UKRI)Natural Environment Research Council (NERC)); New Zealand Ministry of Business, Innovation &amp; Employment (MBIE); Directorate For Geosciences; Office of Polar Programs (OPP)(National Science Foundation (NSF)NSF - Directorate for Geosciences (GEO))</t>
  </si>
  <si>
    <t>The work presented here could not have been carried out without the long-term data collection by field workers at all sites. The authors thank the staff of the Alaska Maritime National Wildlife Refuge; Department of Fisheries; DPaW; Environment Canada; Natural Resources Canada; New Bedford Harbor Trustee Council; Oamaru Blue Penguin Colony; Phillip Island Nature Parks; Government of Greenland (Ministry of Domestic Affairs, Nature and Environment) in Nuuk; Island Conservation Society for permission to work on Aride Island, Seychelles; Aage V Jensen Charity Foundation; The Norwegian Environment Agency (and its predecessors), the SEAPOP programme (www.seapop.no) and its key institutions: The Norwegian Institute for Nature Research, The Norwegian Polar Institute and Tromso University Museum; South African National Antarctic Programme; US Fish and Wildlife Service; Government of Tristan da Cunha; the British Antarctic Survey. Specific thanks go to B. Sydeman, S. Surman, M. McCrae, B. Fogg, M. Davidson, P. Boschetti, T. Catry, P. Pedro, L. Demongin, M. Eens, P. Quillfeldt, B. Sabard, J. Moreau, E. Buchel, V. Gilg, V. Heuacker, A. Harding, F. Amelineau, J. Nezan, K. Kerry, J. Clarke, A. Kato, T. Deguchi, M. Ito, P. Dann, L. Renwick, P. Wasiak, A. Gomez-Laich, P. Giudicci, L. Gallo, S. Harris, D. Houston, P. Menkhorst, F. I. Norman, C. M. Burke, N. Laite, P. Mallam, P. M. Regular, H. Renner, N. Rojek, M. Romano, L. Slater, T. Birkhead, J. Hadfield and A. Gaston. K.K. was supported by a Principal's Career Development Scholarship from the University of Edinburgh. A. B. P. was funded by a NERC fellowship (Ne/I020598/1). S.L. was funded by a NERC fellowship (NE/E012906/1) and by NERC National Capability. F.D. and S.W. were funded by CEH and JNCC. N.D. and M.P. were supported with post-doctoral fellowship grants by the Research Fund - Flanders FWO (1265414N and 12Q6915N to N.D.) and (1.2.619.10.N.00 and 1.5.020.11.N.00 to M.P.). F.Q. was funded by the National Research Council of Argentina (CONICET): PIP 5387/05, PIP 11420100100186 and PIP 11220130100268, Ministerio de Ciencia, Tecnologia e Innovacion Productiva Argentina: PICT 04-20343, PICT 13-1229 and Wildlife Conservation Society research grant (ARG_5AR03). P.C. and J.P.G. were funded by FCT - Portugal through UID/MAR/04292/2013 granted to MARE and the Falkland Islands Government. W.A.M. and A.H. were supported by NSERC (Discovery Grant (W.A.M.) and PDF (A.H.)), Environment Canada and Memorial University of Newfoundland. A.W.D. is funded by NSERC, Environment Canada and the New Brunswick Wildlife Council, by agreement with the Canadian Wildlife Service (Atlantic Region). R.A.P., M.J.D. and A.G.W. work as part of British Antarctic Survey Polar Science for Planet Earth Programme (Ecosystems component), funded by the Natural Environment Research Council. T.M.P. was funded by BirdLife Australia, Deakin University, Department of Conservation and Natural Resources, and Holsworth Wildlife Research Fund. The Banter See common tern study was performed under a licence of the city of Wilhelmshaven and supported by the Deutsche Forschungsgemeinschaft (BE 916/3 to 9). Data from Bechervaise Island were collected following protocols approved by the Australian Antarctic Animal Ethics Committee and supported through the Australian Antarctic programme through Australian Antarctic Science projects 2205, 2722 and 4087.; The field work in Norway and Svalbard was an integrated part of the SEAPOP programme, with financial support from the Norwegian Environment Agency, Ministry of Climate and Environment, Ministry of Petroleum and Energy and the Norwegian Oil and Gas Association. The French Polar Institute funded the field work at Hochstetter (IPEV; program '1036 Interactions') and Ukaleqarteq (program '388'). D.G.A., G.B., K.M.D., P.J.K. and A.L. were supported by US National Science Foundation grants OPP 9526865, 9814882, 0125608, 0944411 and 0440643 with logistical support from the US Antarctic Program. P.O.L. and P.R.W. were supported by New Zealand's Ministry of Business, Innovation and Employment Grants C09X0510 and C01X1001, with logistical support from the NZ Antarctic Programme.</t>
  </si>
  <si>
    <t>NATURE RESEARCH</t>
  </si>
  <si>
    <t>1758-678X</t>
  </si>
  <si>
    <t>1758-6798</t>
  </si>
  <si>
    <t>NAT CLIM CHANGE</t>
  </si>
  <si>
    <t>Nat. Clim. Chang.</t>
  </si>
  <si>
    <t>+</t>
  </si>
  <si>
    <t>10.1038/s41558-018-0115-z</t>
  </si>
  <si>
    <t>Environmental Sciences; Environmental Studies; Meteorology &amp; Atmospheric Sciences</t>
  </si>
  <si>
    <t>GB6PV</t>
  </si>
  <si>
    <t>WOS:000429194600018</t>
  </si>
  <si>
    <t>Konrad, H; Shepherd, A; Gilbert, L; Hogg, AE; McMillan, M; Muir, A; Slater, T</t>
  </si>
  <si>
    <t>Konrad, Hannes; Shepherd, Andrew; Gilbert, Lin; Hogg, Anna E.; McMillan, Malcolm; Muir, Alan; Slater, Thomas</t>
  </si>
  <si>
    <t>Net retreat of Antarctic glacier grounding lines</t>
  </si>
  <si>
    <t>NATURE GEOSCIENCE</t>
  </si>
  <si>
    <t>PINE ISLAND GLACIER; WEST ANTARCTICA; RADAR INTERFEROMETRY; KOHLER GLACIERS; AMUNDSEN SEA; ICE; THICKNESS; COLLAPSE; THWAITES; BENEATH</t>
  </si>
  <si>
    <t>Grounding lines are a key indicator of ice-sheet instability, because changes in their position reflect imbalance with the surrounding ocean and affect the flow of inland ice. Although the grounding lines of several Antarctic glaciers have retreated rapidly due to ocean-driven melting, records are too scarce to assess the scale of the imbalance. Here, we combine satellite altimeter observations of ice-elevation change and measurements of ice geometry to track grounding-line movement around the entire continent, tripling the coverage of previous surveys. Between 2010 and 2016, 22%, 3% and 10% of surveyed grounding lines in West Antarctica, East Antarctica and at the Antarctic Peninsula retreated at rates faster than 25 m yr(-1) (the typical pace since the Last Glacial Maximum) and the continent has lost 1,463 km(2) +/- 791 km(2) of grounded-ice area. Although by far the fastest rates of retreat occurred in the Amundsen Sea sector, we show that the Pine Island Glacier grounding line has stabilized, probably as a consequence of abated ocean forcing. On average, Antarctica's fast-flowing ice streams retreat by 110 metres per metre of ice thinning.</t>
  </si>
  <si>
    <t>[Konrad, Hannes; Shepherd, Andrew; Hogg, Anna E.; McMillan, Malcolm; Slater, Thomas] Univ Leeds, Ctr Polar Observat &amp; Modelling, Leeds, W Yorkshire, England; [Konrad, Hannes] Helmholtz Ctr Polar &amp; Marine Res, Alfred Wegener Inst, Bremerhaven, Germany; [Gilbert, Lin; Muir, Alan] UCL, Ctr Polar Observat &amp; Modelling, London, England</t>
  </si>
  <si>
    <t>Helmholtz Association; Alfred Wegener Institute, Helmholtz Centre for Polar &amp; Marine Research; University of London; University College London</t>
  </si>
  <si>
    <t>Konrad, H (corresponding author), Univ Leeds, Ctr Polar Observat &amp; Modelling, Leeds, W Yorkshire, England.;Konrad, H (corresponding author), Helmholtz Ctr Polar &amp; Marine Res, Alfred Wegener Inst, Bremerhaven, Germany.</t>
  </si>
  <si>
    <t>hannes.konrad02@gmail.com</t>
  </si>
  <si>
    <t>McMillan, Malcolm/HLQ-1163-2023; Konrad, Hannes/H-7647-2013; Konrad, Hannes/A-1813-2016</t>
  </si>
  <si>
    <t>Konrad, Hannes/0000-0002-5058-8637; Slater, Thomas/0000-0003-2541-7788; Muir, Alan/0000-0001-7754-088X; Shepherd, Andrew/0000-0002-4914-1299; McMillan, Malcolm/0000-0002-5113-0177</t>
  </si>
  <si>
    <t>NERC's iSTAR Programme; NERC [NE/J005681/1]; ESA [4000112797/15/I-SBo]; University of Leeds [4000112797/15/I-SBo]; British Antarctic Survey; NERC [NE/R012407/1, cpom30001, NE/J005681/1] Funding Source: UKRI</t>
  </si>
  <si>
    <t>NERC's iSTAR Programme; NERC(UK Research &amp; Innovation (UKRI)Natural Environment Research Council (NERC)); ESA(European Space Agency); University of Leeds; British Antarctic Survey; NERC(UK Research &amp; Innovation (UKRI)Natural Environment Research Council (NERC))</t>
  </si>
  <si>
    <t>We acknowledge the European Space Agency (ESA) for the provision of CryoSat-2 data and ESA's Antarctic_Ice Sheet_cci, as well as the UK Natural Environment Research Council's (NERC) Centre for Polar Observation and Modelling (CPOM) for processing of these data. H.K. was funded through the NERC's iSTAR Programme and NERC Grant Number NE/J005681/1. A.E.H. was supported by an independent research fellowship (no. 4000112797/15/I-SBo) jointly funded by ESA, the University of Leeds and the British Antarctic Survey. The figures were produced using the Generic Mapping Tool (https://doi.org/10.1029/90EO00319).</t>
  </si>
  <si>
    <t>75 VARICK ST, 9TH FLR, NEW YORK, NY 10013-1917 USA</t>
  </si>
  <si>
    <t>1752-0894</t>
  </si>
  <si>
    <t>1752-0908</t>
  </si>
  <si>
    <t>NAT GEOSCI</t>
  </si>
  <si>
    <t>Nat. Geosci.</t>
  </si>
  <si>
    <t>10.1038/s41561-018-0082-z</t>
  </si>
  <si>
    <t>GB5UB</t>
  </si>
  <si>
    <t>WOS:000429131600017</t>
  </si>
  <si>
    <t>Rees-Owen, RL; Gill, FL; Newton, RJ; Ivanovic, RF; Francis, JE; Riding, JB; Vane, CH; dos Santos, RAL</t>
  </si>
  <si>
    <t>Rees-Owen, Rhian L.; Gill, Fiona L.; Newton, Robert J.; Ivanovic, Ruza F.; Francis, Jane E.; Riding, James B.; Vane, Christopher H.; dos Santos, Raquel A. Lopes</t>
  </si>
  <si>
    <t>The last forests on Antarctica: Reconstructing flora and temperature from the Neogene Sirius Group, Transantarctic Mountains</t>
  </si>
  <si>
    <t>ORGANIC GEOCHEMISTRY</t>
  </si>
  <si>
    <t>Antarctica; Neogene; Sirius Group; Terpenoids GDGT; Palaeovegetation; Palaeotemperature; Palaeoenvironment</t>
  </si>
  <si>
    <t>N-ALKANE DISTRIBUTIONS; DEHYDROABIETIC ACID; BACTERIAL-DEGRADATION; ANAEROBIC SEDIMENTS; MIDDLE MIOCENE; CLIMATE-CHANGE; FOSSIL PLANTS; RESIN ACIDS; ICE-SHEET; VEGETATION</t>
  </si>
  <si>
    <t>Fossil-bearing deposits in the Transantarctic Mountains, Antarctica indicate that, despite the cold nature of the continent's climate, a tundra ecosystem grew during periods of ice sheet retreat in the mid to late Neogene (17-2.5 Ma), 480 km from the South Pole. To date, palaeotemperature reconstruction has been based only on biological ranges, thereby calling for a geochemical approach to understanding continental climate and environment. There is contradictory evidence in the fossil record as to whether this flora was mixed angiosperm- conifer vegetation, or whether by this point conifers had disappeared from the continent. In order to address these questions, we have analysed, for the first time in sediments of this age, plant and bacterial biomarkers in terrestrial sediments from the Transantarctic Mountains to reconstruct past temperature and vegetation during a period of East Antarctic Ice Sheet retreat. From tetraether lipids (MBT'/CBT palaeothermometer), we conclude that the mean continental summer temperature was ca. 5 degrees C, in agreement with previous reconstructions. This was warm enough to have allowed woody vegetation to survive and reproduce even during the austral winter. Biomarkers from vascular plants indicate a low diversity and spatially variable flora consisting of higher plants, moss and algal mats growing in microenvironments in a glacial outwash system. Abietane-type compounds were abundant in some samples, indicating that conifers, most likely Podocarpaceae, grew on the Antarctic continent well into the Neogene. This is supported by the palynological record, but not the macrofossil record for the continent, and has implications for the evolution of vegetation on Antarctica. (C) 2018 The Authors. Published by Elsevier Ltd.</t>
  </si>
  <si>
    <t>[Rees-Owen, Rhian L.; Gill, Fiona L.; Newton, Robert J.; Ivanovic, Ruza F.] Univ Leeds, Sch Earth &amp; Environm, Leeds LS2 9JT, W Yorkshire, England; [Rees-Owen, Rhian L.] Univ St Andrews, Sch Earth &amp; Environm Sci, St Andrews KY16 9AL, Fife, Scotland; [Francis, Jane E.] British Antarctic Survey, Madingley Rd, Cambridge CB3 0ET, England; [Riding, James B.; Vane, Christopher H.; dos Santos, Raquel A. Lopes] British Geol Survey, Environm Sci Ctr, Nottingham NG12 5GG, England</t>
  </si>
  <si>
    <t>University of Leeds; University of St Andrews; UK Research &amp; Innovation (UKRI); Natural Environment Research Council (NERC); NERC British Antarctic Survey; UK Research &amp; Innovation (UKRI); Natural Environment Research Council (NERC); NERC British Geological Survey</t>
  </si>
  <si>
    <t>Rees-Owen, RL (corresponding author), Univ St Andrews, Sch Earth &amp; Environm Sci, St Andrews KY16 9AL, Fife, Scotland.</t>
  </si>
  <si>
    <t>rlro@st-andrews.ac.uk</t>
  </si>
  <si>
    <t>Vane, Christopher Howard/A-8814-2008; Newton, Robert/B-2599-2009; Vane, Christopher H./AAG-6538-2020; Ivanovic, Ruza/C-5941-2012</t>
  </si>
  <si>
    <t>Vane, Christopher Howard/0000-0002-8150-3640; Newton, Robert/0000-0003-0144-6867; Vane, Christopher H./0000-0002-8150-3640; Ivanovic, Ruza/0000-0002-7805-6018; Rees-Owen, Rhian Laura/0000-0003-0520-4160; Gill, Fiona/0000-0001-5036-0125</t>
  </si>
  <si>
    <t>Natural Environmental Research Council (NERC) [NE/K500847/1]; BGS; NERC Independent Fellowship [NE/K008536/1]; Royal Society Dorothy Hodgkin Fellowship; NSF; NERC [NE/K500847/1, bas010011, NE/K008536/1, nigl010001, bgs05017] Funding Source: UKRI; Natural Environment Research Council [smru10001, bgs05017, bas010011, nigl010001, NE/K008536/1, 1230771] Funding Source: researchfish</t>
  </si>
  <si>
    <t>Natural Environmental Research Council (NERC)(UK Research &amp; Innovation (UKRI)Natural Environment Research Council (NERC)); BGS; NERC Independent Fellowship; Royal Society Dorothy Hodgkin Fellowship(Royal Society); NSF(National Science Foundation (NSF)); NERC(UK Research &amp; Innovation (UKRI)Natural Environment Research Council (NERC)); Natural Environment Research Council(UK Research &amp; Innovation (UKRI)Natural Environment Research Council (NERC))</t>
  </si>
  <si>
    <t>Thanks go to A. Diefendorf and J. Jacob for useful comments which helped to improve this manuscript. We thank F. Keay and A. Connolly of Leeds University for technical and analytical support. R.L.R.O. thanks the Natural Environmental Research Council (NERC) for supporting her PhD studentship (NE/K500847/1) and BGS for CASE support. R.I. was supported by a NERC Independent Fellowship (NE/K008536/1). F.L.G was supported by a Royal Society Dorothy Hodgkin Fellowship. R.A.dL.S., J.B.R. and C.H.V. publish with the approval of the Executive Director, British Geological Survey (NERC). Samples were obtained from A. Ashworth, North Dakota State University, and were collected during fieldwork for an NSF-funded project undertaken by A. Ashworth, J. Francis, D. Cantrill and S. Roof. V. Bowman is thanked for invaluable comments on an earlier draft of the manuscript.</t>
  </si>
  <si>
    <t>0146-6380</t>
  </si>
  <si>
    <t>ORG GEOCHEM</t>
  </si>
  <si>
    <t>Org. Geochem.</t>
  </si>
  <si>
    <t>10.1016/j.orggeochem.2018.01.001</t>
  </si>
  <si>
    <t>GB3YX</t>
  </si>
  <si>
    <t>WOS:000428997900002</t>
  </si>
  <si>
    <t>Yang, G; King, RA; Kawaguchi, S</t>
  </si>
  <si>
    <t>Yang, Guang; King, Robert A.; Kawaguchi, So</t>
  </si>
  <si>
    <t>Behavioural responses of Antarctic krill (Euphausia superba) to CO2-induced ocean acidification: would krill really notice?</t>
  </si>
  <si>
    <t>Antarctic krill; Ocean acidification; Behavioural response; Southern Ocean</t>
  </si>
  <si>
    <t>PHYTOPLANKTON; STOCK</t>
  </si>
  <si>
    <t>The Southern Ocean is expected to be significantly affected by future ocean acidification. Antarctic krill (Euphausia superba) is the key species of the Southern Ocean ecosystem. Understanding their behavioural responses to acidification is critical for assessing the impacts of ocean acidification on the ecosystem. Adult Antarctic krill reared in different holding tanks with various CO2 levels for 6 months prior to the experiments were tested for their behavioural responses to different carbon dioxide partial pressures (pCO(2)) (400, 1000, 1500, 2000, and 4000 mu atm pCO(2)) in a two-channel flume. The time krill occupied either of the flume channels (with high or ambient CO2 levels) was highly variable in all tests. In most cases no significant preference to either side of the flume was found. The krill did not display any systematic discrimination to the sea water with different CO2 levels regardless of the CO2 levels that krill were acclimated for in the 6 months prior to the experiment. Poor ability to discriminate high CO2 waters may have an important implication to their life history in the future as ocean acidification rapidly progresses in parts of Southern Ocean.</t>
  </si>
  <si>
    <t>[Yang, Guang] Chinese Acad Sci, Inst Oceanol, Key Lab Marine Ecol &amp; Environm Sci, 7 Nanhai Rd, Qingdao 266071, Peoples R China; [Yang, Guang] Qingdao Natl Lab Marine Sci &amp; Technol, Lab Marine Ecol &amp; Environm Sci, Qingdao 266071, Peoples R China; [King, Robert A.; Kawaguchi, So] Australian Antarctic Div, Kingston, Tas 7050, Australia; [Kawaguchi, So] Antarctic Climate &amp; Ecosyst Cooperat Res Ctr, Hobart, Tas 7001, Australia</t>
  </si>
  <si>
    <t>Chinese Academy of Sciences; Institute of Oceanology, CAS; Laoshan Laboratory; Australian Antarctic Division; Antarctic Climate &amp; Ecosystems Cooperative Research Centre (ACE CRC)</t>
  </si>
  <si>
    <t>Kawaguchi, S (corresponding author), Australian Antarctic Div, Kingston, Tas 7050, Australia.;Kawaguchi, S (corresponding author), Antarctic Climate &amp; Ecosyst Cooperat Res Ctr, Hobart, Tas 7001, Australia.</t>
  </si>
  <si>
    <t>So.Kawaguchi@aad.gov.au</t>
  </si>
  <si>
    <t>Kawaguchi, So/N-1795-2017</t>
  </si>
  <si>
    <t>King, Robert/0000-0002-4650-2335; Kawaguchi, So/0000-0002-2042-5095</t>
  </si>
  <si>
    <t>Australian Antarctic Science Project Experimental krill biology: Response of krill to environmental change [4037]</t>
  </si>
  <si>
    <t>Australian Antarctic Science Project Experimental krill biology: Response of krill to environmental change</t>
  </si>
  <si>
    <t>We thank Ashley Cooper, Tasha Waller and Blair Smith for their help during the experiment. This research was supported by Australian Antarctic Science Project #4037 Experimental krill biology: Response of krill to environmental change.</t>
  </si>
  <si>
    <t>10.1007/s00300-017-2233-x</t>
  </si>
  <si>
    <t>GA8QC</t>
  </si>
  <si>
    <t>WOS:000428603800011</t>
  </si>
  <si>
    <t>Pitman, RL; Fearnbach, H; Durban, JW</t>
  </si>
  <si>
    <t>Pitman, Robert L.; Fearnbach, Holly; Durban, John W.</t>
  </si>
  <si>
    <t>Abundance and population status of Ross Sea killer whales (Orcinus orca, type C) in McMurdo Sound, Antarctica: evidence for impact by commercial fishing?</t>
  </si>
  <si>
    <t>Antarctic toothfish; Fishery impact; Iceberg B-15; McMurdo Sound; Orcinus orca; Population assessment; Type C killer whale</t>
  </si>
  <si>
    <t>TOOTHFISH DISSOSTICHUS-MAWSONI; WEDDELL SEALS; ADELIE PENGUINS; ICEBERG; DYNAMICS; ICE; ECOSYSTEM; FISHERY; ISLAND; PREY</t>
  </si>
  <si>
    <t>For over a century, the Ross Sea killer whale (RSKW; Orcinus orca, Antarctic type C), a fish-eating ecotype, has been commonly reported in McMurdo Sound (McM), Ross Sea, Antarctica. However, a significant population decline reported at Ross Island after 2006 has been linked to a commercial fishery that began in the Ross Sea in 1996-1997 and targets large Antarctic toothfish (Dissostichus mawsoni)-the presumed primary prey of RSKW. We assessed RSKW population abundance and trends using photo-identification data collected in McM during seven summers from 2001-2002 to 2014-2015. We identified 352 individual RSKWs and estimated an average annual population of 470 distinctly marked whales. Using a Bayesian mark-recapture model, we identified two population clusters: 'regulars' showed strong inter- and intra-annual site fidelity and an average annual abundance of 73 distinctive individuals (95% probability: 57-88); 'irregulars' were less frequently encountered but comprised a larger population with an annual estimate of 397 distinctive individuals (287-609). The number of seasonally resident regulars appeared to be stable over the period of purported RSKW decline, with the estimated annual number of deaths (6; 95% probability: 1-22) offset by the number of recruits (6; 2-19). As an alternative to the decline-due-to-fishery hypothesis, we suggest that the presence of mega-iceberg B-15 at Ross Island during the iceberg years (2000-2001 to 2005-2006) could have temporarily disrupted normal RSKW movement patterns, resulting in an apparent decline. Continued population monitoring of toothfish and their predators will be important for assessing ecosystem impacts of commercial fishing in the Ross Sea.</t>
  </si>
  <si>
    <t>[Pitman, Robert L.] Natl Marine Fisheries Serv, Antarctic Ecosyst Res Div, Southwest Fisheries Sci Ctr, 8901 La Jolla Shores Dr, La Jolla, CA 92037 USA; [Fearnbach, Holly] Ctr Whale Res, 355 Smugglers Cove Rd, Friday Harbor, WA 98250 USA; [Fearnbach, Holly] SR3 SeaLife Response Rehabil &amp; Res, POB 1404, Mukilteo, WA 98275 USA; [Durban, John W.] Natl Marine Fisheries Serv, Southwest Fisheries Sci Ctr, Marine Mammal &amp; Turtle Div, 8901 La Jolla Shores Dr, La Jolla, CA 92037 USA</t>
  </si>
  <si>
    <t>National Oceanic Atmospheric Admin (NOAA) - USA; National Oceanic Atmospheric Admin (NOAA) - USA</t>
  </si>
  <si>
    <t>Pitman, RL (corresponding author), Natl Marine Fisheries Serv, Antarctic Ecosyst Res Div, Southwest Fisheries Sci Ctr, 8901 La Jolla Shores Dr, La Jolla, CA 92037 USA.</t>
  </si>
  <si>
    <t>robert.pitman@noaa.gov</t>
  </si>
  <si>
    <t>Pitman, Robert/0000-0002-8713-1219</t>
  </si>
  <si>
    <t>National Science Foundation [OPP-0338428, ANT-0944747]; US Marine Mammal Commission; International Whaling Commission-Southern Ocean Research Partnership; E. R. Johnson</t>
  </si>
  <si>
    <t>National Science Foundation(National Science Foundation (NSF)); US Marine Mammal Commission; International Whaling Commission-Southern Ocean Research Partnership; E. R. Johnson</t>
  </si>
  <si>
    <t>This work was supported by the National Science Foundation under Grants to R. Pitman (OPP-0338428) and Stacy Kim (ANT-0944747), and grants from the US Marine Mammal Commission, the International Whaling Commission-Southern Ocean Research Partnership, and a private grant from E. R. Johnson. We would like to thank The Natural History Museum, London, for permission to reproduce Fig. 2 and would also like to acknowledge the staff at McMurdo Station for their enthusiastic support, especially the helicopter pilots and the ice safety crew. For field assistance, we thank R. Andrews, D. Baetscher, L. Ballance, T. Cheeseman, M. P. Heide-Jorgensen, S. Kim, D. LeRoi, D. Mahon, and W. Perryman. Comments by D. Ainley, L. Ballance, and G. Watters helped to refine our arguments. Figure 1 was prepared by B. Saenz with bathymetric data provided by J. Black. Research was conducted under Antarctic Conservation Area Permit 2009-013, and Marine Mammal Protection Act Permits 774-1714 and 14097 issued to NOAA, Southwest Fisheries Science Center. Any opinions, findings, and conclusions or recommendations expressed in this material are those of the authors and do not necessarily reflect the views of the National Science Foundation.</t>
  </si>
  <si>
    <t>10.1007/s00300-017-2239-4</t>
  </si>
  <si>
    <t>WOS:000428603800017</t>
  </si>
  <si>
    <t>Extier, T; Landais, A; Bréant, C; Prié, F; Bazin, L; Dreyfus, G; Roche, DM; Leuenberger, M</t>
  </si>
  <si>
    <t>Extier, Thomas; Landais, Amaelle; Breant, Camille; Prie, Frederic; Bazin, Lucie; Dreyfus, Gabrielle; Roche, Didier M.; Leuenberger, Markus</t>
  </si>
  <si>
    <t>On the use of δ18Oatm for ice core dating</t>
  </si>
  <si>
    <t>Oxygen isotopes; delta O-18(atm); Glacial terminations; Water cycle; Ice core; Chronology</t>
  </si>
  <si>
    <t>ABRUPT CLIMATE-CHANGE; ANTARCTIC ICE; ATMOSPHERIC OXYGEN; MILLENNIAL-SCALE; ASIAN MONSOON; CHRONOLOGY AICC2012; LATE PLEISTOCENE; FIRN THICKNESS; CARBON-DIOXIDE; POLAR ICE</t>
  </si>
  <si>
    <t>Deep ice core chronologies have been improved over the past years through the addition of new age constraints. However, dating methods are still associated with large uncertainties for ice cores from the East Antarctic plateau where layer counting is not possible. Indeed, an uncertainty up to 6 ka is associated with AICC2012 chronology of EPICA Dome C (EDC) ice core, which mostly arises from uncertainty on the delay between changes recorded in delta O-18(atm) and in June 21st insolation variations at 65 degrees N used for ice core orbital dating. Consequently, we need to enhance the knowledge of this delay to improve ice core chronologies. We present new high-resolution EDC delta O-18(atm) record (153-374 ka) and delta O-2/N-2 measurements (163-332 ka) performed on well-stored ice to provide continuous records of delta O-18(atm) and delta O-2/N-2 between 100 and 800 ka. The comparison of delta O-18(atm) with the delta O-18(calcite) from East Asian speleothems shows that both signals present similar orbital and millennial variabilities, which may represent shifts in the InterTropical Convergence Zone position, themselves associated with Heinrich events. We thus propose to use the delta O-18(calcite) as target for delta O-18(atm) orbital dating. Such a tuning method improves the ice core chronology of the last glacial inception compared to AICC2012 by reconciling NGRIP and mid-latitude climatic records. It is especially marked during Dansgaard-Oeschger 25 where the proposed chronology is 2.2 ka older than AICC2012. This delta O-18(atm)- delta O-18(calcite) alignment method applied between 100 and 640 ka improves the EDC ice core chronology, especially over MIS 11, and leads to lower ice age uncertainties compared to AICC2012. (C) 2018 Elsevier Ltd. All rights reserved.</t>
  </si>
  <si>
    <t>[Extier, Thomas; Landais, Amaelle; Breant, Camille; Prie, Frederic; Bazin, Lucie; Roche, Didier M.] Univ Paris Saclay, CEA CNRS UVSQ, Lab Sci Climat &amp; Environm, LSCE IPSL, F-91191 Gif Sur Yvette, France; [Dreyfus, Gabrielle] Inst Governance &amp; Sustainable Dev, Washington, DC 20007 USA; [Roche, Didier M.] Vrije Univ Amsterdam, Fac Sci, Earth &amp; Climate Cluster, Amsterdam, Netherlands; [Leuenberger, Markus] Univ Bern, Phys Inst, Climate &amp; Environm Phys, Sidlerstr 5, CH-3012 Bern, Switzerland; [Leuenberger, Markus] Univ Bern, Oeschger Ctr Climate Res, Sidlerstr 5, CH-3012 Bern, Switzerland</t>
  </si>
  <si>
    <t>Universite Paris Cite; CEA; Centre National de la Recherche Scientifique (CNRS); Universite Paris Saclay; Vrije Universiteit Amsterdam; University of Bern; University of Bern</t>
  </si>
  <si>
    <t>Extier, T (corresponding author), Univ Paris Saclay, CEA CNRS UVSQ, Lab Sci Climat &amp; Environm, LSCE IPSL, F-91191 Gif Sur Yvette, France.</t>
  </si>
  <si>
    <t>thomas.extier@lsce.ipsl.fr</t>
  </si>
  <si>
    <t>Leuenberger, Markus C/K-9655-2016; Roche, Didier M./C-9875-2010</t>
  </si>
  <si>
    <t>Leuenberger, Markus C/0000-0003-4299-6793; Roche, Didier M./0000-0001-6272-9428; Extier, Thomas/0000-0002-9531-8753; LANDAIS, Amaelle/0000-0002-5620-5465; Bazin, Lucie/0000-0003-4808-4090</t>
  </si>
  <si>
    <t>Labex L-IPSL; ANR [ANR-10-LABX-0018]; Belmont Forum's Pacmedy project</t>
  </si>
  <si>
    <t>Labex L-IPSL; ANR(Agence Nationale de la Recherche (ANR)); Belmont Forum's Pacmedy project</t>
  </si>
  <si>
    <t>We acknowledge Alexandre Cauquoin for his contribution to the Match protocol learning. We thank Frederic Parrenin, Jai Chowdhry Beeman, Bruno Malaize and Louis Francois for fruitful discussions. We also thank the glaciological program of the French Polar Institute (IPEV) and Catherine Ritz involved in cutting EDC delta O2/N2 samples. It is a contribution to the European Project for Ice Coring in Antarctica (EPICA). This work was supported by Labex L-IPSL, which is funded by the ANR (grant no. ANR-10-LABX-0018) as well as the Belmont Forum's Pacmedy project.</t>
  </si>
  <si>
    <t>10.1016/j.quascirev.2018.02.008</t>
  </si>
  <si>
    <t>GB1SL</t>
  </si>
  <si>
    <t>WOS:000428830400017</t>
  </si>
  <si>
    <t>Hikichi, H; Arima, D; Abe, Y; Matsuno, K; Hamaoka, S; Katakura, S; Kasai, H; Yamaguchi, A</t>
  </si>
  <si>
    <t>Hikichi, Hikaru; Arima, Daichi; Abe, Yoshiyuki; Matsuno, Kohei; Hamaoka, Soshi; Katakura, Seiji; Kasai, Hiromi; Yamaguchi, Atsushi</t>
  </si>
  <si>
    <t>Seasonal variability of zooplankton size spectra at Mombetsu Harbour in the southern Okhotsk Sea during 2011: An analysis using an optical plankton counter</t>
  </si>
  <si>
    <t>REGIONAL STUDIES IN MARINE SCIENCE</t>
  </si>
  <si>
    <t>COASTAL WATERS; FRESH-WATER; JAPAN SEA; BIOMASS; DISTRIBUTIONS; MESOZOOPLANKTON; PHYTOPLANKTON; CALIBRATION; CLADOCERAN; BIOVOLUME</t>
  </si>
  <si>
    <t>To evaluate the temporal changes in zooplankton size spectra, optical plankton counter (OPC) measurements were made of high-frequency time-series zooplankton samples collected at approximately 3.5-day intervals in Mombetsu Harbour, which is located in the southern Okhotsk Sea, from January to December 2011. Based on biomasses of 47 equivalent spherical diameter (ESD) size classes binned at 0.1 mm intervals across 0.35-5 mm, the Bray-Curtis similarity index separated the zooplankton community into six groups (A-F). The occurrence of each group was separated seasonally. Thus, groups A and B were observed during the ice-covered season and summer season, respectively. During March and June, groups C-F were observed. Their occurrence varied in the short term in relation to the exchange of water masses. Groups A and C, which were observed from January to April, showed flatter normalized biomass size spectra (NBSS) slopes ( -0.85 to -1.1), which indicate low productivity. In contrast, the other groups showed steeper slopes (-1.31 to -1.52) from May to December, with high productivity. Throughout the year, the frequency of highly productive groups occurred at a high level (95.2%). Although the seasonal variability in zooplankton size and productivity in Mombetsu Harbour was mainly governed by water mass exchanges, the productivity was continuously high throughout nearly all of the one-year study period. (C) 2018 Published by Elsevier B.V.</t>
  </si>
  <si>
    <t>[Hikichi, Hikaru; Arima, Daichi; Abe, Yoshiyuki; Matsuno, Kohei; Yamaguchi, Atsushi] Hokkaido Univ, Grad Sch Fisheries Sci, Lab Marine Biol, 3-1-1 Minato Cho, Hakodate, Hokkaido 0410821, Japan; [Matsuno, Kohei] Australian Antarctic Div, 203 Channel Highway, Kingston, Tas 7050, Australia; [Hamaoka, Soshi; Katakura, Seiji] Kaiyo Koryukan, Kaiyo Koen 1, Mombetsu, Hokkaido 0940031, Japan; [Kasai, Hiromi] Japan Fisheries Res &amp; Educ Agcy, Hokkaido Natl Fisheries Res Inst, 116 Katsurakoi, Kushiro, Hokkaido 0850802, Japan</t>
  </si>
  <si>
    <t>Hokkaido University; Australian Antarctic Division; Japan Fisheries Research &amp; Education Agency (FRA)</t>
  </si>
  <si>
    <t>Hikichi, H (corresponding author), Hokkaido Univ, Grad Sch Fisheries Sci, Lab Marine Biol, 3-1-1 Minato Cho, Hakodate, Hokkaido 0410821, Japan.</t>
  </si>
  <si>
    <t>h.hikichi@fish.hokudai.ac.jp</t>
  </si>
  <si>
    <t>Yamaguchi, Atsushi/A-8613-2012; Matsuno, Kohei/AAJ-6510-2021</t>
  </si>
  <si>
    <t>Yamaguchi, Atsushi/0000-0002-5646-3608; Matsuno, Kohei/0000-0001-9793-7622</t>
  </si>
  <si>
    <t>Japanese Society for Promotion of Science (JSPS) [17H01483, 16H02947, 15KK0268]; Grants-in-Aid for Scientific Research [17H01483, 16H02947, 15KK0268, 15J01219] Funding Source: KAKEN</t>
  </si>
  <si>
    <t>Japanese Society for Promotion of Science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</si>
  <si>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thank Prof. Ichiro Imai for providing valuable comments on an earlier version of the manuscript. Part of this study was supported by a Grant-in-Aid for Scientific Research 17H01483 (A), 16H02947 (B) and 15KK0268 (Joint International Research) from the Japanese Society for Promotion of Science (JSPS). This work was partially conducted for the Arctic Challenge for Sustainability (ArCS) project.</t>
  </si>
  <si>
    <t>2352-4855</t>
  </si>
  <si>
    <t>REG STUD MAR SCI</t>
  </si>
  <si>
    <t>Reg. Stud. Mar. Sci.</t>
  </si>
  <si>
    <t>10.1016/j.rsma.2018.03.011</t>
  </si>
  <si>
    <t>GG2LW</t>
  </si>
  <si>
    <t>WOS:000432525400004</t>
  </si>
  <si>
    <t>Lehuedé, RS</t>
  </si>
  <si>
    <t>Santibanez Lehuede, Rodrigo</t>
  </si>
  <si>
    <t>INFLUENCE OF THE COLD WAR IN CHILEAN ANTARCTIC POLICY, 1947-1959</t>
  </si>
  <si>
    <t>REVISTA ESTUDIOS HEMISFERICOS Y POLARES</t>
  </si>
  <si>
    <t>Spanish</t>
  </si>
  <si>
    <t>Antarctic Policy; Sovereignty; Cold War Context; Negotiator</t>
  </si>
  <si>
    <t>The present study its focused to identify the evolution undergone by the Chilean Antarctic policy in the context of Cold war. Since 1940, through the Supreme Decree N degrees 1.747, the Chilean state adopted a sovereignty position regarding their interests in the Chilean Antarctic, demonstrated this position in front of the international community through multiples official acts that strengthened their presence in this sector. This position of the state will take a negotiator character from 1948 by the proposal of Escudero, without losing sight of the interests of the Chilean State in the Antarctic. By this way, there will be an evolution in the policy of Chilean Antarctic, taking the account of the two super powers in the white continent and the interests of the another countries with presence in the Antarctic, process that will finish with the sign of the Treaty Antarctic of 1959.</t>
  </si>
  <si>
    <t>[Santibanez Lehuede, Rodrigo] Univ Alberto Hurtado, Santiago, Chile</t>
  </si>
  <si>
    <t>Universidad Alberto Hurtado</t>
  </si>
  <si>
    <t>Lehuedé, RS (corresponding author), Manuel Claro Vial 8718, Santiago, Chile.</t>
  </si>
  <si>
    <t>rodrigojsl190692@gmail.com</t>
  </si>
  <si>
    <t>CENTRO ESTUDIOS HEMISFERICOS &amp; POLARES</t>
  </si>
  <si>
    <t>VINA DEL MAR</t>
  </si>
  <si>
    <t>CALLE ROMA, 116, CALETA ABARCA, VINA DEL MAR, 2580060, CHILE</t>
  </si>
  <si>
    <t>0718-9230</t>
  </si>
  <si>
    <t>REV ESTUD HEMISFERIC</t>
  </si>
  <si>
    <t>Rev. Estud. Hemisfericos Polares</t>
  </si>
  <si>
    <t>APR-JUN</t>
  </si>
  <si>
    <t>Area Studies</t>
  </si>
  <si>
    <t>GL8XH</t>
  </si>
  <si>
    <t>WOS:000437511200005</t>
  </si>
  <si>
    <t>Silvano, A; Rintoul, SR; Peña-Molino, B; Hobbs, WR; van Wijk, E; Aoki, S; Tamura, T; Williams, GD</t>
  </si>
  <si>
    <t>Silvano, Alessandro; Rintoul, Stephen Rich; Pena-Molino, Beatriz; Hobbs, William Richard; van Wijk, Esmee; Aoki, Shigeru; Tamura, Takeshi; Williams, Guy Darvall</t>
  </si>
  <si>
    <t>Freshening by glacial meltwater enhances melting of ice shelves and reduces formation of Antarctic Bottom Water</t>
  </si>
  <si>
    <t>AMUNDSEN SEA EMBAYMENT; PINE ISLAND GLACIER; SOUTHERN-OCEAN; EAST ANTARCTICA; CONTINENTAL-SHELF; WEST ANTARCTICA; TOTTEN GLACIER; MIXED-LAYER; DEEP-WATER; MASS-LOSS</t>
  </si>
  <si>
    <t>Strong heat loss and brine release during sea ice formation in coastal polynyas act to cool and salinify waters on the Antarctic continental shelf. Polynya activity thus both limits the ocean heat flux to the Antarctic Ice Sheet and promotes formation of Dense Shelf Water (DSW), the precursor to Antarctic Bottom Water. However, despite the presence of strong polynyas, DSW is not formed on the Sabrina Coast in East Antarctica and in the Amundsen Sea in West Antarctica. Using a simple ocean model driven by observed forcing, we show that freshwater input from basal melt of ice shelves partially offsets the salt flux by sea ice formation in polynyas found in both regions, preventing full-depth convection and formation of DSW. In the absence of deep convection, warm water that reaches the continental shelf in the bottom layer does not lose much heat to the atmosphere and is thus available to drive the rapid basal melt observed at the Totten Ice Shelf on the Sabrina Coast and at the Dotson and Getz ice shelves in the Amundsen Sea. Our results suggest that increased glacial meltwater input in a warming climate will both reduce Antarctic Bottom Water formation and trigger increased mass loss from the Antarctic Ice Sheet, with consequences for the global overturning circulation and sea level rise.</t>
  </si>
  <si>
    <t>[Silvano, Alessandro; Williams, Guy Darvall] Univ Tasmania, Inst Marine &amp; Antarctic Studies, Hobart, Tas, Australia; [Silvano, Alessandro; Rintoul, Stephen Rich; Pena-Molino, Beatriz; van Wijk, Esmee] Commonwealth Sci &amp; Ind Res Org Oceans &amp; Atmospher, Hobart, Tas, Australia; [Silvano, Alessandro; Rintoul, Stephen Rich; Pena-Molino, Beatriz; Hobbs, William Richard; van Wijk, Esmee; Tamura, Takeshi; Williams, Guy Darvall] Univ Tasmania, Antarctic Climate &amp; Ecosyst Cooperat Res Ctr, Hobart, Tas, Australia; [Rintoul, Stephen Rich; Pena-Molino, Beatriz] Ctr Southern Hemisphere Oceans Res, Hobart, Tas, Australia; [Hobbs, William Richard; Williams, Guy Darvall] Univ New South Wales, Ctr Excellence Climate Syst Sci, Australian Res Council, Sydney, NSW, Australia; [Aoki, Shigeru] Hokkaido Univ, Inst Low Temp Sci, Sapporo, Hokkaido, Japan; [Tamura, Takeshi] Natl Inst Polar Res, Tachikawa, Tokyo, Japan; [Tamura, Takeshi] Grad Univ Adv Studies, SOKENDAI, Tachikawa, Tokyo, Japan</t>
  </si>
  <si>
    <t>University of Tasmania; Commonwealth Scientific &amp; Industrial Research Organisation (CSIRO); University of Tasmania; Antarctic Climate &amp; Ecosystems Cooperative Research Centre (ACE CRC); University of New South Wales Sydney; Hokkaido University; Research Organization of Information &amp; Systems (ROIS); National Institute of Polar Research (NIPR) - Japan; Graduate University for Advanced Studies - Japan</t>
  </si>
  <si>
    <t>Silvano, A (corresponding author), Univ Tasmania, Inst Marine &amp; Antarctic Studies, Hobart, Tas, Australia.;Silvano, A (corresponding author), Commonwealth Sci &amp; Ind Res Org Oceans &amp; Atmospher, Hobart, Tas, Australia.;Silvano, A (corresponding author), Univ Tasmania, Antarctic Climate &amp; Ecosyst Cooperat Res Ctr, Hobart, Tas, Australia.</t>
  </si>
  <si>
    <t>alessandro.silvano@utas.edu.au</t>
  </si>
  <si>
    <t>van Wijk, Esmee/AAB-2451-2020; Rintoul, Stephen R/A-1471-2012; Hobbs, Will/P-8094-2019; Aoki, Shigeru/D-9105-2012; Pena-Molino, Beatriz/IYK-0313-2023</t>
  </si>
  <si>
    <t>van Wijk, Esmee/0000-0002-9375-4383; Rintoul, Stephen R/0000-0002-7055-9876; Hobbs, Will/0000-0002-2061-0899; Pena-Molino, Beatriz/0000-0003-1587-1696; Williams, Guy/0000-0002-3975-2977; Silvano, Alessandro/0000-0002-6441-1496</t>
  </si>
  <si>
    <t>Australian Antarctic Research Programme; Australian Research Council Special Research Initiative for the Antarctic Gateway Partnership; Australian Climate Change Science Program; Australia's Integrated Marine Observing System; National Environmental Science Programme; Centre for Southern Hemisphere Oceans Research; Australian Government Research Training Program Scholarship; Australian Government's Cooperative Research Centres Program through the Antarctic Climate and Ecosystems Cooperative Research Centre; MEXT (Ministry of Education, Culture, Sports, Science and Technology) of the Japanese Government [17H01615]; Canon Foundation Ltd.; Core Research for Evolutional Science and Technology of Japan Science and Technology Agency; Japanese MEXT [26740007, 17H04710]; Center for the Promotion of Integrated Sciences of SOKENDAI; Graduate University for Advanced Studies; Global Change Observation Mission 1st-Water (GCOMW1) of Japan Aerospace Exploration Agency (JAXA); National Institute of Polar Research [KP-303]; Institute of Low Temperature Science, Hokkaido University; Commonwealth Scientific and Industrial Research Organisation (CSIRO); Qingdao National Laboratory for Marine Science; Grants-in-Aid for Scientific Research [17H04710, 17H06322, 17H01615, 26740007] Funding Source: KAKEN</t>
  </si>
  <si>
    <t>Australian Antarctic Research Programme; Australian Research Council Special Research Initiative for the Antarctic Gateway Partnership(Australian Research Council); Australian Climate Change Science Program; Australia's Integrated Marine Observing System; National Environmental Science Programme; Centre for Southern Hemisphere Oceans Research(Commonwealth Scientific &amp; Industrial Research Organisation (CSIRO)); Australian Government Research Training Program Scholarship(Australian GovernmentDepartment of Industry, Innovation and Science); Australian Government's Cooperative Research Centres Program through the Antarctic Climate and Ecosystems Cooperative Research Centre(Australian GovernmentDepartment of Industry, Innovation and ScienceCooperative Research Centres (CRC) Programme); MEXT (Ministry of Education, Culture, Sports, Science and Technology) of the Japanese Government(Ministry of Education, Culture, Sports, Science and Technology, Japan (MEXT)); Canon Foundation Ltd.; Core Research for Evolutional Science and Technology of Japan Science and Technology Agency(Core Research for Evolutional Science and Technology (CREST)); Japanese MEXT(Ministry of Education, Culture, Sports, Science and Technology, Japan (MEXT)); Center for the Promotion of Integrated Sciences of SOKENDAI; Graduate University for Advanced Studies; Global Change Observation Mission 1st-Water (GCOMW1) of Japan Aerospace Exploration Agency (JAXA); National Institute of Polar Research(National Institute of Polar Research (NIPR) - Japan); Institute of Low Temperature Science, Hokkaido University; Commonwealth Scientific and Industrial Research Organisation (CSIRO)(Commonwealth Scientific &amp; Industrial Research Organisation (CSIRO)); Qingdao National Laboratory for Marine Science; Grants-in-Aid for Scientific Research(Ministry of Education, Culture, Sports, Science and Technology, Japan (MEXT)Japan Society for the Promotion of ScienceGrants-in-Aid for Scientific Research (KAKENHI))</t>
  </si>
  <si>
    <t>This project was supported by the Australian Antarctic Research Programme, the Australian Research Council's Special Research Initiative for the Antarctic Gateway Partnership, the Australian Climate Change Science Program, the Australia's Integrated Marine Observing System, the National Environmental Science Programme, and the Centre for Southern Hemisphere Oceans Research, a partnership between Commonwealth Scientific and Industrial Research Organisation (CSIRO) and the Qingdao National Laboratory for Marine Science. A.S. was supported by the Australian Government Research Training Program Scholarship. S.R.R., B.P.-M., W.R.H., and G.D.W. acknowledge support from the Australian Government's Cooperative Research Centres Program through the Antarctic Climate and Ecosystems Cooperative Research Centre. S.A. acknowledges support by the Grants-in-Aid for Scientific Research (17H01615) of the MEXT (Ministry of Education, Culture, Sports, Science and Technology) of the Japanese Government. T.T. and G.D.W. were supported by the Canon Foundation Ltd. T. T. acknowledges support from the Core Research for Evolutional Science and Technology of Japan Science and Technology Agency; the Grants-in-Aid for Scientific Research (26740007 and 17H04710) of the Japanese MEXT; the Center for the Promotion of Integrated Sciences of SOKENDAI, the Graduate University for Advanced Studies; the Global Change Observation Mission 1st-Water (GCOMW1) of Japan Aerospace Exploration Agency (JAXA); the National Institute of Polar Research through Project Research KP-303; and the grant for Joint Research Program of the Institute of Low Temperature Science, Hokkaido University.</t>
  </si>
  <si>
    <t>eaap9467</t>
  </si>
  <si>
    <t>10.1126/sciadv.aap9467</t>
  </si>
  <si>
    <t>GE6XR</t>
  </si>
  <si>
    <t>WOS:000431374900028</t>
  </si>
  <si>
    <t>Lu, XC; Cheng, X; Li, XL; Tang, JW</t>
  </si>
  <si>
    <t>Lu, Xinchen; Cheng, Xiao; Li, Xianglan; Tang, Jianwu</t>
  </si>
  <si>
    <t>Opportunities and challenges of applications of satellite-derived sun-induced fluorescence at relatively high spatial resolution</t>
  </si>
  <si>
    <t>Remote sensing; Sun-induced fluorescence; Gross primary productivity; Orbiting Carbon Observatory-2; Eddy covariance; High-spatial-resolution</t>
  </si>
  <si>
    <t>INDUCED CHLOROPHYLL FLUORESCENCE; PHOTOSYNTHESIS; PRODUCTIVITY; RETRIEVAL; CANOPY; MODEL; CYCLE</t>
  </si>
  <si>
    <t>Estimating gross primary production (GPP) regionally and globally remains challenging despite its primary role in driving ecosystem productivity and carbon cycling. Recently, satellite-derived sun-induced fluorescence (SIF) provides an alternative approach to investigate GPP from space. However, our ability to apply SIF to estimating GPP at large scales is still lacking, primarily because the SIF-GPP relationships at various spatial and temporal scales are not fully understood. The coarse spatial representativeness (around 0.5 degrees or coarser) of previous satellite-derived SIF data makes it difficult to compare and validate with eddy covariance (EC) based GPP measurements. Orbiting Carbon Observatory-2 (OCO-2) has shown prospects in providing SIF at significantly improved spatial resolutions (around 1.3 km by 2.25 km) that are comparable to ground-based GPP measurements. However, OCO-2 operates at a 16-day revisiting schedule with a sparse spatial sampling strategy. We found that for most EC sites, the observations of OCO-2 passing through were extremely limited. The average number of successfully retrieved SIF by OCO-2 encompassing each site within a year was only 3.21 from 2015 to 2016. For an EC site with high companion OCO-2 coverages, we found a strong correlation between GPP and SIF. Despite challenges, the emerging high-spatial-resolution SIF data provide unprecedented opportunities to estimate GPP over time and space and its underlying mechanism. We recommend that to fully use the satellite derived SIF data, a research agenda is critically needed to improve our understanding of the relationship between SIF and GPP across biomes, ecosystems, and even species. We advocate maintaining and upgrading current EC sites and adding ground-based SIF measurements to provide another scale of SIF observations. We also suggest constructions of new EC sites taking into consideration the scientific benefits that can be gained by locating sites within the belts within OCO-2 or other satellite-derived SIF missions. (C) 2017 Elsevier B.V. All rights reserved.</t>
  </si>
  <si>
    <t>[Lu, Xinchen; Cheng, Xiao; Li, Xianglan] Beijing Normal Univ, Coll Global Change &amp; Earth Syst Sci, State Key Lab Remote Sensing Sci, Beijing 100875, Peoples R China; [Tang, Jianwu] Marine Biol Lab, Ctr Ecosyst, Woods Hole, MA 02543 USA</t>
  </si>
  <si>
    <t>Beijing Normal University; Marine Biological Laboratory - Woods Hole</t>
  </si>
  <si>
    <t>Li, XL (corresponding author), Beijing Normal Univ, Coll Global Change &amp; Earth Syst Sci, State Key Lab Remote Sensing Sci, Beijing 100875, Peoples R China.;Tang, JW (corresponding author), Marine Biol Lab, Ctr Ecosyst, Woods Hole, MA 02543 USA.</t>
  </si>
  <si>
    <t>xlli@bnu.edu.cn; jtang@mbl.edu</t>
  </si>
  <si>
    <t>OCO, OCO/GVS-4314-2022; Tang, Jianwu/K-6798-2014</t>
  </si>
  <si>
    <t>Tang, Jianwu/0000-0003-2498-9012</t>
  </si>
  <si>
    <t>Fundamental Research Funds for the Central Universities in China [312231103]; Chinese Arctic and Antarctic Administration; National Natural Science Foundation of China [41676176, 41676182]; Chinese Polar Environment Comprehensive Investigation, Assessment Program; Department of Energy Office of Science, Ameriflux Network Management Project Support for UW ChEAS Cluster</t>
  </si>
  <si>
    <t>Fundamental Research Funds for the Central Universities in China; Chinese Arctic and Antarctic Administration; National Natural Science Foundation of China(National Natural Science Foundation of China (NSFC)); Chinese Polar Environment Comprehensive Investigation, Assessment Program; Department of Energy Office of Science, Ameriflux Network Management Project Support for UW ChEAS Cluster(United States Department of Energy (DOE))</t>
  </si>
  <si>
    <t>This work was partially supported by the Fundamental Research Funds for the Central Universities in China (Grant No. 312231103). This work was also supported by the Chinese Arctic and Antarctic Administration, National Natural Science Foundation of China (Grant Nos. 41676176 and 41676182), the Chinese Polar Environment Comprehensive Investigation, Assessment Program. The study of US-PFa is funded by Department of Energy Office of Science, Ameriflux Network Management Project Support for UW ChEAS Cluster (2012-present). The OCO-2 SIF data were produced by the OCO-2 project at the Jet Propulsion Laboratory, California Institute of Technology, and obtained from the OCO-2 data archive maintained at the NASA Goddard Earth Science Data and Information Services Center.</t>
  </si>
  <si>
    <t>10.1016/j.scitotenv.2017.11.158</t>
  </si>
  <si>
    <t>FU8ZA</t>
  </si>
  <si>
    <t>WOS:000424144200065</t>
  </si>
  <si>
    <t>Zhao, Y; Zhou, Y; Wang, MZ; Huo, W; Huang, AN; Yang, XH; Yang, F</t>
  </si>
  <si>
    <t>Zhao, Yong; Zhou, Yang; Wang, Minzhong; Huo, Wen; Huang, Anning; Yang, Xinhua; Yang, Fan</t>
  </si>
  <si>
    <t>Annual distributions and variations of dust weather occurrence over the Tarim Basin, China</t>
  </si>
  <si>
    <t>THEORETICAL AND APPLIED CLIMATOLOGY</t>
  </si>
  <si>
    <t>CLIMATIC CONTROL; NORTH PACIFIC; VARIABILITY; STORM; FREQUENCY; TRANSPORT; TIME; ASIA</t>
  </si>
  <si>
    <t>The annual distribution and variations in dust weather occurrence (DWO) have been analyzed using monthly DWO data from 26 stations over the Tarim Basin during the period of 1961 to 2010. The results show that the DWO presents a significant decreasing trend for different parts of the Tarim Basin in recent decades. The monthly DWO has two peaks in the east and west. In the first half of the year, the peak is in April, but in the second half of the year, the peak is in September. According to the concentration period and concentration degree (CD) of DWO, we can find that the maximum DWO occurs in April in the eastern, western, and northern parts of the basin, but it occurs in May in the southern part. The dust weather season is shorter for the northern and eastern parts of the basin than those of the remaining parts. On average, the dust weather season initiates in April in the northeast and in May for the rest of the region. As an indicator for the length of dust weather season, the CD is significantly related to DWO, with a correlation coefficient of -0.51, revealing an interesting feature of regional climate change with declining DWO and declining dust weather season over the Tarim Basin. The correlation analysis exhibits that all the Arctic Oscillation, Antarctic Oscillation, and North Atlantic Oscillation have a negative relation with the DWO but a positive relation with the length of dust weather season.</t>
  </si>
  <si>
    <t>[Zhao, Yong] Chengdu Univ Informat Technol, Sch Atmospher Sci, Chengdu 610225, Sichuan, Peoples R China; [Zhao, Yong; Wang, Minzhong; Huo, Wen; Yang, Xinhua; Yang, Fan] China Meteorol Adm, Inst Desert Meteorol, Urumqi 830002, Peoples R China; [Zhou, Yang; Huang, Anning] Nanjing Univ, Sch Atmospher Sci, Xianlin Campus,163 Xianlin Ave, Nanjing 210023, Jiangsu, Peoples R China</t>
  </si>
  <si>
    <t>Chengdu University of Information Technology; China Meteorological Administration; Nanjing University</t>
  </si>
  <si>
    <t>Zhou, Y (corresponding author), Nanjing Univ, Sch Atmospher Sci, Xianlin Campus,163 Xianlin Ave, Nanjing 210023, Jiangsu, Peoples R China.</t>
  </si>
  <si>
    <t>yangzhou@nju.edu.cn</t>
  </si>
  <si>
    <t>Zhou, Yang/H-9582-2018; Yang, Fan/HDM-2876-2022; 黄, 安宁/K-7473-2019</t>
  </si>
  <si>
    <t>Zhou, Yang/0000-0002-2945-882X; 黄, 安宁/0000-0001-9872-440X</t>
  </si>
  <si>
    <t>Nation Science Foundation of China [41575008]</t>
  </si>
  <si>
    <t>Nation Science Foundation of China(National Natural Science Foundation of China (NSFC))</t>
  </si>
  <si>
    <t>We acknowledge the support by the Nation Science Foundation of China under Grant No. 41575008.</t>
  </si>
  <si>
    <t>0177-798X</t>
  </si>
  <si>
    <t>1434-4483</t>
  </si>
  <si>
    <t>THEOR APPL CLIMATOL</t>
  </si>
  <si>
    <t>Theor. Appl. Climatol.</t>
  </si>
  <si>
    <t>10.1007/s00704-017-2081-1</t>
  </si>
  <si>
    <t>GA3PK</t>
  </si>
  <si>
    <t>WOS:000428241200015</t>
  </si>
  <si>
    <t>Stowe, MJ; Hedding, DW; Eckardt, FD; Nel, W</t>
  </si>
  <si>
    <t>Stowe, M-J; Hedding, D. W.; Eckardt, F. D.; Nel, W.</t>
  </si>
  <si>
    <t>High-frequency monitoring of stream water physicochemistry on sub-Antarctic Marion Island</t>
  </si>
  <si>
    <t>WATER SA</t>
  </si>
  <si>
    <t>diurnal; diel cycles; in situ; Marion Island; sub-Antarctic</t>
  </si>
  <si>
    <t>ELECTRICAL-CONDUCTIVITY; CLIMATE-CHANGE; FRESH-WATERS; TIME-SERIES; RIVER; TEMPERATURES; DIEL; FLUCTUATIONS; CHEMISTRY; PATTERNS</t>
  </si>
  <si>
    <t>Given the remoteness and challenging environmental conditions on sub-Antarctic Marion Island, continuous high-resolution studies of the island's natural water systems are rare. Subsequently current understanding of the island's hydrochemistry is based entirely on manual point-based measurements. To address this research gap we analysed continuous, in-situ high-frequency physicochemical measurements (pH, water temperature, dissolved oxygen (DO), and electrical conductivity (EC)) from the Soft Plume River over the period 21 April 2015-26 April 2015. We observed a sharp, short-term response from all measurements to a precipitation event that was superimposed on consistent but subtle diel (i.e. 24 h) cycles throughout the study. Total variation in pH and electrical conductivity amounted to 1.3 units and 27.7 mu S/cm respectively. Stream water temperature was less variable (6.2 degrees C) than air surface temperature (14.2 degrees C). Total variation in DO was 2.0 mg/L. Aside from the precipitation-induced response, diel oscillations were small and only visible through the use of continuous, high-resolution monitoring. Findings highlight the advantages of continuous high-frequency monitoring in capturing the range of daily variation and elucidating diel cycles in stream water physicochemistry on sub-Antarctic Marion Island that have not previously been accounted for.</t>
  </si>
  <si>
    <t>[Stowe, M-J; Eckardt, F. D.] Univ Cape Town, Dept Environm &amp; Geog Sci, Private Bag X3, ZA-7701 Rondebosch, South Africa; [Hedding, D. W.] Univ South Africa, Dept Geog, ZA-1710 Florida, South Africa; [Nel, W.] Univ Ft Hare, Dept Geog &amp; Environm Sci, Private Bag X1314, ZA-5700 Alice, South Africa</t>
  </si>
  <si>
    <t>University of Cape Town; University of South Africa; University of Fort Hare</t>
  </si>
  <si>
    <t>Stowe, MJ (corresponding author), Univ Cape Town, Dept Environm &amp; Geog Sci, Private Bag X3, ZA-7701 Rondebosch, South Africa.</t>
  </si>
  <si>
    <t>michaeljamesy@gmail.com</t>
  </si>
  <si>
    <t>Stowe, MJ/KAM-3512-2024; Eckardt, Frank D/N-3682-2015; Hedding, David William/F-3044-2011</t>
  </si>
  <si>
    <t>Eckardt, Frank D/0000-0003-0200-7110; Hedding, David William/0000-0002-9748-4499; Nel, Werner/0000-0002-3769-4937</t>
  </si>
  <si>
    <t>Landscape and Climate Interactions in a Changing Sub-Antarctic Environment [93075]; South African Department of Environmental Affairs; National Research Foundation; South African Department of Science and Technology - South African National Antarctic Programme</t>
  </si>
  <si>
    <t>Landscape and Climate Interactions in a Changing Sub-Antarctic Environment; South African Department of Environmental Affairs; National Research Foundation; South African Department of Science and Technology - South African National Antarctic Programme</t>
  </si>
  <si>
    <t>The research presented here is part of the project Landscape and Climate Interactions in a Changing Sub-Antarctic Environment (grant no. 93075). This research received logistical support from the South African Department of Environmental Affairs. Funding was provided through the National Research Foundation, by the South African Department of Science and Technology under the auspices of the South African National Antarctic Programme. Climate data from the research station on Marion Island was provided by the South African Weather Service.</t>
  </si>
  <si>
    <t>WATER RESEARCH COMMISSION</t>
  </si>
  <si>
    <t>PRETORIA</t>
  </si>
  <si>
    <t>PO BOX 824, PRETORIA 0001, SOUTH AFRICA</t>
  </si>
  <si>
    <t>0378-4738</t>
  </si>
  <si>
    <t>1816-7950</t>
  </si>
  <si>
    <t>Water SA</t>
  </si>
  <si>
    <t>10.4314/wsa.v44i2.13</t>
  </si>
  <si>
    <t>Water Resources</t>
  </si>
  <si>
    <t>GI0TM</t>
  </si>
  <si>
    <t>WOS:000434082400013</t>
  </si>
  <si>
    <t>Sivasankar, P; Priyanka, K; Rekadwad, B; Sivakumar, K; Thangaradjou, T; Poongodi, S; Manimurali, R; Bhaskar, PV; Anilkumar, N</t>
  </si>
  <si>
    <t>Sivasankar, P.; Priyanka, K.; Rekadwad, Bhagwan; Sivakumar, K.; Thangaradjou, T.; Poongodi, S.; Manimurali, R.; Bhaskar, P., V; Anilkumar, N.</t>
  </si>
  <si>
    <t>Actinobacterial community structure in the Polar Frontal waters of the Southern Ocean of the Antarctica using Geographic Information System (GIS): A novel approach to study Ocean Microbiome</t>
  </si>
  <si>
    <t>DATA IN BRIEF</t>
  </si>
  <si>
    <t>Antarctica; Marine actinobacteria; Southern ocean; GIS; Polar Frontal waters; Microbiome</t>
  </si>
  <si>
    <t>INVENTORY; USA</t>
  </si>
  <si>
    <t>Integration of microbiological data and geographical locations is necessary to understand the spatiotemporal patterns of the microbial diversity of an ecosystem. The Geographic Information System (GIS) to map and catalogue the data on the actinobacterial diversity of the Southern Ocean waters was completed through sampling and analysis. Water samples collected at two sampling stations viz. Polar Front 1 (Station 1) and Polar Front 2 (Station 2) during 7th Indian Scientific Expedition to the Indian Ocean Sector of the Southern Ocean (SOE-2012-13) were used for analysis. At the outset, two different genera of Actinobacteria were recorded at both sampling stations. Streptomyces was the dominanted with the high score ( &gt; 60%), followed by Nocardiopsis ( &lt; 30%) at both the sampling stations-Polar Front 1 and Polar Front 2-along with other invasive genera such as Agrococcus, Arthrobacter, Cryobacterium, Curtobacterium, Micro-bacterium, Marisediminicola, Rhodococcus and Kocuria. This data will help to discriminate the diversity and distribution pattern of the Actinobacteria in the Polar Frontal Region of the Southern Ocean waters. It is a novel approach useful for geospatial cataloguing of microbial diversity from extreme niches and in various environmental gradations. Furthermore, this research work will act as the milestone for bioprospecting of microbial communities and their products having potential applications in healthcare, agriculture and beneficial to mankind. Hence, this research work would have significance in creating a database on microbial communities of the Antarctic ecosystem. (C) 2018 The Authors. Published by Elsevier Inc.</t>
  </si>
  <si>
    <t>[Sivasankar, P.] Periyar Univ, Dept Environm Sci, Salem, Tamil Nadu, India; [Priyanka, K.; Sivakumar, K.; Poongodi, S.] Annamalai Univ, Fac Marine Sci, Ctr Adv Study Marine Biol, Parangipettai, Tamil Nadu, India; [Rekadwad, Bhagwan] Natl Ctr Cell Sci, Natl Ctr Microbial Resource, Pune, Maharashtra, India; [Thangaradjou, T.] Govt India, Sci &amp; Engn Res Board, Dept Sci &amp; Technol, New Delhi, India; [Manimurali, R.] Natl Inst Oceanog, Panaji, Goa, India; [Bhaskar, P., V; Anilkumar, N.] Natl Ctr Antarctic &amp; Ocean Res, Vasco Da Gama, Goa, India</t>
  </si>
  <si>
    <t>Periyar University; Annamalai University; Department of Biotechnology (DBT) India; National Centre for Cell Science, Pune (NCCS); Department of Science &amp; Technology (India); Science Engineering Research Board (SERB), India; Council of Scientific &amp; Industrial Research (CSIR) - India; CSIR - National Institute of Oceanography (NIO); Ministry of Earth Sciences (MoES) - India; National Centre for Polar and Ocean Research (NCPOR)</t>
  </si>
  <si>
    <t>Rekadwad, B (corresponding author), Natl Ctr Cell Sci, Natl Ctr Microbial Resource, Pune, Maharashtra, India.</t>
  </si>
  <si>
    <t>rekadwad@gmail.com</t>
  </si>
  <si>
    <t>Rekadwad, Bhagwan/A-1752-2011; Palaniappan, Sivasankar/D-6526-2013; Parli, Bhaskar/D-3652-2019</t>
  </si>
  <si>
    <t>Rekadwad, Bhagwan/0000-0002-0954-0180; Palaniappan, Sivasankar/0000-0002-1930-7657; Parli, Bhaskar/0000-0002-0654-7520</t>
  </si>
  <si>
    <t>Department of Science and Technology, Science and Engineering Research Board (DST-SERB) [PDF/2016/003905]; Department of Biotechnology (DBT), Government of India [BT/PR5426/AAQ/3/599/2012]; University Grants Commission (Government of India) [PDFSS-20314-ST-MAH-4350]</t>
  </si>
  <si>
    <t>Department of Science and Technology, Science and Engineering Research Board (DST-SERB)(Department of Science &amp; Technology (India)); Department of Biotechnology (DBT), Government of India(Department of Biotechnology (DBT) India); University Grants Commission (Government of India)(University Grants Commission, India)</t>
  </si>
  <si>
    <t>PS and KS are thankful to Department of Science and Technology, Science and Engineering Research Board (DST-SERB) (File No. PDF/2016/003905), and the Department of Biotechnology (DBT), Government of India (File No. BT/PR5426/AAQ/3/599/2012) for financial assistance through the National Postdoctoral Fellowship (N-PDF) Scheme. BR is thankful to University Grants Commission (Government of India) for the financial support in the form of Postdoctoral Fellowship (Grant No. PDFSS-20314-ST-MAH-4350).</t>
  </si>
  <si>
    <t>2352-3409</t>
  </si>
  <si>
    <t>DATA BRIEF</t>
  </si>
  <si>
    <t>Data Brief</t>
  </si>
  <si>
    <t>10.1016/j.dib.2018.02.054</t>
  </si>
  <si>
    <t>GZ8SF</t>
  </si>
  <si>
    <t>WOS:000449763000170</t>
  </si>
  <si>
    <t>Turton, JV; Kirchgaessner, A; Ross, AN; King, JC</t>
  </si>
  <si>
    <t>Turton, Jenny V.; Kirchgaessner, Amelie; Ross, Andrew N.; King, John C.</t>
  </si>
  <si>
    <t>The spatial distribution and temporal variability of fohn winds over the Larsen C ice shelf, Antarctica</t>
  </si>
  <si>
    <t>QUARTERLY JOURNAL OF THE ROYAL METEOROLOGICAL SOCIETY</t>
  </si>
  <si>
    <t>AMPS; Antarctic peninsula; boundary layer; foehn winds</t>
  </si>
  <si>
    <t>MCMURDO DRY VALLEYS; FOEHN WINDS; PENINSULA; CLIMATE; TEMPERATURE; MOUNTAINS; IMPACT; EVENT; MODEL; MELT</t>
  </si>
  <si>
    <t>The eastern side of the Antarctic Peninsula (AP) mountain range and the adjacent ice shelves are frequently affected by fohn winds originating from upwind of the mountains. Six automatic weather stations (AWSs) and archived model output from 5 km resolution Antarctic Mesoscale Prediction System (AMPS) forecasts have been combined to identify the occurrence of fohn conditions, and their spatial distribution over the Larsen C Ice Shelf (LCIS) from 2009 to 2012. Algorithms for semi-automatic detection of fohn conditions have been developed for both AWS and AMPS data. The frequency of fohn varies by location, being most frequent at the foot of the AP and in the north of the ice shelf. They are most common in spring, when they can prevail for 50% of the time. The results of this study have important implications for further research, investigating the impact of fohn on surface melting, and the surface energy budget of the ice shelf. This is of particular interest due to the collapse of Larsen A and B ice shelves in 1995 and 2002 respectively, and the potential instability issues following a large calving event on Larsen C in 2017.</t>
  </si>
  <si>
    <t>[Turton, Jenny V.; Kirchgaessner, Amelie; King, John C.] British Antarctic Survey, Cambridge, England; [Turton, Jenny V.; Ross, Andrew N.] Univ Leeds, Sch Earth &amp; Environm, Leeds, W Yorkshire, England; [Turton, Jenny V.] Friedrich Alexander Univ, Inst Geog, Erlangen, Germany</t>
  </si>
  <si>
    <t>UK Research &amp; Innovation (UKRI); Natural Environment Research Council (NERC); NERC British Antarctic Survey; University of Leeds; University of Erlangen Nuremberg</t>
  </si>
  <si>
    <t>Turton, JV (corresponding author), Friedrich Alexander Univ, Inst Geog, Erlangen, Germany.</t>
  </si>
  <si>
    <t>j.turton1990@hotmail.co.uk</t>
  </si>
  <si>
    <t>Ross, Andrew N/D-9312-2011</t>
  </si>
  <si>
    <t>Ross, Andrew N/0000-0002-8631-3512; Turton, Jenny/0000-0003-0581-8293</t>
  </si>
  <si>
    <t>Natural Environment Research Council (NERC) [NE/G014124/1]; NERC [NE/L501633/1]; Natural Environment Research Council [1384071] Funding Source: researchfish; NERC [NE/G014124/1, bas0100032] Funding Source: UKRI</t>
  </si>
  <si>
    <t>Natural Environment Research Council (NERC)(UK Research &amp; Innovation (UKRI)Natural Environment Research Council (NERC)); NERC(UK Research &amp; Innovation (UKRI)Natural Environment Research Council (NERC)); Natural Environment Research Council(UK Research &amp; Innovation (UKRI)Natural Environment Research Council (NERC)); NERC(UK Research &amp; Innovation (UKRI)Natural Environment Research Council (NERC))</t>
  </si>
  <si>
    <t>The authors would like to acknowledge the Natural Environment Research Council (NERC) grant NE/G014124/1 Orographic Flows and the Climate of the Antarctic Peninsula, and NERC funded studentship NE/L501633/1. We thank NCAR for giving us access to the AMPS forecast archives, IMAU and CIRES for the AWS data and the British Antarctic Survey staff at Rothera Research Station for field support.</t>
  </si>
  <si>
    <t>0035-9009</t>
  </si>
  <si>
    <t>1477-870X</t>
  </si>
  <si>
    <t>Q J ROY METEOR SOC</t>
  </si>
  <si>
    <t>Q. J. R. Meteorol. Soc.</t>
  </si>
  <si>
    <t>B</t>
  </si>
  <si>
    <t>10.1002/qj.3284</t>
  </si>
  <si>
    <t>GU3SQ</t>
  </si>
  <si>
    <t>WOS:000445200400013</t>
  </si>
  <si>
    <t>Yang, YD; Ke, H; Wang, ZM; Li, F; Ding, MH; Sun, B; Jin, B; Wang, LZ; Ai, ST</t>
  </si>
  <si>
    <t>Yang Yuande; Ke Hao; Wang Zemin; Li Fei; Ding Minghu; Sun Bo; Jin Bo; Wang Lianzhong; Ai Songtao</t>
  </si>
  <si>
    <t>Decadal GPS-derived ice surface velocity along the transect from Zhongshan Station to and around Dome Argus, East Antarctica, 2005-16</t>
  </si>
  <si>
    <t>Antarctic glaciology; ice velocity; remote sensing</t>
  </si>
  <si>
    <t>TRAVERSE ROUTE; SHEET; TOPOGRAPHY; FLOW</t>
  </si>
  <si>
    <t>Using repeat GPS measurements during 2005-16, we calculated and updated two-dimensional high-resolution decadal ice surface velocity estimates along the traverse route from Zhongshan Station to and around Dome Argus, East Antarctica. Along the 71 sites of the transect, the magnitudes of ice velocity increased from near 0 in Dome Argus to 1, 10 and similar to 100ma (-1) at the sites DT416, DT333 and LT980, respectively. The comparison between GPS and interferometric synthetic aperture radar (InSAR) derived results agree well when the magnitude of the ice surface velocities is faster than 5 m a (-1), and disagree for slower flow velocities. A scale value 1.15 and 0.12 can be applied to InSAR derived results over this region with ice surface velocity larger and &lt;5 m a (-)-(1), respectively. We attributed the cause of the discrepancy to the insensitivity of InSAR to the magnitude of low ice surface velocities, thus confirming the importance of GPS fieldwork-based ground truth high-resolution ice velocity estimates to constrain ice-sheet dynamics.</t>
  </si>
  <si>
    <t>[Yang Yuande; Ke Hao; Wang Zemin; Li Fei; Ai Songtao] Wuhan Univ, Chinese Antarctic Ctr Surveying &amp; Mapping, 129 Luoyu Rd, Wuhan 430079, Hubei, Peoples R China; [Ding Minghu] Chinese Acad Meteorol Sci, Inst Climate Syst, Beijing 100081, Peoples R China; [Sun Bo] Polar Res Inst China, Shanghai 200136, Peoples R China; [Jin Bo] Chinese Arctic &amp; Antarctic Adm, Beijing 100860, Peoples R China; [Wang Lianzhong] Heilongjiang Bur Surveying &amp; Mapping, Haerbin 150081, Peoples R China</t>
  </si>
  <si>
    <t>Wuhan University; China Meteorological Administration; Chinese Academy of Meteorological Sciences (CAMS); Polar Research Institute of China</t>
  </si>
  <si>
    <t>Ke, H (corresponding author), Wuhan Univ, Chinese Antarctic Ctr Surveying &amp; Mapping, 129 Luoyu Rd, Wuhan 430079, Hubei, Peoples R China.</t>
  </si>
  <si>
    <t>kehao1984@whu.edu.cn</t>
  </si>
  <si>
    <t>sun, bo/JFA-9978-2023; ZeMin, Wang/AAU-3422-2020; Ding, Minghu/AFU-3600-2022; Ai, Songtao/AAA-7338-2019</t>
  </si>
  <si>
    <t>Ding, Minghu/0000-0002-1142-6598;</t>
  </si>
  <si>
    <t>Chinese Arctic and Antarctic Administration, State Oceanic Administration; NSFC [41531069, 41476163, 41476162, 41106163]; MOST [2013CBA01804]; SOA (CHINARE)</t>
  </si>
  <si>
    <t>Chinese Arctic and Antarctic Administration, State Oceanic Administration; NSFC(National Natural Science Foundation of China (NSFC)); MOST; SOA (CHINARE)</t>
  </si>
  <si>
    <t>We thank the Chinese Arctic and Antarctic Administration, State Oceanic Administration, for sponsoring the field surveying and research works. This study is funded by NSFC (41531069, 41476163, 41476162, 41106163), MOST (2013CBA01804) and SOA (CHINARE 2016, 2017). We thank the anonymous reviewers for helpful comments.</t>
  </si>
  <si>
    <t>10.1017/aog.2018.3</t>
  </si>
  <si>
    <t>WOS:000440821000002</t>
  </si>
  <si>
    <t>Schroeder, DM; Hilger, AM; Paden, JD; Young, DA; Corr, HFJ</t>
  </si>
  <si>
    <t>Schroeder, Dustin M.; Hilger, Andrew M.; Paden, John D.; Young, Duncan A.; Corr, Hugh F. J.</t>
  </si>
  <si>
    <t>Ocean access beneath the southwest tributary of Pine Island Glacier, West Antarctica</t>
  </si>
  <si>
    <t>glaciological instruments and methods; ground-penetrating radar; ice/ocean interactions; radio-echo sounding; remote sensing</t>
  </si>
  <si>
    <t>AMUNDSEN SEA EMBAYMENT; THWAITES GLACIER; RADAR ATTENUATION; BASAL CONDITIONS; GROUNDING LINE; SHEAR-MARGIN; ICE; RETREAT; BED; GREENLAND</t>
  </si>
  <si>
    <t>The catchments of Pine Island Glacier and Thwaites Glacier in the Amundsen Sea Embayment are two of the largest, most rapidly changing, and potentially unstable sectors of the West Antarctic Ice Sheet. They are also neighboring outlets, separated by the topographically unconfined eastern shear margin of Thwaites Glacier and the southwest tributary of Pine Island Glacier. This tributary begins just downstream of the eastern shear margin and flows into the Pine Island ice shelf. As a result, it is a potential locus of interaction between the two glaciers and could result in cross-catchment feedback during the retreat of either. Here, we analyze relative basal reflectivity profiles from three radar sounding survey lines collected using the UTIG HiCARS radar system in 2004 and CReSIS MCoRDS radar system in 2012 and 2014 to investigate the extent and character of ocean access beneath the southwest tributary. These profiles provide evidence of ocean access similar to 12 km inland of the 1992-2011 InSAR-derived grounding line by 2014, suggesting either retreat since 2011 or the intrusion of ocean water kilometers inland of the grounding line.</t>
  </si>
  <si>
    <t>[Schroeder, Dustin M.] Stanford Univ, Dept Geophys, Stanford, CA 94305 USA; [Schroeder, Dustin M.; Hilger, Andrew M.] Stanford Univ, Dept Elect Engn, Stanford, CA 94305 USA; [Paden, John D.] Univ Kansas, Ctr Remote Sensing Ice Sheets, Lawrence, KS 66045 USA; [Young, Duncan A.] Univ Texas Austin, Inst Geophys, Austin, TX USA; [Corr, Hugh F. J.] British Antarctic Survey, Nat Environm Res Council, Cambridge, England</t>
  </si>
  <si>
    <t>Stanford University; Stanford University; University of Kansas; University of Texas System; University of Texas Austin; UK Research &amp; Innovation (UKRI); Natural Environment Research Council (NERC); NERC British Antarctic Survey</t>
  </si>
  <si>
    <t>Schroeder, DM (corresponding author), Stanford Univ, Dept Geophys, Stanford, CA 94305 USA.;Schroeder, DM (corresponding author), Stanford Univ, Dept Elect Engn, Stanford, CA 94305 USA.</t>
  </si>
  <si>
    <t>dustin.m.schroeder@stanford.edu</t>
  </si>
  <si>
    <t>Young, Duncan A./G-6256-2010; Corr, Hugh/C-5398-2011</t>
  </si>
  <si>
    <t>Schroeder, Dustin/0000-0003-1916-3929</t>
  </si>
  <si>
    <t>NASA Cryospheric Sciences Program; NERC [bas0100034] Funding Source: UKRI</t>
  </si>
  <si>
    <t>NASA Cryospheric Sciences Program(National Aeronautics &amp; Space Administration (NASA)); NERC(UK Research &amp; Innovation (UKRI)Natural Environment Research Council (NERC))</t>
  </si>
  <si>
    <t>D.M.S. was partially supported by a grant from the NASA Cryospheric Sciences Program. This is UTIG contribution 3200.</t>
  </si>
  <si>
    <t>10.1017/aog.2017.45</t>
  </si>
  <si>
    <t>WOS:000440821000003</t>
  </si>
  <si>
    <t>de Freitas, MWD; Mendes, CW; Arigony-Neto, J; Costi, J; Simoes, JC</t>
  </si>
  <si>
    <t>de Freitas, Marcos W. D.; Mendes Junior, Claudio W.; Arigony-Neto, Jorge; Costi, Juliana; Simoes, Jefferson C.</t>
  </si>
  <si>
    <t>A multiscale subpixel mixture analysis applied for melt detection using passive microwave and radar scatterometer image time series of the Antarctic Peninsula (1999-2009)</t>
  </si>
  <si>
    <t>melt - surface; remote sensing; snow</t>
  </si>
  <si>
    <t>GREENLAND ICE-SHEET; GLACIER ZONES; SAR DATA; ISLAND; SNOWMELT; MODELS; TRENDS</t>
  </si>
  <si>
    <t>This paper reports a comparative analysis performed on a fraction-image time series of the Antarctic Peninsula from the period 1999-2009 generated by multiresolution remote-sensing images (SSM/I SSMI/S with 25 km and QuikSCAT with 2.225 km spatial resolutions) for snow-melt detection. Our method is based on the (a) preprocessing of multitemporal remote-sensing data, (b) subpixel mixture analysis of SSMI and QuikSCAT image time series, and (c) evaluation of subpixel analysis, including an assessment of fraction images of wet snow using an independent ASAR dataset and sensitivity analysis on the melt metrics measured by these images. The temporal dynamics of the melt indices derived from the wet-snow fraction images presented a more realistic pattern than the traditional melt metrics measured by Boolean snow-melt detection approaches. Because the snow melt actually occurs at the pixel fractions, the multiscale analysis that was performed suggests an overestimation of the melt metrics calculated using Boolean approaches (which assume that the entire area of the detected pixel shows snow melt). The melt metrics measurements show an overestimation according to the decrease in spatial resolution related to the multiplicative effect of a larger pixel area.</t>
  </si>
  <si>
    <t>[de Freitas, Marcos W. D.; Mendes Junior, Claudio W.; Simoes, Jefferson C.] Fed Univ Rio Grande do Sul UFRGS, Ctr Polar Climat, Inst Geosci, Porto Alegre, RS, Brazil; [de Freitas, Marcos W. D.; Mendes Junior, Claudio W.; Arigony-Neto, Jorge; Costi, Juliana; Simoes, Jefferson C.] Sci &amp; Technol Natl Inst Cryosphere INCT Criosfera, Porto Alegre, RS, Brazil; [Arigony-Neto, Jorge; Costi, Juliana] Fed Univ Rio Grande, Inst Math Stat &amp; Phys, Rio Grande, Brazil</t>
  </si>
  <si>
    <t>Universidade Federal do Rio Grande do Sul; Universidade Federal do Rio Grande</t>
  </si>
  <si>
    <t>de Freitas, MWD (corresponding author), Fed Univ Rio Grande do Sul UFRGS, Ctr Polar Climat, Inst Geosci, Porto Alegre, RS, Brazil.;de Freitas, MWD (corresponding author), Sci &amp; Technol Natl Inst Cryosphere INCT Criosfera, Porto Alegre, RS, Brazil.</t>
  </si>
  <si>
    <t>mfreitas@ufrgs.br</t>
  </si>
  <si>
    <t>Mendes, Claudio wilson/AAR-3664-2021; Freitas, Marcos/L-3783-2019; Simoes, Jefferson Cardia/D-7232-2013; Freitas, Marcos Aurélio/GYQ-9960-2022; Costi, Juliana/AHI-7948-2022; Mendes junior, Claudio wilson/ABB-9811-2021; Freitas, Marcos W. D./C-3861-2017</t>
  </si>
  <si>
    <t>Mendes, Claudio wilson/0000-0003-1745-348X; Simoes, Jefferson Cardia/0000-0001-5555-3401; Costi, Juliana/0000-0001-6220-2343; Arigony-Neto, Jorge/0000-0003-4848-2064</t>
  </si>
  <si>
    <t>PNPD Program from the Brazilian Federal Agency for Support and Evaluation of Graduate Education within the Ministry of Education of Brazil (CAPES) [2764/2010]; Brazilian National Council for Scientific and Technological Development (CNPq); Project Brazilian National Institute for Cryospheric Sciences [465680/2014-3]; CNPq</t>
  </si>
  <si>
    <t>PNPD Program from the Brazilian Federal Agency for Support and Evaluation of Graduate Education within the Ministry of Education of Brazil (CAPES); Brazilian National Council for Scientific and Technological Development (CNPq)(Conselho Nacional de Desenvolvimento Cientifico e Tecnologico (CNPQ)); Project Brazilian National Institute for Cryospheric Sciences; CNPq(Conselho Nacional de Desenvolvimento Cientifico e Tecnologico (CNPQ))</t>
  </si>
  <si>
    <t>The authors are grateful for Postdoctoral Fellowship by the PNPD Program (Project No. 2764/2010) from the Brazilian Federal Agency for Support and Evaluation of Graduate Education within the Ministry of Education of Brazil (CAPES) and for financial support from the Brazilian National Council for Scientific and Technological Development (CNPq) and the Project Brazilian National Institute for Cryospheric Sciences (Process No. 465680/2014-3). J. Arigony-Neto and J.C. Simes acknowledge CNPq research grants.</t>
  </si>
  <si>
    <t>10.1017/aog.2017.44</t>
  </si>
  <si>
    <t>WOS:000440821000004</t>
  </si>
  <si>
    <t>Siegfried, MR; Fricker, HA</t>
  </si>
  <si>
    <t>Siegfried, Matthew R.; Fricker, Helen A.</t>
  </si>
  <si>
    <t>Thirteen years of subglacial lake activity in Antarctica from multi-mission satellite altimetry</t>
  </si>
  <si>
    <t>laser altimetry; remote sensing; subglacial lakes; subglacial processes</t>
  </si>
  <si>
    <t>MACAYEAL ICE STREAM; WEST ANTARCTICA; WATER-PIRACY; EAST ANTARCTICA; FLOW; BENEATH; GLACIER; CATCHMENT; INVENTORY; WHILLANS</t>
  </si>
  <si>
    <t>The ability to detect the surface expression of moving water beneath the Antarctic ice sheet by satellite has revealed a dynamic basal environment, with implications for regional ice dynamics, grounding-line stability, and fluxes of freshwater and nutrients to the Southern Ocean. Knowledge of subglacial activity on timescales important for near-term prediction of ice-sheet fluctuations (decadal to century) is limited by the short observational record of NASA's Ice, Cloud, and land Elevation Satellite (ICESat) laser altimetry mission used to generate the last continent-wide survey (2003-08). Here, we use synthetic aperture radar-interferometric-mode data from ESA's CryoSat-2 radar altimetry mission (2010-present), which samples 45 of the ICESat-derived subglacial lakes, to extend their time series to the end of 2016. The extended time series show that there have been surface-height changes at 20 of the 45 lakes since 2008, indicating that some of these features are persistent and potentially cyclic, while other features show negligible changes, suggesting these may be transient or nonhydrological features. Continued monitoring of active lakes for both height and velocity changes, as well as developing methods for identifying additional lakes, is critical to quantifying the full distribution of active subglacial lakes in Antarctica.</t>
  </si>
  <si>
    <t>[Siegfried, Matthew R.] Stanford Univ, Dept Geophys, Stanford, CA 94305 USA; [Fricker, Helen A.] Univ Calif San Diego, Scripps Inst Oceanog, Inst Geophys &amp; Planetary Phys, La Jolla, CA 92093 USA</t>
  </si>
  <si>
    <t>Stanford University; University of California System; University of California San Diego; Scripps Institution of Oceanography</t>
  </si>
  <si>
    <t>Siegfried, MR (corresponding author), Stanford Univ, Dept Geophys, Stanford, CA 94305 USA.</t>
  </si>
  <si>
    <t>siegfried@stanford.edu</t>
  </si>
  <si>
    <t>Fricker, Helen Amanda/0000-0002-0921-1432</t>
  </si>
  <si>
    <t>NASA [NNX11AQ78H, NNX17AI03G]; NSF [0838885, 1543441]; George Thompson Postdoctoral Fellowship; Office of Polar Programs (OPP); Directorate For Geosciences [1543441] Funding Source: National Science Foundation; NASA [138817, NNX11AQ78H] Funding Source: Federal RePORTER</t>
  </si>
  <si>
    <t>NASA(National Aeronautics &amp; Space Administration (NASA)); NSF(National Science Foundation (NSF)); George Thompson Postdoctoral Fellowship; Office of Polar Programs (OPP); Directorate For Geosciences(National Science Foundation (NSF)NSF - Directorate for Geosciences (GEO)); NASA(National Aeronautics &amp; Space Administration (NASA))</t>
  </si>
  <si>
    <t>We thank the National Snow and Ice Data Center, NASA, and the European Space Agency for data access; NASA (grants NNX11AQ78H and NNX17AI03G), NSF (grants 0838885 and 1543441), and the George Thompson Postdoctoral Fellowship for funding; Ben Smith, Choon Ki Lee, and Malcolm McMillan for new subglacial lake outlines; Brent Minchew and two anonymous reviewers for comments that improved the manuscript; and Sasha P. Carter for years of fruitful discussion about dynamic subglacial hydrology. Our inventory of subglacial lake outlines and corresponding height-change time series will be available at NSIDC.</t>
  </si>
  <si>
    <t>10.1017/aog.2017.36</t>
  </si>
  <si>
    <t>WOS:000440821000006</t>
  </si>
  <si>
    <t>Macdonald, GJ; Banwell, AF; MacAyeal, DR</t>
  </si>
  <si>
    <t>Macdonald, Grant J.; Banwell, Alison F.; MacAyeal, Douglas R.</t>
  </si>
  <si>
    <t>Seasonal evolution of supraglacial lakes on a floating ice tongue, Petermann Glacier, Greenland</t>
  </si>
  <si>
    <t>Arctic glaciology; glacier hydrology; ice-shelf break-up; ice shelves</t>
  </si>
  <si>
    <t>WEST GREENLAND; NORTH GREENLAND; LINE MIGRATION; SHELF; MELTWATER; DRAINAGE; FRACTURE; CLIMATE; SHEET; DISINTEGRATION</t>
  </si>
  <si>
    <t>Supraglacial lakes are known to trigger Antarctic ice-shelf instability and break-up. However, to date, no study has focused on lakes on Greenland's floating termini. Here, we apply lake boundary/area and depth algorithms to Landsat 8 imagery to analyse the inter- and intraseasonal evolution of supraglacial lakes across Petermann Glacier's (81 degrees N) floating tongue from 2014 to 2016, while also comparing these lakes to those on the grounded ice. Lakes start to fill in June and quickly peak in total number, volume and area in late June/early July in response to increases in air temperatures. However, through July and August, total lake number, volume and area all decline, despite sustained high temperatures. These observations may be explained by the transportation of meltwater into the ocean by a river, and by lake drainage events on the floating tongue. Further, as mean lake depth remains relatively constant during this time, we suggest that a large proportion of the lakes that drain, do so completely, likely by rapid hydrofracture. The mean areas of lakes on the tongue are only similar to 20% of those on the grounded ice and exhibit lower variability in maximum and mean depth, differences likely attributable to the contrasting formation processes of lakes in each environment.</t>
  </si>
  <si>
    <t>[Macdonald, Grant J.; MacAyeal, Douglas R.] Univ Chicago, Dept Geophys Sci, Chicago, IL 60637 USA; [Banwell, Alison F.] Univ Cambridge, Scott Polar Res Inst, Lensfield Rd, Cambridge CB2 1ER, England</t>
  </si>
  <si>
    <t>University of Chicago; University of Cambridge</t>
  </si>
  <si>
    <t>Macdonald, GJ (corresponding author), Univ Chicago, Dept Geophys Sci, Chicago, IL 60637 USA.</t>
  </si>
  <si>
    <t>gjmacdonald@uchicago.edu</t>
  </si>
  <si>
    <t>Banwell, Alison/W-8180-2018</t>
  </si>
  <si>
    <t>Banwell, Alison/0000-0001-9545-829X; Macdonald, Grant/0000-0002-9295-085X</t>
  </si>
  <si>
    <t>NASA Earth and Space Science Fellowship [NNX15AN44H]; Leverhulme/Newton Trust Early Career Fellowship; U.S. National Science Foundation [PLR-1443126]; NASA [NNX15AN44H, 800309] Funding Source: Federal RePORTER</t>
  </si>
  <si>
    <t>NASA Earth and Space Science Fellowship; Leverhulme/Newton Trust Early Career Fellowship; U.S. National Science Foundation(National Science Foundation (NSF)); NASA(National Aeronautics &amp; Space Administration (NASA))</t>
  </si>
  <si>
    <t>GJM acknowledges support from a NASA Earth and Space Science Fellowship (NNX15AN44H), and AFB acknowledges support from a Leverhulme/Newton Trust Early Career Fellowship. This work was also supported by U.S. National Science Foundation grant PLR-1443126. Peter Langen is thanked for supplying DMI temperature and runoff data. Neil Arnold and Andrew Williamson are thanked for their early support with implementing the lake area and depth algorithms. We are also very grateful to the Editor, Dirk van As and two reviewers (Amber Leeson and anonymous) whose helpful comments enabled us to considerably improve the paper.</t>
  </si>
  <si>
    <t>10.1017/aog.2018.9</t>
  </si>
  <si>
    <t>WOS:000440821000007</t>
  </si>
  <si>
    <t>Lane, SJ; Moran, AL; Shishido, CM; Tobalske, BW; Woods, HA</t>
  </si>
  <si>
    <t>Lane, Steven J.; Moran, Amy L.; Shishido, Caitlin M.; Tobalske, Bret W.; Woods, H. Arthur</t>
  </si>
  <si>
    <t>Cuticular gas exchange by Antarctic sea spiders</t>
  </si>
  <si>
    <t>Arthropod; Cuticle; Metabolism; Oxygen; Polar gigantism; Pycnogonids</t>
  </si>
  <si>
    <t>DIFFUSION; PYCNOGONIDA; GILLS; RESISTANCE; OXYGEN; SIZE; EGGS; MASS</t>
  </si>
  <si>
    <t>Many marine organisms and life stages lack specialized respiratory structures, like gills, and rely instead on cutaneous respiration, which they facilitate by having thin integuments. This respiratory mode may limit body size, especially if the integument also functions in support or locomotion. Pycnogonids, or sea spiders, are marine arthropods that lack gills and rely on cutaneous respiration but still grow to large sizes. Their cuticle contains pores, which may play a role in gas exchange. Here, we examined alternative paths of gas exchange in sea spiders: (1) oxygen diffuses across pores in the cuticle, a common mechanism in terrestrial eggshells, (2) oxygen diffuses directly across the cuticle, a common mechanism in small aquatic insects, or (3) oxygen diffuses across both pores and cuticle. We examined these possibilities by modeling diffusive oxygen fluxes across all pores in the body of sea spiders and asking whether those fluxes differed from measured metabolic rates. We estimated fluxes across pores using Fick's law parameterized with measurements of pore morphology and oxygen gradients. Modeled oxygen fluxes through pores closely matched oxygen consumption across a range of body sizes, which means the pores facilitate oxygen diffusion. Furthermore, pore volume scaled hypermetrically with body size, which helps larger species facilitate greater diffusive oxygen fluxes across their cuticle. This likely presents a functional trade-off between gas exchange and structural support, in which the cuticle must be thick enough to prevent buckling due to external forces but porous enough to allow sufficient gas exchange.</t>
  </si>
  <si>
    <t>[Lane, Steven J.; Tobalske, Bret W.; Woods, H. Arthur] Univ Montana, Div Biol Sci, Missoula, MT 59812 USA; [Moran, Amy L.; Shishido, Caitlin M.] Univ Hawaii Manoa, Dept Biol, Honolulu, HI 96822 USA</t>
  </si>
  <si>
    <t>University of Montana System; University of Montana; University of Hawaii System; University of Hawaii Manoa</t>
  </si>
  <si>
    <t>Lane, SJ (corresponding author), Univ Montana, Div Biol Sci, Missoula, MT 59812 USA.</t>
  </si>
  <si>
    <t>steven.lane@umontana.edu</t>
  </si>
  <si>
    <t>Moran, Amy L/F-7072-2011</t>
  </si>
  <si>
    <t>Moran, Amy/0000-0002-0604-5096</t>
  </si>
  <si>
    <t>US National Science Foundation Division of Polar Programs [PLR-1341485, PLR-1341476]; Directorate For Geosciences [1341476] Funding Source: National Science Foundation; Directorate For Geosciences; Office of Polar Programs (OPP) [1341485] Funding Source: National Science Foundation; Office of Polar Programs (OPP) [1341476] Funding Source: National Science Foundation</t>
  </si>
  <si>
    <t>US National Science Foundation Division of Polar Programs(National Science Foundation (NSF)); Directorate For Geosciences(National Science Foundation (NSF)NSF - Directorate for Geosciences (GEO)); Directorate For Geosciences; Office of Polar Programs (OPP)(National Science Foundation (NSF)NSF - Directorate for Geosciences (GEO)); Office of Polar Programs (OPP)(National Science Foundation (NSF)NSF - Directorate for Geosciences (GEO))</t>
  </si>
  <si>
    <t>This work was funded by the US National Science Foundation Division of Polar Programs (PLR-1341485 to H.A.W. and B.W.T., PLR-1341476 to A.L.M.).</t>
  </si>
  <si>
    <t>jeb177568</t>
  </si>
  <si>
    <t>10.1242/jeb.177568</t>
  </si>
  <si>
    <t>GN3MN</t>
  </si>
  <si>
    <t>WOS:000438909900020</t>
  </si>
  <si>
    <t>Ismailov, II; Scharping, JB; Andreeva, IE; Friedlander, MJ</t>
  </si>
  <si>
    <t>Ismailov, Iskander I.; Scharping, Jordan B.; Andreeva, Iraida E.; Friedlander, Michael J.</t>
  </si>
  <si>
    <t>Behavioral Thermoregulation of Antarctic Teleosts With and Without Hemoglobin in Response to Acute Thermal Challenge</t>
  </si>
  <si>
    <t>FASEB JOURNAL</t>
  </si>
  <si>
    <t>Experimental Biology Meeting</t>
  </si>
  <si>
    <t>APR 21-25, 2018</t>
  </si>
  <si>
    <t>San Diego, CA</t>
  </si>
  <si>
    <t>friedlander, michael j/F-5952-2011</t>
  </si>
  <si>
    <t>NSF [ANT-1341602]</t>
  </si>
  <si>
    <t>Supported by NSF ANT-1341602.</t>
  </si>
  <si>
    <t>FEDERATION AMER SOC EXP BIOL</t>
  </si>
  <si>
    <t>BETHESDA</t>
  </si>
  <si>
    <t>9650 ROCKVILLE PIKE, BETHESDA, MD 20814-3998 USA</t>
  </si>
  <si>
    <t>0892-6638</t>
  </si>
  <si>
    <t>1530-6860</t>
  </si>
  <si>
    <t>FASEB J</t>
  </si>
  <si>
    <t>Faseb J.</t>
  </si>
  <si>
    <t>S</t>
  </si>
  <si>
    <t>Biochemistry &amp; Molecular Biology; Biology; Cell Biology</t>
  </si>
  <si>
    <t>Biochemistry &amp; Molecular Biology; Life Sciences &amp; Biomedicine - Other Topics; Cell Biology</t>
  </si>
  <si>
    <t>GL2WL</t>
  </si>
  <si>
    <t>WOS:000436986706054</t>
  </si>
  <si>
    <t>Mohammadi, S; Mahadi, NM; Murad, AMA</t>
  </si>
  <si>
    <t>Mohammadi, Salimeh; Mahadi, Nor Muhammad; Murad, Abdul Munir Abdul</t>
  </si>
  <si>
    <t>Cold active β-1,3-glucanase from Antarctic Yeast, Glaciozyma antarctica PI12</t>
  </si>
  <si>
    <t>Annual Meeting of Amer-Assoc-of-Anatomists (AAA), Amer-Physiol-Soc (APS), Amer-Soc-for-Biochemistry-and-Mol-Biol (ASBMB), Amer-Soc-for-Investigat-Pathol (ASIP), Amer-Soc-for-Pharmacol-and-Experimental-Therapeut (ASPET) on Experimental Biology (EB)</t>
  </si>
  <si>
    <t>Amer Assoc Anatomists, San Diego, CA</t>
  </si>
  <si>
    <t>Amer Assoc Anatomists</t>
  </si>
  <si>
    <t>Murad, Abdul/CAG-9324-2022; Abdul Murad, Abdul Munir/L-8575-2017</t>
  </si>
  <si>
    <t>Abdul Murad, Abdul Munir/0000-0001-6402-7198</t>
  </si>
  <si>
    <t>Ministry of Science Technology and Innovation (MOSTI), Malaysia [10-05-16-MB002, 02-05-20-SF0007]</t>
  </si>
  <si>
    <t>Ministry of Science Technology and Innovation (MOSTI), Malaysia(Ministry of Energy, Science, Technology, Environment and Climate Change (MESTECC), Malaysia)</t>
  </si>
  <si>
    <t>This research was supported by a research grant from the Ministry of Science Technology and Innovation (MOSTI), Malaysia under the research grants 10-05-16-MB002 and 02-05-20-SF0007.</t>
  </si>
  <si>
    <t>GL2VX</t>
  </si>
  <si>
    <t>WOS:000436985004384</t>
  </si>
  <si>
    <t>Liu, L; Yao, YB; Kong, J; Shan, LL</t>
  </si>
  <si>
    <t>Liu, Lei; Yao, Yibin; Kong, Jian; Shan, Lulu</t>
  </si>
  <si>
    <t>Plasmaspheric Electron Content Inferred from Residuals between GNSS-Derived and TOPEX/JASON Vertical TEC Data</t>
  </si>
  <si>
    <t>plasmaspheric electron content; GNSS-derived vertical TEC (vTEC); TOPEX/JASON vTEC; systematic bias; plasmasphere component characteristics</t>
  </si>
  <si>
    <t>SEA-STATE BIAS; GPS TEC; LEO SATELLITES; IONOSPHERE; TOPEX/POSEIDON; TOPEX; MAPS; CLIMATOLOGY; JASON-1; MODEL</t>
  </si>
  <si>
    <t>The plasmasphere, which is located above the ionosphere, is a significant component of Earth's atmosphere, and the plasmasphere electron content (PEC) distribution is determined by different physical mechanisms to those of the ionosphere electron content (IEC). However, the observation for the PEC is very limited. In this study, we introduced a methodology (called zero assumption method, which is based on the assumption that PEC can reach zero) to extract the PEC over TOPEX/JASON (T/J) and global navigation satellite system (GNSS) overlapping areas. Results show that the daily systematic bias (T/J vertical TEC &gt; GNSS-derived vertical TEC) for both low (2009) and high (2011) solar activity condition is consistent, and the systematic bias for JASON2 and JASON1 is different. We suggest that systematic biases predominantly arise from the sea state bias (SSB), especially the tracker bias. After removing the systematic bias, we extracted reliable PEC inferred from differences between GNSS-derived vertical TEC and T/J vertical TEC data. Finally, the characteristics of the plasmaspheric component distribution for different local times, latitudes, and seasons were investigated.</t>
  </si>
  <si>
    <t>[Liu, Lei; Yao, Yibin; Shan, Lulu] Wuhan Univ, Sch Geodesy &amp; Geomat, Wuhan 430079, Hubei, Peoples R China; [Kong, Jian] Wuhan Univ, Chinese Antarctic Ctr Surveying &amp; Mapping, Wuhan 430079, Hubei, Peoples R China</t>
  </si>
  <si>
    <t>Wuhan University; Wuhan University</t>
  </si>
  <si>
    <t>Yao, YB (corresponding author), Wuhan Univ, Sch Geodesy &amp; Geomat, Wuhan 430079, Hubei, Peoples R China.;Kong, J (corresponding author), Wuhan Univ, Chinese Antarctic Ctr Surveying &amp; Mapping, Wuhan 430079, Hubei, Peoples R China.</t>
  </si>
  <si>
    <t>leiliu@whu.edu.cn; ybyao@whu.edu.cn; jkong@whu.edu.cn; llshan@whu.edu.cn</t>
  </si>
  <si>
    <t>Yao, Yibin/AAM-9653-2020; lei, liu/HTR-5486-2023; Lei, Liu/I-3503-2018</t>
  </si>
  <si>
    <t>Yao, Yibin/0000-0002-7723-4601; Lei, Liu/0000-0002-1040-6026; Shan, Lulu/0000-0002-8772-4233</t>
  </si>
  <si>
    <t>National Key Research and Development Program of China [2016YFB0501803]; National Natural Science Foundation of China [41574028]; Natural Science Foundation for Distinguished Young Scholars of Hubei Province of China [2015CFA036]; National Science Foundation for Young Scientists of China [41604002]; Li Jiancheng academician workstation [20151C015]</t>
  </si>
  <si>
    <t>National Key Research and Development Program of China; National Natural Science Foundation of China(National Natural Science Foundation of China (NSFC)); Natural Science Foundation for Distinguished Young Scholars of Hubei Province of China; National Science Foundation for Young Scientists of China; Li Jiancheng academician workstation</t>
  </si>
  <si>
    <t>This work was supported by the National Key Research and Development Program of China (No. 2016YFB0501803), the National Natural Science Foundation of China (No. 41574028), the Natural Science Foundation for Distinguished Young Scholars of Hubei Province of China (No. 2015CFA036), the National Science Foundation for Young Scientists of China (41604002), and Li Jiancheng academician workstation (20151C015). The TOPEX/Jason TEC data were obtained from NASA (ftp://podaacftp.jpl.nasa.gov/), and the GIMs were obtained from CDDIS (ftp://cddis.nasa.gov/pub/gps/products/ionex).</t>
  </si>
  <si>
    <t>10.3390/rs10040621</t>
  </si>
  <si>
    <t>GJ3IU</t>
  </si>
  <si>
    <t>WOS:000435187500133</t>
  </si>
  <si>
    <t>Yang, QM; Yang, YD; Wang, ZM; Zhang, BJ; Jiang, H</t>
  </si>
  <si>
    <t>Yang, Quanming; Yang, Yuande; Wang, Zemin; Zhang, Baojun; Jiang, Hu</t>
  </si>
  <si>
    <t>Elevation Change Derived from SARAL/ALtiKa Altimetric Mission: Quality Assessment and Performance of the Ka-Band</t>
  </si>
  <si>
    <t>waveform retracking; ICEBridge; SARAL; elevation change; Greenland; slope</t>
  </si>
  <si>
    <t>GREENLAND ICE-SHEET; GLACIAL ISOSTATIC-ADJUSTMENT; SEA-LEVEL RISE; RADAR ALTIMETRY; MASS-BALANCE; CRYOSAT-2; LAND; ENVISAT; ALTIKA; VOLUME</t>
  </si>
  <si>
    <t>The waveform retracking algorithm is a key factor that affects the accuracy of elevation change from satellite altimetry over an ice sheet. The elevation change results from four waveform retracker algorithms (ICE1 /ICE2/Sea Ice/OCEAN) provided by the Satellite with ARgos and ALtiKa (SARAL/ALtiKa) data were compared using repeated SARAL data between March 2013 and April 2016 to determine the optimal retracker in the crossovers of descending and ascending orbits over a Greenland ice sheet (GrIS). The ICE1 provided slightly better results than the three other algorithms with the lowest standard deviation (SD) of 0.30 m year(-1). Further comparison was also conducted between the Satellite with ARgos and ALtiKa (SARAL) and Operation ICEBridge laser data, thereby indicating that ICE1 was the best retracker with an Root Mean Square Error (RMSE) of 0.43 m year(-1). The distribution of elevation change rate and uncertainties over Greenland from SARAL were presented using the selected ICE1 retracker with a volume loss of 40 :- 12 km(3) year(-1). This volume loss did not include the fast-changing coastal areas of the GrIS. A large thinning was observed in Jakobshavn Isbrx, and a trend that extended far inland was also found from 2013-2016. Furthermore, a melting ice sheet was observed in the large areas northwest over the GrIS.</t>
  </si>
  <si>
    <t>[Yang, Quanming; Yang, Yuande; Wang, Zemin; Zhang, Baojun; Jiang, Hu] Wuhan Univ, Chinese Antarctic Ctr Surveying &amp; Mapping, 129 Luoyu Rd, Wuhan 430079, Hubei, Peoples R China</t>
  </si>
  <si>
    <t>Wuhan University</t>
  </si>
  <si>
    <t>Wang, ZM (corresponding author), Wuhan Univ, Chinese Antarctic Ctr Surveying &amp; Mapping, 129 Luoyu Rd, Wuhan 430079, Hubei, Peoples R China.</t>
  </si>
  <si>
    <t>yangquanming@whu.edu.cn; yuandeyang@whu.edu.cn; zmwang@whu.edu.cn; bjzhang@whu.edu.cn; jianghu@whu.edu.cn</t>
  </si>
  <si>
    <t>ZeMin, Wang/AAU-3422-2020</t>
  </si>
  <si>
    <t>Zhang, Baojun/0000-0001-5438-8723</t>
  </si>
  <si>
    <t>National Natural Science Foundation of China [41531069, 41776195]</t>
  </si>
  <si>
    <t>This work was supported by the National Natural Science Foundation of China (Project Nos. 41531069, 41776195).</t>
  </si>
  <si>
    <t>10.3390/rs10040539</t>
  </si>
  <si>
    <t>WOS:000435187500051</t>
  </si>
  <si>
    <t>Budéus, GT</t>
  </si>
  <si>
    <t>Budeus, G. Th</t>
  </si>
  <si>
    <t>Potential bias in TEOS10 density of sea water samples</t>
  </si>
  <si>
    <t>DEEP-SEA RESEARCH PART I-OCEANOGRAPHIC RESEARCH PAPERS</t>
  </si>
  <si>
    <t>ONE-ATMOSPHERE; OCEAN WATERS; SALINITY; SEAWATER; EQUATION; LEVEL</t>
  </si>
  <si>
    <t>Direct density measurements of ocean water samples are compared to TEOS10 derived densities. The water sample set includes waters from remote areas as Antarctic waters and the central Arctic, but also waters of regions that resemble closely the reference composition of TEOS10. With few exceptions, the measured densities are smaller than those derived according to TEOS10. The result suggests a potential systematic overestimation of density by TEOS10. For the majority of waters the deviations are about 10 g/m(3).</t>
  </si>
  <si>
    <t>[Budeus, G. Th] Alfred Wegener Inst, Helmholtz Zentrum Polar &amp; Meeresforsch, Handelshafen 12, Bremerhaven, Germany</t>
  </si>
  <si>
    <t>Helmholtz Association; Alfred Wegener Institute, Helmholtz Centre for Polar &amp; Marine Research</t>
  </si>
  <si>
    <t>Budéus, GT (corresponding author), Alfred Wegener Inst, Helmholtz Zentrum Polar &amp; Meeresforsch, Handelshafen 12, Bremerhaven, Germany.</t>
  </si>
  <si>
    <t>gereon.budeus@awi.de</t>
  </si>
  <si>
    <t>0967-0637</t>
  </si>
  <si>
    <t>1879-0119</t>
  </si>
  <si>
    <t>DEEP-SEA RES PT I</t>
  </si>
  <si>
    <t>Deep-Sea Res. Part I-Oceanogr. Res. Pap.</t>
  </si>
  <si>
    <t>10.1016/j.dsr.2018.02.005</t>
  </si>
  <si>
    <t>GM1HV</t>
  </si>
  <si>
    <t>WOS:000437817600005</t>
  </si>
  <si>
    <t>Dunlop, KM; Jarvis, T; Benoit-Bird, KJ; Waluk, CM; Caress, DW; Thomas, H; Smith, KL</t>
  </si>
  <si>
    <t>Dunlop, Katherine M.; Jarvis, Toby; Benoit-Bird, Kelly J.; Waluk, Chad M.; Caress, David W.; Thomas, Hans; Smith, Kenneth L., Jr.</t>
  </si>
  <si>
    <t>Detection and characterisation of deep-sea benthopelagic animals from an autonomous underwater vehicle with a multibeam echosounder: A proof of concept and description of data-processing methods</t>
  </si>
  <si>
    <t>Deep sea; Benthopelagic animals; Autonomous underwater vehicle (AUV); Multibeam echosounder (MBES); Echosounder data processing; Avoidance behaviour</t>
  </si>
  <si>
    <t>BENTHIC BOUNDARY-LAYER; IN-SITU; ANTARCTIC KRILL; FISHERIES ACOUSTICS; SOUND-SCATTERING; FISH BEHAVIOR; WATER; ZOOPLANKTON; TRENDS; BEAM</t>
  </si>
  <si>
    <t>Benthopelagic animals are an important component of the deep-sea ecosystem, yet are notoriously difficult to study. Multibeam echosounders (MBES) deployed on autonomous underwater vehicles represent a promising technology for monitoring this elusive fauna at relatively high spatial and temporal resolution. However, application of this remote-sensing technology to the study of small (relative to the sampling resolution), dispered and mobile animals at depth does not come without significant challenges with respect to data collection, data processing and vessel avoidance. As a proof of concept, we used data from a downward-looking RESON SeaBat 7125 MBES mounted on a Dorado-class AUV to detect and characterise the location and movement of backscattering targets (which were likely to have been individual fish or squid) within 50 m of the seafloor at -800 m similar to depth in Monterey Bay, California. The targets were detected and tracked, enabling their numerical density and movement to be characterised. The results revealed aconsistent movement of targets downwards away from the AUV that we interpreted as an avoidance response. The large volume and complexity of the data presented a computational challenge, while reverberation and noise, spatial confounding and a marginal sampling resolution relative to the size of the targets caused difficulties for reliable and comprehensive target detection and tracking. Nevertheless, the results demonstrate that an AUV-mounted MBES has the potential to proide unique and detailed information on the in situ abundance, distribution, size and behaviour of both individual and aggregated deep-sea benthopelagic animals. We provide detailed data-processing information for thse interested in working with MBES water-column data, and a critical appraisal of the data in the context of aquatic ecosystem research. We consider future directions for deep-sea water-column echosounding, and renforce the importance of measures to mitigate vessel avoidance in studies of aquatic ecosystems.</t>
  </si>
  <si>
    <t>[Dunlop, Katherine M.; Benoit-Bird, Kelly J.; Waluk, Chad M.; Caress, David W.; Thomas, Hans; Smith, Kenneth L., Jr.] Monterey Bay Aquarium Res Inst, 7700 Sandholdt Rd, Moss Landing, CA 93940 USA; [Jarvis, Toby] Echoview Software Pty Ltd, GPO Box 1387, Hobart, Tas 7001, Australia; [Dunlop, Katherine M.] Akvaplan Niva, Fram Ctr, Hjalmar Johansens Gate 14, N-9007 Tromso, Norway</t>
  </si>
  <si>
    <t>Monterey Bay Aquarium Research Institute; Akvaplan-niva</t>
  </si>
  <si>
    <t>Jarvis, T (corresponding author), Echoview Software Pty Ltd, GPO Box 1387, Hobart, Tas 7001, Australia.</t>
  </si>
  <si>
    <t>toby.jarvis@echoview.com</t>
  </si>
  <si>
    <t>Caress, David W./Q-7173-2019; Jarvis, Toby/JCP-5041-2023</t>
  </si>
  <si>
    <t>Caress, David W./0000-0002-6596-9133; Jarvis, Toby/0000-0002-3363-614X; Dunlop, Katherine/0000-0002-2397-1841; Benoit-Bird, Kelly J./0000-0002-5868-0390</t>
  </si>
  <si>
    <t>10.1016/j.dsr.2018.01.006</t>
  </si>
  <si>
    <t>WOS:000437817600008</t>
  </si>
  <si>
    <t>Chen, FJ; Lin, Y; Cai, MG; Zhang, JJ; Zhang, YB; Kuang, WM; Liu, L; Huang, P; Ke, HW</t>
  </si>
  <si>
    <t>Chen, Fajin; Lin, Yan; Cai, Minggang; Zhang, Jingjing; Zhang, Yuanbiao; Kuang, Weiming; Liu, Lin; Huang, Peng; Ke, Hongwei</t>
  </si>
  <si>
    <t>Occurrence and Risk Assessment of PAHs in Surface Sediments from Western Arctic and Subarctic Oceans</t>
  </si>
  <si>
    <t>INTERNATIONAL JOURNAL OF ENVIRONMENTAL RESEARCH AND PUBLIC HEALTH</t>
  </si>
  <si>
    <t>polycyclic aromatic hydrocarbons (PAHs); sediments; Bering Sea; Chukchi Sea; Canadian Basin; source apportionment; ecological and health risk assessment</t>
  </si>
  <si>
    <t>POLYCYCLIC AROMATIC-HYDROCARBONS; PERSISTENT ORGANIC POLLUTANTS; AIR-SEA EXCHANGE; SOUTH CHINA SEA; NORTH PACIFIC; BEAUFORT SEA; ORGANOCHLORINE PESTICIDES; SOURCE APPORTIONMENT; SPATIAL-DISTRIBUTION; MARINE-ENVIRONMENT</t>
  </si>
  <si>
    <t>In the fourth Chinese National Arctic Research Expedition (from July to September, 2010), 14 surface sediment samples were collected from the Bering Sea, Chukchi Sea, and Canadian Basin to examine the spatial distributions, potential sources, as well as ecological and health risk assessment of polycyclic aromatic hydrocarbons (PAHs). The Sigma PAH (refers to the sum of 16 priority PAHs) concentration range from 27.66 ng/g to 167.48 ng/g (dry weight, d.w.). Additionally, the concentrations of Sigma PAH were highest in the margin edges of the Canadian Basin, which may originate from coal combustion with an accumulation of Canadian point sources and river runoff due to the surface ocean currents. The lowest levels occurred in the northern of Canadian Basin, and the levels of Sigma PAH in the Chukchi Sea were slightly higher than those in the Being Sea. Three isomer ratios of PAHs (Phenanthrene/Anthracene, BaA/(BaA+Chy), and LMW/HMW) were used to investigate the potential sources of PAHs, which showed the main source of combustion combined with weaker petroleum contribution. Compared with four sediment quality guidelines, the concentrations of PAH are much lower, indicating a low potential ecological risk. All TEQ(PAH) also showed a low risk to human health. Our study revealed the important role of the ocean current on the redistribution of PAHs in the Arctic.</t>
  </si>
  <si>
    <t>[Chen, Fajin; Huang, Peng] Guangdong Ocean Univ, Guangdong Prov Key Lab Coastal Ocean Variat &amp; Dis, Zhanjiang 524088, Peoples R China; [Lin, Yan; Cai, Minggang] Xiamen Univ, Fujian Prov Key Lab Coastal Ecol &amp; Environm Studi, Xiamen 361102, Peoples R China; [Lin, Yan; Cai, Minggang; Zhang, Jingjing; Liu, Lin; Ke, Hongwei] Xiamen Univ, Coll Ocean &amp; Earth Sci, Xiamen 361002, Peoples R China; [Cai, Minggang] Xiamen Univ, State Key Lab Marine Environm Sci, Xiamen 361002, Peoples R China; [Zhang, Yuanbiao; Kuang, Weiming] State Ocean Adm, Inst Oceanog 3, Xiamen 361005, Peoples R China</t>
  </si>
  <si>
    <t>Guangdong Ocean University; Xiamen University; Xiamen University; Xiamen University; Third Institute of Oceanography, Ministry of Natural Resources</t>
  </si>
  <si>
    <t>Ke, HW (corresponding author), Xiamen Univ, Coll Ocean &amp; Earth Sci, Xiamen 361002, Peoples R China.</t>
  </si>
  <si>
    <t>fjchen04@163.com; yanlin@stu.xmu.edu.cn; mgcai@xmu.edu.cn; zjj@sio.org.cn; zhangyuanbiao@tio.org.cn; kuangweiming@tio.org.cn; 22320152201027@stu.xmu.edu.cn; penghuang@xmu.edu.cn; Hongwei_KE@xmu.edu.cn</t>
  </si>
  <si>
    <t>cai, minggang/G-3979-2010; Zhang, Yuanbiao/AAB-7408-2020; Huang, Peng/E-8571-2017; Zhang, Jing/HII-4294-2022</t>
  </si>
  <si>
    <t>cai, minggang/0000-0003-2828-0529; Huang, Peng/0000-0001-7038-3869; Chen, Fajin/0000-0002-5775-911X</t>
  </si>
  <si>
    <t>Ocean Public Welfare Scientific Research Projects, the State Oceanic Administration of China [200805095]; National Natural Science Foundation of China [41776088, 40776040, 40306012, 40776003, 41076133, 41576180]; Natural Science Foundation of Fujian Province [2014J06014]; Basal Research Fund of Xiamen University [2072010507]; Senior Project of Big Science Instrument Office, Institute of Oceanology, Chinese Academy of Sciences [KEXUE2016G01, KEXUE2017G09]; Natural Science Foundation Fujian Province [2014J06014]; Xiamen University Training Program of Innovation and Entrepreneurship for Undergraduates [2016X0619, 2016X0624]; International Science and technology cooperation project [GASI-IPOVAI-04]; Project of Enhancing School with Innovation of Guangdong Ocean University [GDOU2014050201, GDOU2013010203]</t>
  </si>
  <si>
    <t>Ocean Public Welfare Scientific Research Projects, the State Oceanic Administration of China; National Natural Science Foundation of China(National Natural Science Foundation of China (NSFC)); Natural Science Foundation of Fujian Province(Natural Science Foundation of Fujian Province); Basal Research Fund of Xiamen University; Senior Project of Big Science Instrument Office, Institute of Oceanology, Chinese Academy of Sciences; Natural Science Foundation Fujian Province; Xiamen University Training Program of Innovation and Entrepreneurship for Undergraduates; International Science and technology cooperation project; Project of Enhancing School with Innovation of Guangdong Ocean University</t>
  </si>
  <si>
    <t>Financial support for this study were granted by the Ocean Public Welfare Scientific Research Projects, the State Oceanic Administration of China (200805095); the National Natural Science Foundation of China (41776088, 40776040, 40306012, 40776003, 41076133, and 41576180); the Natural Science Foundation of Fujian Province (2014J06014), and the Basal Research Fund of Xiamen University (2072010507), Senior Project of Big Science Instrument Office, Institute of Oceanology, Chinese Academy of Sciences (no. KEXUE2016G01, KEXUE2017G09); the Natural Science Foundation Fujian Province (2014J06014); Xiamen University Training Program of Innovation and Entrepreneurship for Undergraduates (2016X0619, 2016X0624); the International Science and technology cooperation project (GASI-IPOVAI-04); and the Project of Enhancing School with Innovation of Guangdong Ocean University (GDOU2014050201, GDOU2013010203). We thank Weiwei Chen and Nie Senyan for sampling and providing useful information on the data analysis. The authors are thankful for the Chinese Arctic and Antarctic Administration offering the crew of Xuelong, thus the present study is possible conducted. We are also grateful for assistance and supply of equipment from the State Key Laboratory of Organic Geochemistry, Guangzhou Institute of Geochemistry.</t>
  </si>
  <si>
    <t>1660-4601</t>
  </si>
  <si>
    <t>INT J ENV RES PUB HE</t>
  </si>
  <si>
    <t>Int. J. Environ. Res. Public Health</t>
  </si>
  <si>
    <t>10.3390/ijerph15040734</t>
  </si>
  <si>
    <t>GI9TK</t>
  </si>
  <si>
    <t>WOS:000434868800173</t>
  </si>
  <si>
    <t>Hamilton, P; Leben, R; Bower, A; Furey, H; Pérez-Brunius, P</t>
  </si>
  <si>
    <t>Hamilton, Peter; Leben, Robert; Bower, Amy; Furey, Heather; Perez-Brunius, Paula</t>
  </si>
  <si>
    <t>Hydrography of the Gulf of Mexico Using Autonomous Floats</t>
  </si>
  <si>
    <t>LOOP CURRENT; CONTINENTAL-SHELF; WESTERN GULF; ANNUAL CYCLE; CIRCULATION; WATER; RINGS; FREQUENCY; ATLANTIC; SLOPE</t>
  </si>
  <si>
    <t>Fourteen autonomous profiling floats, equipped with CTDs, were deployed in the deep eastern and western basins of the Gulf of Mexico over a four-year interval (July 2011-August 2015), producing a total of 706 casts. This is the first time since the early 1970s that there has been a comprehensive survey ofwatermasses in the deep basins of the Gulf, with better vertical resolution than available from older ship-based surveys. Seven floats had 14-day cycles with parking depths of 1500m, and the other half from the U.S. Argo program had varying cycle times. Maps of characteristic water masses, including Subtropical Underwater, Antarctic Intermediate Water (AAIW), and North Atlantic Deep Water, showed gradients from east to west, consistent with their sources being within the Loop Current (LC) and the Yucatan Channel waters. Altimeter SSH was used to characterize profiles being in LC or LC eddy water or in cold eddies. The two-layer nature of the deep Gulf shows isotherms being deeper in the warmanticyclonic LC and LC eddies and shallower in the cold cyclones. Mixed layer depths have an average seasonal signal that shows maximum depths (-60m) in January and a minimum in June-July (20m).Basin-mean steric heights from 0-50-m dynamic heights and altimeter SSH show a seasonal range of -12 cm, with significant interannual variability. The translation of LC eddies across the western basin produces a region of low homogeneous potential vorticity centered over the deepest part of the western basin.</t>
  </si>
  <si>
    <t>[Hamilton, Peter] North Carolina State Univ, Marine Earth &amp; Atmospher Sci, Raleigh, NC 27695 USA; [Leben, Robert] Univ Colorado, Colorado Ctr Astrodynam Res, Boulder, CO 80309 USA; [Bower, Amy; Furey, Heather] Woods Hole Oceanog Inst, Woods Hole, MA 02543 USA; [Perez-Brunius, Paula] Ctr Invest Cient &amp; Educ Super Ensenada, Ensenada, Baja California, Mexico</t>
  </si>
  <si>
    <t>North Carolina State University; University of Colorado System; University of Colorado Boulder; Woods Hole Oceanographic Institution; CICESE - Centro de Investigacion Cientifica y de Educacion Superior de Ensenada</t>
  </si>
  <si>
    <t>Hamilton, P (corresponding author), North Carolina State Univ, Marine Earth &amp; Atmospher Sci, Raleigh, NC 27695 USA.</t>
  </si>
  <si>
    <t>peter_hamilton@ncsu.edu</t>
  </si>
  <si>
    <t>Furey, Heather/ITT-0652-2023; Pérez-Brunius, Paula/AAB-7143-2022</t>
  </si>
  <si>
    <t>Furey, Heather/0000-0003-2554-8681; Pérez-Brunius, Paula/0000-0003-1086-2870</t>
  </si>
  <si>
    <t>Department of the Interior, Bureau of Ocean Energy Management (BOEM) [M08PC20043]; Florida State University</t>
  </si>
  <si>
    <t>Department of the Interior, Bureau of Ocean Energy Management (BOEM); Florida State University</t>
  </si>
  <si>
    <t>The authors were supported by the Department of the Interior, Bureau of Ocean Energy Management (BOEM), Contract M08PC20043 to Leidos, Inc., Raleigh, NorthCarolina. The authors also wish to acknowledge the enthusiastic support of Dr. Alexis Lugo-Fernandez, the BOEM Contracting Officer's Technical Representative, during the study into the deep circulation of the Gulf of Mexico, using Lagrangian methods. Further support for the principal author was also provided through the Gulf Research Program of the National Academy of Sciences through a sub-award from Florida State University. The authors also gratefully acknowledge the assistance of Ms. Terry McKee of WHOI for managing the collection and organization of the BOEMAPEX float data. BOEM and Argo profile data used in this study are available from the international and U.S. programs (https://doi.org/10.17882/42182).</t>
  </si>
  <si>
    <t>10.1175/JPO-D-17-0205.1</t>
  </si>
  <si>
    <t>GJ0JL</t>
  </si>
  <si>
    <t>WOS:000434940100002</t>
  </si>
  <si>
    <t>Ji, Q; Li, F; Pang, XP; Luo, C</t>
  </si>
  <si>
    <t>Ji, Qing; Li, Fei; Pang, Xiaoping; Luo, Cong</t>
  </si>
  <si>
    <t>Statistical Analysis of SSMIS Sea Ice Concentration Threshold at the Arctic Sea Ice Edge during Summer Based on MODIS and Ship-Based Observational Data</t>
  </si>
  <si>
    <t>SENSORS</t>
  </si>
  <si>
    <t>sea ice concentration threshold; sea ice edge; passive microwave remote sensing; MODIS; ship-based observations</t>
  </si>
  <si>
    <t>EXTENT; VARIABILITY; PARAMETERS; TRENDS</t>
  </si>
  <si>
    <t>The threshold of sea ice concentration (SIC) is the basis for accurately calculating sea ice extent based on passive microwave (PM) remote sensing data. However, the PM SIC threshold at the sea ice edge used in previous studies and released sea ice products has not always been consistent. To explore the representable value of the PM SIC threshold corresponding on average to the position of the Arctic sea ice edge during summer in recent years, we extracted sea ice edge boundaries from the Moderate-resolution Imaging Spectroradiometer (MODIS) sea ice product (MOD29 with a spatial resolution of 1 km), MODIS images (250 m), and sea ice ship-based observation points (1 km) during the fifth (CHINARE-2012) and sixth (CHINARE-2014) Chinese National Arctic Research Expeditions, and made an overlay and comparison analysis with PM SIC derived from Special Sensor Microwave Imager Sounder (SSMIS, with a spatial resolution of 25 km) in the summer of 2012 and 2014. Results showed that the average SSMIS SIC threshold at the Arctic sea ice edge based on ice-water boundary lines extracted from MOD29 was 33%, which was higher than that of the commonly used 15% discriminant threshold. The average SIC threshold at sea ice edge based on ice-water boundary lines extracted by visual interpretation from four scenes of the MODIS image was 35% when compared to the average value of 36% from the MOD29 extracted ice edge pixels for the same days. The average SIC of 31% at the sea ice edge points extracted from ship-based observations also confirmed that choosing around 30% as the SIC threshold during summer is recommended for sea ice extent calculations based on SSMIS PM data. These results can provide a reference for further studying the variation of sea ice under the rapidly changing Arctic.</t>
  </si>
  <si>
    <t>[Ji, Qing; Li, Fei; Pang, Xiaoping] Wuhan Univ, Chinese Antarctic Ctr Surveying &amp; Mapping, Wuhan 430079, Hubei, Peoples R China; [Luo, Cong] Wuhan Univ, Sch Resource &amp; Environm Sci, Wuhan 430079, Hubei, Peoples R China</t>
  </si>
  <si>
    <t>Li, F (corresponding author), Wuhan Univ, Chinese Antarctic Ctr Surveying &amp; Mapping, Wuhan 430079, Hubei, Peoples R China.</t>
  </si>
  <si>
    <t>jiqing@whu.edu.cn; fli@whu.edu.cn; pxp@whu.edu.cn; luocong_18@hotmail.com</t>
  </si>
  <si>
    <t>luo, cong/KGM-8063-2024</t>
  </si>
  <si>
    <t>Ji, Qing/0000-0003-1386-5604</t>
  </si>
  <si>
    <t>National Key Research and Development Program of China [2017YFA0603104, 2016YFC1402704]; National Natural Science Foundation of China [41606215, 41576188]; Key Laboratory of Polar Science, State Oceanic Administration of China [PS1502]; Key Laboratory of Global Change and Marine-Atmospheric Chemistry, State Oceanic Administration of China [GCMAC1504]; Fundamental Research Funds for the Central Universities [2042016kf0038]; China Postdoctoral Science Foundation [2016M602342]</t>
  </si>
  <si>
    <t>National Key Research and Development Program of China; National Natural Science Foundation of China(National Natural Science Foundation of China (NSFC)); Key Laboratory of Polar Science, State Oceanic Administration of China; Key Laboratory of Global Change and Marine-Atmospheric Chemistry, State Oceanic Administration of China; Fundamental Research Funds for the Central Universities(Fundamental Research Funds for the Central Universities); China Postdoctoral Science Foundation(China Postdoctoral Science Foundation)</t>
  </si>
  <si>
    <t>The authors would like to thank the Chinese National Arctic and Antarctic Data Center (NADC) and the National Snow and Ice Data Center (NSIDC) for providing ship-based sea ice observation data and SSMIS sea ice concentration data. The authors acknowledge the joint support from the National Key Research and Development Program of China (2017YFA0603104, 2016YFC1402704), the National Natural Science Foundation of China (41606215, 41576188), the fund of Key Laboratory of Polar Science, State Oceanic Administration of China (PS1502), the Fund of Key Laboratory of Global Change and Marine-Atmospheric Chemistry, State Oceanic Administration of China (GCMAC1504), the Fundamental Research Funds for the Central Universities (2042016kf0038) and the China Postdoctoral Science Foundation Funded Project (2016M602342). Comments from the anonymous referees and the editor are also gratefully appreciated.</t>
  </si>
  <si>
    <t>1424-8220</t>
  </si>
  <si>
    <t>SENSORS-BASEL</t>
  </si>
  <si>
    <t>Sensors</t>
  </si>
  <si>
    <t>10.3390/s18041109</t>
  </si>
  <si>
    <t>Chemistry, Analytical; Engineering, Electrical &amp; Electronic; Instruments &amp; Instrumentation</t>
  </si>
  <si>
    <t>Chemistry; Engineering; Instruments &amp; Instrumentation</t>
  </si>
  <si>
    <t>GJ7NS</t>
  </si>
  <si>
    <t>WOS:000435574800181</t>
  </si>
  <si>
    <t>Urrutia-Jalabert, R; González, ME; González-Reyes, A; Lara, A; Garreaud, R</t>
  </si>
  <si>
    <t>Urrutia-Jalabert, Rocio; Gonzalez, Mauro E.; Gonzalez-Reyes, Alvaro; Lara, Antonio; Garreaud, Rene</t>
  </si>
  <si>
    <t>Climate variability and forest fires in central and south-central Chile</t>
  </si>
  <si>
    <t>ECOSPHERE</t>
  </si>
  <si>
    <t>Antarctic Oscillation; climate change; El Nino-Southern Oscillation (ENSO); exotic plantations; forest fires; Mediterranean forests; temperate forests</t>
  </si>
  <si>
    <t>NORTHERN PATAGONIA; REGIONAL CLIMATE; RAIN-FOREST; WILDFIRE; HISTORY; REGIMES; IMPACT; MEGADROUGHT; CIRCULATION; DISTURBANCE</t>
  </si>
  <si>
    <t>This paper evaluates the relationship between fire occurrence (number and burned area) and climate variability (precipitation and maximum temperatures) across central and south-central Chile (32 degrees-43 degrees S) during recent decades (1976-2013). This region sustains the largest proportion of the Chilean population, contains ecologically important remnants of endemic ecosystems, the largest extension of forest exotic plantations, and concentrates most of the fire activity in the country. Fire activity in central Chile was mainly associated with above-average precipitation during winter of the previous year and with dry conditions during spring to summer. The later association was particularly strong in the southern, wetter part of the study region. Maximum temperature had a positive significant relationship with burned area across the study region, with stronger correlations toward the south. Fires in central Chile were significantly related to El Nino-Southern Oscillation, through rainfall anomalies during the year previous to the fire season. The Antarctic Oscillation during winter through summer was positively related to fires across the study area due to drier/warmer conditions associated with the positive polarity of this oscillation. Climate change projections for the region reveal an all-season decrease in precipitation and increases in temperature, that may likely result in an increment of the occurrence and the area affected by fires, as it has been observed during a multi-year drought afflicting central Chile since 2010.</t>
  </si>
  <si>
    <t>[Urrutia-Jalabert, Rocio; Gonzalez, Mauro E.; Lara, Antonio] Univ Austral Chile, Inst Conservac Biodiversidad &amp; Terr, Lab Dendrocronol &amp; Cambio Global, Independencia 641, Valdivia, Chile; [Urrutia-Jalabert, Rocio; Gonzalez, Mauro E.; Lara, Antonio; Garreaud, Rene] Ctr Climate &amp; Resilience Res CR, 2 Sq,Blanco Encalada 2002, Santiago, Chile; [Gonzalez-Reyes, Alvaro] Univ Austral Chile, Inst Ciencias Tierra, Fac Ciencias, Independencia 641, Valdivia, Chile; [Garreaud, Rene] Univ Chile, Dept Geofis, Fac Ciencias Fis &amp; Matemat, Blanco Encalada 2002, Santiago, Chile</t>
  </si>
  <si>
    <t>Universidad Austral de Chile; Universidad Austral de Chile; Universidad de Chile</t>
  </si>
  <si>
    <t>Urrutia-Jalabert, R (corresponding author), Univ Austral Chile, Inst Conservac Biodiversidad &amp; Terr, Lab Dendrocronol &amp; Cambio Global, Independencia 641, Valdivia, Chile.;Urrutia-Jalabert, R (corresponding author), Ctr Climate &amp; Resilience Res CR, 2 Sq,Blanco Encalada 2002, Santiago, Chile.</t>
  </si>
  <si>
    <t>rociourrutia@uach.cl</t>
  </si>
  <si>
    <t>Garreaud, Rene/JFS-4440-2023; Garreaud, Rene/I-6298-2016; González, Mauro E./AAH-7569-2019</t>
  </si>
  <si>
    <t>Garreaud, Rene/0000-0002-7875-2443; Urrutia-Jalabert, Rocio/0000-0002-3548-4813; Gonzalez, Mauro/0000-0002-4333-724X</t>
  </si>
  <si>
    <t>Fondecyt [3160258, CONICYT/FONDAP/15110009]; Seventh Framework Programme of the European Union (FP7) [243888]</t>
  </si>
  <si>
    <t>Fondecyt(Comision Nacional de Investigacion Cientifica y Tecnologica (CONICYT)CONICYT FONDECYT); Seventh Framework Programme of the European Union (FP7)(European Union (EU))</t>
  </si>
  <si>
    <t>Fondecyt Postdoctoral Grant No. 3160258 awarded to Rocio Urrutia-Jalabert and Center for Climate and Resilience Research (CONICYT/FONDAP/15110009). Seventh Framework Programme of the European Union (FP7/2007-2013) under Project No. 243888. We thank Aldo Farias for the map of the study area.</t>
  </si>
  <si>
    <t>2150-8925</t>
  </si>
  <si>
    <t>Ecosphere</t>
  </si>
  <si>
    <t>e02171</t>
  </si>
  <si>
    <t>10.1002/ecs2.2171</t>
  </si>
  <si>
    <t>GJ9NK</t>
  </si>
  <si>
    <t>WOS:000435729400004</t>
  </si>
  <si>
    <t>Mackay, N; Ledwell, JR; Messias, MJ; Garabato, ACN; Brearley, JA; Meijers, AJS; Jones, DC; Watson, AJ</t>
  </si>
  <si>
    <t>Mackay, Neill; Ledwell, James R.; Messias, Marie-Jose; Garabato, Alberto C. Naveira; Brearley, J. Alexander; Meijers, Andrew J. S.; Jones, Daniel C.; Watson, Andrew J.</t>
  </si>
  <si>
    <t>Diapycnal Mixing in the Southern Ocean Diagnosed Using the DIMES Tracer and Realistic Velocity Fields</t>
  </si>
  <si>
    <t>diapycnal mixing; ocean circulation; tracer experiment; ocean model</t>
  </si>
  <si>
    <t>DRAKE PASSAGE; CIRCULATION; TOPOGRAPHY</t>
  </si>
  <si>
    <t>In this work, we use realistic isopycnal velocities with a 3-D eddy diffusivity to advect and diffuse a tracer in the Antarctic Circumpolar Current, beginning in the Southeast Pacific and progressing through Drake Passage. We prescribe a diapycnal diffusivity which takes one value in the SE Pacific west of 67 degrees W and another value in Drake Passage east of that longitude, and optimize the diffusivities using a cost function to give a best fit to experimental data from the DIMES (Diapycnal and Isopycnal Mixing Experiment in the Southern Ocean) tracer, released near the boundary between the Upper and Lower Circumpolar Deep Water. We find that diapycnal diffusivity is enhanced 20-fold in Drake Passage compared with the SE Pacific, consistent with previous estimates obtained using a simpler advection-diffusion model with constant, but different, zonal velocities east and west of 67 degrees W. Our result shows that diapycnal mixing in the ACC plays a significant role in transferring buoyancy within the Meridional Overturning Circulation.</t>
  </si>
  <si>
    <t>[Mackay, Neill] Natl Oceanog Ctr, Liverpool, Merseyside, England; [Mackay, Neill] Univ East Anglia, Norwich, Norfolk, England; [Ledwell, James R.] Woods Hole Oceanog Inst, Appl Ocean Phys &amp; Engn, Woods Hole, MA 02543 USA; [Messias, Marie-Jose; Watson, Andrew J.] Univ Exeter, Exeter, Devon, England; [Garabato, Alberto C. Naveira] Univ Southampton, Southampton, Hants, England; [Brearley, J. Alexander; Meijers, Andrew J. S.; Jones, Daniel C.] British Antarctic Survey, Cambridge, England</t>
  </si>
  <si>
    <t>NERC National Oceanography Centre; University of East Anglia; Woods Hole Oceanographic Institution; University of Exeter; University of Southampton; UK Research &amp; Innovation (UKRI); Natural Environment Research Council (NERC); NERC British Antarctic Survey</t>
  </si>
  <si>
    <t>Mackay, N (corresponding author), Natl Oceanog Ctr, Liverpool, Merseyside, England.;Mackay, N (corresponding author), Univ East Anglia, Norwich, Norfolk, England.</t>
  </si>
  <si>
    <t>nmack@noc.ac.uk</t>
  </si>
  <si>
    <t>Garabato, Alberto Naveira/AAQ-1114-2020; Brearley, Alexander/C-3313-2012</t>
  </si>
  <si>
    <t>Garabato, Alberto Naveira/0000-0001-6071-605X; Brearley, Alexander/0000-0003-3700-8017; Mackay, Neill/0000-0002-9758-1096; Messias, Marie-Jose/0000-0002-3852-2854; Watson, Andrew/0000-0002-9654-8147; Jones, Dani/0000-0002-8701-4506</t>
  </si>
  <si>
    <t>US National Science Foundation [OCE 0622825, OCE 1232962]; UK Natural Environment Research Council [NE/J007757/1, NE/N018028/1, NE/F020252/1]; Natural Environment Research Council [NE/E005985/2, bas0100033, NE/E005667/1, NE/L011166/1, noc010012, NE/J007757/1, NE/E007058/1, NE/N018028/1, NE/N018001/1] Funding Source: researchfish; NERC [bas0100033, NE/E005667/1, NE/L011166/1, NE/N018028/1, NE/J007757/1, NE/E005985/2, NE/F020252/1, NE/E007058/1] Funding Source: UKRI</t>
  </si>
  <si>
    <t>US National Science Foundation(National Science Foundation (NSF));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</si>
  <si>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officers and staff of the RV Thomas Thompson, RRS James Cook, and RRS James Clark Ross for their assistance in making observations at sea. We thank the UK Natural Environment Research Council (grants NE/F020252/1, NE/N018028/1, and NE/J007757/1) and the US National Science Foundation for funding the DIMES experiment (grants OCE 0622825 and OCE 1232962). The DIMES tracer and CTD data used in the analysis are available at https://www.bodc.ac.uk/projects/data_management/international/dimes/.</t>
  </si>
  <si>
    <t>10.1002/2017JC013536</t>
  </si>
  <si>
    <t>WOS:000434131900017</t>
  </si>
  <si>
    <t>Jones, DC; Forget, G; Sinha, B; Josey, SA; Boland, EJD; Meijers, AJS; Shuckburgh, E</t>
  </si>
  <si>
    <t>Jones, Daniel C.; Forget, Gael; Sinha, Bablu; Josey, Simon A.; Boland, Emma J. D.; Meijers, Andrew J. S.; Shuckburgh, Emily</t>
  </si>
  <si>
    <t>Local and Remote Influences on the Heat Content of the Labrador Sea: An Adjoint Sensitivity Study</t>
  </si>
  <si>
    <t>Labrador Sea; adjoint modeling; heat content; teleconnection; adjoint sensitivity; heat flux</t>
  </si>
  <si>
    <t>NORTH-ATLANTIC OCEAN; CIRCULATION; VARIABILITY; MECHANISMS; CONVECTION; MODEL</t>
  </si>
  <si>
    <t>The Labrador Sea is one of the few regions on the planet where the interior ocean can exchange heat directly with the atmosphere via strong, localized, wintertime convection, with possible implications for the state of North Atlantic climate and global surface warming. Using an observationally constrained ocean adjoint model, we find that annual-mean Labrador Sea heat content is sensitive to temperature/salinity changes (1) along potential source water pathways (e.g., the subpolar gyre, the North Atlantic Current, the Gulf Stream) and (2) along the West African and European shelves, which are not significant source water regions for the Labrador Sea. The West African coastal/shelf adjustment mechanism, which may be excited by changes in along-shelf wind stress, involves pressure anomalies that propagate along a coastal waveguide toward Greenland, changing the across-shelf pressure gradient in the North Atlantic and altering heat convergence in the Labrador Sea. We also find that nonlocal (in space and time) heat fluxes (e.g., in the Irminger Sea, the seas south of Iceland) can have a strong impact on Labrador Sea heat content. Understanding and predicting the state of the Labrador Sea and its potential impacts on North Atlantic climate and global surface warming will require monitoring of oceanic and atmospheric properties at remote sites in the Irminger Sea, the subpolar gyre, and along the West African and European shelf/coast system, among others. Plain Language Summary There are only a handful of locations on Earth where natural processes can rapidly inject heat and carbon into the interior ocean, where it can remain for decades to centuries, potentially slowing global surface warming. One of these locations is the Labrador Sea, which features strong exchanges of heat with the atmosphere and exceptionally deep mixing between the surface ocean and interior ocean. In this paper, we examine the factors that influence the heat content of the Labrador Sea. Using a numerical model, we find that although the heat content is most sensitive to local exchanges with the atmosphere, there is an unexpected connection between the heat content of the Labrador Sea and wind strength along the coast of West Africa and Europe. Sustained changes in wind strength in those regions can change the large-scale circulation of the entire North Atlantic, ultimately changing the amount of heat that gets transported into the Labrador Sea and potentially impacting North Atlantic climate and global surface warming.</t>
  </si>
  <si>
    <t>[Jones, Daniel C.; Boland, Emma J. D.; Meijers, Andrew J. S.; Shuckburgh, Emily] British Antarctic Survey, Natl Environm Res Council, Cambridge, England; [Forget, Gael] MIT, 77 Massachusetts Ave, Cambridge, MA 02139 USA; [Sinha, Bablu; Josey, Simon A.] Natl Oceanog Ctr, Southampton, Hants, England</t>
  </si>
  <si>
    <t>UK Research &amp; Innovation (UKRI); Natural Environment Research Council (NERC); NERC British Antarctic Survey; Massachusetts Institute of Technology (MIT); NERC National Oceanography Centre</t>
  </si>
  <si>
    <t>Jones, DC (corresponding author), British Antarctic Survey, Natl Environm Res Council, Cambridge, England.</t>
  </si>
  <si>
    <t>dannes@bas.ac.uk</t>
  </si>
  <si>
    <t>Boland, Emma/AFV-9181-2022</t>
  </si>
  <si>
    <t>Boland, Emma/0000-0003-2430-7763; Shuckburgh, Emily/0000-0001-9206-3444; Jones, Dani/0000-0002-8701-4506</t>
  </si>
  <si>
    <t>Natural Environment Research Council (NERC); North Atlantic Climate System Integrated Study (ACSIS) [NE/N018028/1, NE/N018044/1]; Securing Multidisciplinary UndeRstanding and Prediction of Hiatus and Surge events (SMURPHS) [NE/N006038/1, NE/N005686/1]; Ocean Regulation of Climate by Heat and Carbon Sequestration and Transports (ORCHESTRA) [NE/N018095/1]; NASA [1553749]; Simons Foundation [549931]; NERC [noc010010, NE/N005686/1, NE/N018044/1, bas0100033, NE/N018028/1, NE/N018001/1, NE/N018095/1] Funding Source: UKRI; Natural Environment Research Council [noc010012, bas0100033, NE/N018044/1, NE/N018095/1, NE/N018001/1, NE/N005686/1, NE/N018028/1, noc010010] Funding Source: researchfish</t>
  </si>
  <si>
    <t>Natural Environment Research Council (NERC)(UK Research &amp; Innovation (UKRI)Natural Environment Research Council (NERC)); North Atlantic Climate System Integrated Study (ACSIS); Securing Multidisciplinary UndeRstanding and Prediction of Hiatus and Surge events (SMURPHS); Ocean Regulation of Climate by Heat and Carbon Sequestration and Transports (ORCHESTRA); NASA(National Aeronautics &amp; Space Administration (NASA)); Simons Foundation; NERC(UK Research &amp; Innovation (UKRI)Natural Environment Research Council (NERC)); Natural Environment Research Council(UK Research &amp; Innovation (UKRI)Natural Environment Research Council (NERC))</t>
  </si>
  <si>
    <t>This study is supported by grants from the Natural Environment Research Council (NERC), including (1) The North Atlantic Climate System Integrated Study (ACSIS) (grant NE/N018028/1 (authors DJ, ES) and NE/N018044/1 (authors BS, SJ)), (2) Securing Multidisciplinary UndeRstanding and Prediction of Hiatus and Surge events (SMURPHS) (grant NE/N006038/1 (author EB) and NE/N005686/1 (authors BS, SJ)), and (3) Ocean Regulation of Climate by Heat and Carbon Sequestration and Transports (ORCHESTRA) (grant NE/N018095/1 (authors EB, AM)). GF is supported by NASA award 1553749 and Simons Foundation award 549931. The ECCOv4-r2 model setup used in this work is available for download on Github (https://github.com/gaelforget/ECCO_v4_r2) as an instance of the MIT general circulation model (MITgcm, http://mitgcm.org/). Numerical model runs were carried out on ARCHER, the UK national HPC facility (http://archer.ac.uk/). Adjoint code was generated using the TAF software tool, created and maintained by FastOpt GmbH (http://www.fastopt.com/). Argo float data are available via http://www.argo.ucsd.edu/. The authors wish to thank Ric Williams, Chris Wilson, Yavor Kostov, Maike Sonnewald, Mike Bell, Florian Sevellec, Nora Loose, and two anonymous reviewers for conversations that greatly improved the quality of this paper.</t>
  </si>
  <si>
    <t>10.1002/2018JC013774</t>
  </si>
  <si>
    <t>Green Accepted, Green Submitted</t>
  </si>
  <si>
    <t>WOS:000434131900019</t>
  </si>
  <si>
    <t>Gunn, KL; White, NJ; Larter, RD; Caulfield, CP</t>
  </si>
  <si>
    <t>Gunn, K. L.; White, N. J.; Larter, R. D.; Caulfield, C. P.</t>
  </si>
  <si>
    <t>Calibrated Seismic Imaging of Eddy-Dominated Warm-Water Transport Across the Bellingshausen Sea, Southern Ocean</t>
  </si>
  <si>
    <t>seismic oceanography; Bellingshausen Sea; warm-core eddies; ice-shelf basal melt; Antarctic Slope Front</t>
  </si>
  <si>
    <t>PENINSULA CONTINENTAL-SHELF; WEST ANTARCTIC PENINSULA; CIRCUMPOLAR DEEP-WATER; MEDITERRANEAN SALT LENS; ACOUSTIC-SCATTERING; TAYLOR-COLUMNS; CIRCULATION; ICE; TEMPERATURE; VARIABILITY</t>
  </si>
  <si>
    <t>Seismic reflection images of thermohaline circulation from the Bellingshausen Sea, adjacent to the West Antarctica Peninsula, were acquired during February 2015. This survey shows that bright reflectivity occurs throughout the upper 300 m. By calibrating these seismic images with coeval hydrographic measurements, intrusion of warm water features onto the continental shelf at Marguerite and Belgica Troughs is identified and characterized. These features have distinctive lens-shaped patterns of reflectivity with lengths of 0.75-11.00 km and thicknesses of 100-150 m, suggesting that they are small mesoscale to submesoscale eddies. Abundant eddies are observed along a transect that crosses Belgica Trough. Near Alexander Island Drift, a large, of order (O)102 km(3), bowl-like feature, that may represent an anticyclonic Taylor column, is imaged on a pair of orthogonal images. A modified iterative procedure is used to convert seismic imagery into maps of temperature that enable the number and size of eddies being transported onto the shelf to be quantified. Finally, analysis of prestack shot records suggests that these eddies are advecting southward at speeds of O(0.1) ms(-1), consistent with limited legacy hydrographic measurements. Concentration of observed eddies south of the Southern Antarctic Circumpolar Current Front implies they represent both a dominant, and a long-lived, mechanism of warm-water transport, especially across Belgica Trough. Our observations suggest that previous estimates of eddy frequency may have been underestimated by up to 1 order of magnitude, which has significant implications for calculations of ice mass loss on the shelf of the West Antarctic Peninsula.</t>
  </si>
  <si>
    <t>[Gunn, K. L.; White, N. J.] Univ Cambridge, Dept Earth Sci, Bullard Labs, Cambridge, England; [Larter, R. D.] British Antarctic Survey, Cambridge, England; [Caulfield, C. P.] Univ Cambridge, BP Inst, Cambridge, England; [Caulfield, C. P.] Univ Cambridge, Dept Appl Math &amp; Theoret Phys, Cambridge, England</t>
  </si>
  <si>
    <t>University of Cambridge; UK Research &amp; Innovation (UKRI); Natural Environment Research Council (NERC); NERC British Antarctic Survey; University of Cambridge; BP; University of Cambridge</t>
  </si>
  <si>
    <t>Gunn, KL (corresponding author), Univ Cambridge, Dept Earth Sci, Bullard Labs, Cambridge, England.</t>
  </si>
  <si>
    <t>klg48@cam.ac.uk</t>
  </si>
  <si>
    <t>Caulfield, Colm-cille/F-7691-2011</t>
  </si>
  <si>
    <t>Caulfield, Colm-cille/0000-0002-3170-9480; Gunn, Kathryn/0000-0003-2397-5364</t>
  </si>
  <si>
    <t>University of Cambridge; British Antarctic Survey; EPSRC [EP/K034529/1]; NERC UK-IODP Program [NE/J006548/1]; Engineering and Physical Sciences Research Council [EP/K034529/1] Funding Source: researchfish; EPSRC [EP/K034529/1] Funding Source: UKRI; NERC [bas0100030, NE/J006548/1] Funding Source: UKRI</t>
  </si>
  <si>
    <t>University of Cambridge(University of Cambridge); British Antarctic Survey; EPSRC(UK Research &amp; Innovation (UKRI)Engineering &amp; Physical Sciences Research Council (EPSRC)); NERC UK-IODP Program(UK Research &amp; Innovation (UKRI)Natural Environment Research Council (NERC)); Engineering and Physical Sciences Research Council(UK Research &amp; Innovation (UKRI)Engineering &amp; Physical Sciences Research Council (EPSRC)); EPSRC(UK Research &amp; Innovation (UKRI)Engineering &amp; Physical Sciences Research Council (EPSRC)); NERC(UK Research &amp; Innovation (UKRI)Natural Environment Research Council (NERC))</t>
  </si>
  <si>
    <t>K.G. is supported by the University of Cambridge and by the British Antarctic Survey. Research activity of C.P.C. is supported by EPSRC Program grant EP/K034529/1 (Mathematical Underpinnings of Stratified Turbulence). Bathymetric grids are from General Bathymetric Chart of the Oceans (GEBCO; https://www.gebco.net). Ocean Surface Current Analysis Real-time (OSCAR) and Multiscale Ultra-high-Resolution (MUR) SST Analysis data sets are from ERDDAP (https://coastwatch.pfeg.noaa.gov/erd-dap). Hydrographic observations of Palmer Antarctica Long-Term Ecological Research (PAL-LTER) are from (http://oceaninformatics.ucsd.edu/filefinder/pallter). Seismic data were collected as part of Site Survey Investigation Grant NE/J006548/1 from the NERC UK-IODP Program and can be obtained from https://www.iodp.org/resources/access-data-and-samples. Hydrographic data acquired on cruise JR298 can be obtained from https://data.bas.ac.uk. Seismic reflection records were processed using Schlumberger OMEGA package generously provided by Schlumberger Research Services and figures were generated using Generic Mapping Tools (GMT; http://www.soest.hawaii.edu/gmt). We are grateful to the captain, crew, technicians, and scientific party of RRS James Clark Ross for their dedication and professionalism. We thank T. Blacic for generously providing an initial analysis code. Finally, we thank A. Brearley, A. Dickinson, I. Frame, D. Lyness, M. Meredith, S. Fielding, and H. Venables for their help. University of Cambridge Earth Sciences contribution number esc.4250.</t>
  </si>
  <si>
    <t>10.1029/2018JC013833</t>
  </si>
  <si>
    <t>WOS:000434131900043</t>
  </si>
  <si>
    <t>Stam, DH</t>
  </si>
  <si>
    <t>Stam, David H.</t>
  </si>
  <si>
    <t>Two Years Below the Horn: Operation Tabarin, Field Science, and Antarctic Sovereignty, 1944-1946</t>
  </si>
  <si>
    <t>JOURNAL OF HISTORICAL GEOGRAPHY</t>
  </si>
  <si>
    <t>Book Review</t>
  </si>
  <si>
    <t>[Stam, David H.] Syracuse Univ, Syracuse, NY 13244 USA</t>
  </si>
  <si>
    <t>Syracuse University</t>
  </si>
  <si>
    <t>Stam, DH (corresponding author), Syracuse Univ, Syracuse, NY 13244 USA.</t>
  </si>
  <si>
    <t>0305-7488</t>
  </si>
  <si>
    <t>J HIST GEOGR</t>
  </si>
  <si>
    <t>J. Hist. Geogr.</t>
  </si>
  <si>
    <t>10.1016/j.jhg.2017.12.001</t>
  </si>
  <si>
    <t>Geography; History Of Social Sciences</t>
  </si>
  <si>
    <t>Geography; Social Sciences - Other Topics</t>
  </si>
  <si>
    <t>GJ1SP</t>
  </si>
  <si>
    <t>WOS:000435048400011</t>
  </si>
  <si>
    <t>Yin, F; Liao, ZW; Hursthouse, A; Dai, DQ</t>
  </si>
  <si>
    <t>Yin, Feng; Liao, Zhiwei; Hursthouse, Andrew; Dai, Deqiu</t>
  </si>
  <si>
    <t>Shock-Induced Olivine-Ringwoodite Transformation in the Shock Vein of Chondrite GRV053584</t>
  </si>
  <si>
    <t>MINERALS</t>
  </si>
  <si>
    <t>shock metamorphism; olivine; ringwoodite; phase transformation</t>
  </si>
  <si>
    <t>SPINEL TRANSFORMATION; INTRACRYSTALLINE TRANSFORMATION; EXPERIMENTAL CONSTRAINTS; SYSTEM MG2SIO4-FE2SIO4; PHASE-TRANSFORMATIONS; TRANSITION; METEORITES; PRESSURE; METAMORPHISM; MELT</t>
  </si>
  <si>
    <t>Shock metamorphism of minerals in meteorites could help to understand the shock history of its parent body and also provide a window into the interior of the Earth. Although shock features in olivine have been well known within and adjacent to shock melt veins and shock melt pockets in meteorites, there are processes that are not yet completely understood. Ringwoodite is formed by crystallization from olivine melts or solid-state phase transformation of olivine. Typically, olivine clasts with a ringwoodite rim around an olivine core have been documented from only a handful of meteorites. Here we report results from GRV053684, a highly shocked L6 chondrite that was collected by Chinese Antarctic Research Expedition in 2006 to Antarctica. The investigations of the shock pressure history and the transformation mechanism of olivine to ringwoodite use optical microscope, electron probe microanalyzer (backscattered electron images, major element quantitative analyses, and quantitative wavelength-dispersive spectrometry elemental X-ray maps), and Raman spectrograph. Ringwoodite in the shock melt vein generally displays as Fe-rich (Fa(37-43)) polycrystalline rims around Fe-poor (Fa(11-20)) olivine core and as small individual clasts embedded in shock melt vein matrix. The difference in FeO between ringwoodite rim and olivine core implies that Fe was preferentially partitioned to ringwoodite. The occurrence of maskelynite (An(17)) indicates a shock pressure similar to 30 GPa. The FeO and MgO diffusion indicates the transformation process of olivine to ringwoodite is a diffusion-controlled incoherent nucleation and growth. The spatial association between ringwoodite and the shock melt vein matrix suggests that high temperature plays a key role in prompting phase transformation.</t>
  </si>
  <si>
    <t>[Yin, Feng; Hursthouse, Andrew] Hunan Univ Sci &amp; Technol, Hunan Prov Key Lab Shale Gas Resource Utilizat, Xiangtan 411201, Peoples R China; [Yin, Feng; Dai, Deqiu] Hunan Univ Sci &amp; Technol, Dept Geol, Xiangtan 411201, Peoples R China; [Liao, Zhiwei] Chongqing Univ, Coll Resources &amp; Environm Sci, Chongqing 400044, Peoples R China; [Liao, Zhiwei] Chongqing Univ, State Key Lab Coal Mine Disaster Dynam &amp; Control, Chongqing 400044, Peoples R China; [Hursthouse, Andrew] Univ West Scotland, Sch Sci &amp; Sport, Paisley PA1 2BE, Renfrew, Scotland</t>
  </si>
  <si>
    <t>Hunan University of Science &amp; Technology; Hunan University of Science &amp; Technology; Chongqing University; Chongqing University; University of West Scotland</t>
  </si>
  <si>
    <t>Liao, ZW (corresponding author), Chongqing Univ, Coll Resources &amp; Environm Sci, Chongqing 400044, Peoples R China.;Liao, ZW (corresponding author), Chongqing Univ, State Key Lab Coal Mine Disaster Dynam &amp; Control, Chongqing 400044, Peoples R China.</t>
  </si>
  <si>
    <t>fengite@hotmail.com; zwliao16@cqu.edu.cn; andrew.hursthouse@uws.ac.uk; ddqygf@163.com</t>
  </si>
  <si>
    <t>Hursthouse, Andrew/A-9005-2010</t>
  </si>
  <si>
    <t>Hursthouse, Andrew/0000-0003-3690-2957; Yin, Feng/0000-0002-0277-4005</t>
  </si>
  <si>
    <t>National Natural Science Foundation of China [41503062, 41702129, 41673070]; Natural Science Foundation of Hunan Province [2016JJ6039]</t>
  </si>
  <si>
    <t>National Natural Science Foundation of China(National Natural Science Foundation of China (NSFC)); Natural Science Foundation of Hunan Province(Natural Science Foundation of Hunan Province)</t>
  </si>
  <si>
    <t>This work was jointly funded by the National Natural Science Foundation of China (41503062, 41702129, and 41673070), and Natural Science Foundation of Hunan Province (2016JJ6039). We thank Changming Xing for helping with the EPMA analysis. Three anonymous reviewers are thanked for their constructive comments and suggestions which greatly improved the quality of this paper.</t>
  </si>
  <si>
    <t>2075-163X</t>
  </si>
  <si>
    <t>MINERALS-BASEL</t>
  </si>
  <si>
    <t>Minerals</t>
  </si>
  <si>
    <t>10.3390/min8040139</t>
  </si>
  <si>
    <t>Geochemistry &amp; Geophysics; Mineralogy; Mining &amp; Mineral Processing</t>
  </si>
  <si>
    <t>GI9XB</t>
  </si>
  <si>
    <t>WOS:000434883100019</t>
  </si>
  <si>
    <t>Dill, HG; Goldmann, S; Cravero, F</t>
  </si>
  <si>
    <t>Dill, Harald G.; Goldmann, Simon; Cravero, Fernanda</t>
  </si>
  <si>
    <t>Zr-Ti-Fe placers along the coast of NE Argentina: Provenance analysis and ore guide for the metallogenesis in the South Atlantic Ocean</t>
  </si>
  <si>
    <t>ORE GEOLOGY REVIEWS</t>
  </si>
  <si>
    <t>Zr-Ti-Fe placers; Wave-dominated; Heavy minerals; Anorogenic and orogenic source rocks; Argentina</t>
  </si>
  <si>
    <t>KALAHARI MANGANESE FIELD; MASSIF-TYPE ANORTHOSITES; BAHIA-BLANCA-ESTUARY; GRANITIC PEGMATITE; HEAVY MINERALS; RUTILE GEOCHEMISTRY; NORTHERN PATAGONIA; DETRITAL RUTILE; NIOBIAN RUTILE; MANTLE PLUMES</t>
  </si>
  <si>
    <t>The Zr-Ti-Fe placers along the coast of Rio Negro and Buenos Aires Provinces, Argentina, evolved within the reaches of the Malvinas Current (1st order hydrodynamic regime). Together with some regional 2nd order local currents it is of major influence on the mineral assemblage of these terrigenous linear shoreline deposits. The nearshore-marine placers came into being in a macro- to mesotidal (San Matias Gulf) and meso- to microtidal regime (Bahia Blanca Estuary).The modern-day placers under study result from a transgressive regime with only moderate detrital input by the contemporaneous river drainage systems. The proto-placers are hallmarked among the heavy minerals (HM) by changes in the redox system which affected predominantly the Fe-Ti oxides and lead to pseudobrookites and kleberite. Light minerals (LM) in the present-day placers played a different role which is mirrored by changes in the alkalinity of the intragranular fluid system. As far as the environment of deposition is concerned in these shoreline deposits, the dune belt and backshore are most prospective as to the concentration of magnetic and non-magnetic HM. The HM assemblage of the coastal placers is a mirror image of the Afro-American part of Gondwana and its break-up history during the Mesozoic and Cenozoic. The HM reflect the alternating orogenic and anorogenic geodynamic processes operative along the passive margin of both continents. While the orogenic regimes contributed to the accumulation of metallogenetically irrelevant HM (e.g. alumosilicates, spinel, garnet, amphibole) of the placers, the anorogenic geodynamic regime may be held accountable for the target elements in the placer deposits Zr, Ti and Fe. Fe-Ti oxides (rutile, ilmenite-titanohematites, titanomagnetites) and zircon form placer deposits in their own rights with zircon playing an additional minor role also as ore guide to rift-related deposits. Titanium dioxides (Nb-Ta rutile s.s.s., struverite) and Nb titanite take the most prominent role as ore guides to rare element-bearing pegmatites, alkali magmatic rocks and carbonatites. In conclusion, the HM suite encountered in the placer deposits denotes a hot-spot mineralization at a triple junction of the South Atlantic, the Antarctic and the Proto-Iapetus Oceans. The Zr-Ti-Fe placer deposits are part of the clastic halo or expressed metaphorical as remnants of this hot-spot metallogenesis encompassing anorogenic Nb-Ta deposits related to alkaline-magmatic rocks, Skaergaard-type Fe-concentration and anorthosite-hosted Fe-Ti deposits.</t>
  </si>
  <si>
    <t>[Dill, Harald G.] Gottfried Wilhelm Leibniz Univ, Welfengarten 1, D-30167 Hannover, Germany; [Goldmann, Simon] Bundesanstalt Geowissensch &amp; Rohstoffe, POB 510163, D-30631 Hannover, Germany; [Cravero, Fernanda] Ctr Tecnol Recursos Minerales &amp; Ceram, Cno Centenario &amp; 506,B1897ZCA, Gonnet La Plata, Argentina</t>
  </si>
  <si>
    <t>Leibniz University Hannover</t>
  </si>
  <si>
    <t>Dill, HG (corresponding author), Gottfried Wilhelm Leibniz Univ, Welfengarten 1, D-30167 Hannover, Germany.</t>
  </si>
  <si>
    <t>haralddill@web.de</t>
  </si>
  <si>
    <t>Dill, Harald Gerold/JEF-6442-2023</t>
  </si>
  <si>
    <t>0169-1368</t>
  </si>
  <si>
    <t>1872-7360</t>
  </si>
  <si>
    <t>ORE GEOL REV</t>
  </si>
  <si>
    <t>Ore Geol. Rev.</t>
  </si>
  <si>
    <t>10.1016/j.oregeorev.2018.02.025</t>
  </si>
  <si>
    <t>Geology; Mineralogy; Mining &amp; Mineral Processing</t>
  </si>
  <si>
    <t>GG5UF</t>
  </si>
  <si>
    <t>WOS:000432760500009</t>
  </si>
  <si>
    <t>Kleinteich, J; Puddick, J; Wood, SA; Hildebrand, F; Laughinghouse, HD; Pearce, DA; Dietrich, DR; Wilmotte, A</t>
  </si>
  <si>
    <t>Kleinteich, Julia; Puddick, Jonathan; Wood, Susanna A.; Hildebrand, Falk; Laughinghouse, H. Dail; Pearce, David A.; Dietrich, Daniel R.; Wilmotte, Annick</t>
  </si>
  <si>
    <t>Toxic Cyanobacteria in Svalbard: Chemical Diversity of Microcystins Detected Using a Liquid Chromatography Mass Spectrometry Precursor Ion Screening Method</t>
  </si>
  <si>
    <t>TOXINS</t>
  </si>
  <si>
    <t>arctic; benthic mats; cyanotoxins; ELISA; 16S rRNA gene</t>
  </si>
  <si>
    <t>MCMURDO ICE SHELF; MATS; WATER; IDENTIFICATION; ANTARCTICA; ENVIRONMENTS; COMMUNITIES; SEQUENCES; STRAIN; NORWAY</t>
  </si>
  <si>
    <t>Cyanobacteria synthesize a large variety of secondary metabolites including toxins. Microcystins (MCs) with hepato- and neurotoxic potential are well studied in bloom-forming planktonic species of temperate and tropical regions. Cyanobacterial biofilms thriving in the polar regions have recently emerged as a rich source for cyanobacterial secondary metabolites including previously undescribed congeners of microcystin. However, detection and detailed identification of these compounds is difficult due to unusual sample matrices and structural congeners produced. We here report a time-efficient liquid chromatography-mass spectrometry (LC-MS) precursor ion screening method that facilitates microcystin detection and identification. We applied this method to detect six different MC congeners in 8 out of 26 microbial mat samples of the Svalbard Archipelago in the Arctic. The congeners, of which [Asp(3), ADMAdda(5), Dhb(7)] MC-LR was most abundant, were similar to those reported in other polar habitats. Microcystins were also determined using an Adda-specific enzyme-linked immunosorbent assay (Adda-ELISA). Nostoc sp. was identified as a putative toxin producer using molecular methods that targeted 16S rRNA genes and genes involved in microcystin production. The mcy genes detected showed highest similarities to other Arctic or Antarctic sequences. The LC-MS precursor ion screening method could be useful for microcystin detection in unusual matrices such as benthic biofilms or lichen.</t>
  </si>
  <si>
    <t>[Kleinteich, Julia] Eberhard Karls Univ Tubingen, Ctr Appl Geosci, Holderlinstr 12, D-72074 Tubingen, Germany; [Kleinteich, Julia; Wilmotte, Annick] Univ Liege, In Bios Ctr Prot Engn, BCCM ULC, B6, B-4000 Liege, Belgium; [Puddick, Jonathan; Wood, Susanna A.] Cawthron Inst, Halifax St East, Nelson 7010, New Zealand; [Hildebrand, Falk] European Mol Biol Lab, Struct &amp; Computat Biol, Meyerhofstr 1, D-69117 Heidelberg, Germany; [Laughinghouse, H. Dail] Univ Florida, Ft Lauderdale Res &amp; Educ Ctr, Davie, FL 33314 USA; [Pearce, David A.] Univ Northumbria Newcastle, Dept Appl Sci, Fac Hlth &amp; Life Sci, Newcastle Upon Tyne NE1 8ST, Tyne &amp; Wear, England; [Pearce, David A.] British Antarctic Survey, Cambridge CB3 0ET, England; [Dietrich, Daniel R.] Univ Konstanz, Human &amp; Environm Toxicol, D-78457 Constance, Germany</t>
  </si>
  <si>
    <t>Eberhard Karls University of Tubingen; University of Liege; Cawthron Institute; European Molecular Biology Laboratory (EMBL); State University System of Florida; University of Florida; Northumbria University; UK Research &amp; Innovation (UKRI); Natural Environment Research Council (NERC); NERC British Antarctic Survey; University of Konstanz</t>
  </si>
  <si>
    <t>Kleinteich, J (corresponding author), Eberhard Karls Univ Tubingen, Ctr Appl Geosci, Holderlinstr 12, D-72074 Tubingen, Germany.;Kleinteich, J (corresponding author), Univ Liege, In Bios Ctr Prot Engn, BCCM ULC, B6, B-4000 Liege, Belgium.</t>
  </si>
  <si>
    <t>Julia.Kleinteich@gmail.com; jonathan.puddick@cawthron.org.nz; susie.wood@cawthron.org.nz; falk.hildebrand@gmail.com; hlaughinghouse@ufl.edu; david.pearce@northumbria.ac.uk; daniel.dietrich@uni-konstanz.de; awilmotte@uliege.be</t>
  </si>
  <si>
    <t>Laughinghouse, Haywood Dail/M-5836-2016; Dietrich, Daniel/AAP-8698-2021; Wilmotte, Annick/H-1686-2011; Hildebrand, Falk/K-1914-2014</t>
  </si>
  <si>
    <t>Laughinghouse, Haywood Dail/0000-0003-1018-6948; Wood, Susanna/0000-0003-1976-8266; Hildebrand, Falk/0000-0002-0078-8948; Wilmotte, Annick/0000-0003-3546-3489; Pearce, David/0000-0001-5292-4596; Puddick, Jonathan/0000-0001-7000-9180</t>
  </si>
  <si>
    <t>Carl-ZEISS foundation at the University of Konstanz; Fonds de la Recherche Scientifique (FNRS); Marsden Fund of the Royal Society of New Zealand [12-UOW-087, CAW1601]; Royal Society of New Zealand International Research Staff Exchange Scheme grant (MEAT) [295223]; European Union's Horizon 2020 research and innovation program under the Marie Sklodowska-Curie grant [600375]; Svalbard Science Forum [RiS-ID: 6206]; FNRS [2.4.570.09.F]; Antarctic Science Bursary; Federation of European Microbiological Societies (FEMS) conference grant; Deutsche Forschungsgemeinschaft; Open Access Publishing Fund of University of Tubingen; BW-Wassernetzwerk Baden-Wurttemberg; Marie Curie COFUND; NERC [bas0100035] Funding Source: UKRI</t>
  </si>
  <si>
    <t>Carl-ZEISS foundation at the University of Konstanz; Fonds de la Recherche Scientifique (FNRS)(Fonds de la Recherche Scientifique - FNRS); Marsden Fund of the Royal Society of New Zealand(Royal Society of New ZealandMarsden Fund (NZ)); Royal Society of New Zealand International Research Staff Exchange Scheme grant (MEAT); European Union's Horizon 2020 research and innovation program under the Marie Sklodowska-Curie grant(European Union (EU)); Svalbard Science Forum; FNRS(Fonds de la Recherche Scientifique - FNRS); Antarctic Science Bursary; Federation of European Microbiological Societies (FEMS) conference grant; Deutsche Forschungsgemeinschaft(German Research Foundation (DFG)); Open Access Publishing Fund of University of Tubingen; BW-Wassernetzwerk Baden-Wurttemberg; Marie Curie COFUND(European Union (EU)); NERC(UK Research &amp; Innovation (UKRI)Natural Environment Research Council (NERC))</t>
  </si>
  <si>
    <t>This work was funded with a stipend for J.K. by the Carl-ZEISS foundation at the University of Konstanz followed by a Marie Curie COFUND funded post-doctoral position at the University of Liege, Belgium. J.K. and H.D.L. would like to acknowledge the Fonds de la Recherche Scientifique (FNRS) for travel stipends. S.A.W., J.P. and D.R.D. thank the Marsden Fund of the Royal Society of New Zealand (12-UOW-087-Toxic in Crowds and CAW1601-Blooming Buddies) and the Royal Society of New Zealand International Research Staff Exchange Scheme grant (MEAT Agreement 295223) for funding. D.R.D. would like to acknowledge the support of BW-Wassernetzwerk Baden-Wurttemberg. F.H. was supported by the European Union's Horizon 2020 research and innovation program under the Marie Sklodowska-Curie grant agreement No 600375. J.K. would like to thank UNIS and the Norwegian Government for the Arctic Microbiology course and the teaching staff for the course in 2012. H.D.L. would like to acknowledge the Svalbard Science Forum under the project # RiS-ID: 6206 and the FNRS for a post-doctoral fellowship in the BIPOLE project (2.4.570.09.F). We would like to thank the Antarctic Science Bursary for funding the 454 sequencing and the Federation of European Microbiological Societies (FEMS) conference grant. A.W. is Research Associate of the FRS-FNRS of Belgium. We acknowledge support by the Deutsche Forschungsgemeinschaft and the Open Access Publishing Fund of University of Tubingen.</t>
  </si>
  <si>
    <t>2072-6651</t>
  </si>
  <si>
    <t>Toxins</t>
  </si>
  <si>
    <t>10.3390/toxins10040147</t>
  </si>
  <si>
    <t>Food Science &amp; Technology; Toxicology</t>
  </si>
  <si>
    <t>GJ3HU</t>
  </si>
  <si>
    <t>WOS:000435183700018</t>
  </si>
  <si>
    <t>Martínez, C; Briones, F; Villarroel, M; Vera, R</t>
  </si>
  <si>
    <t>Martinez, Carola; Briones, Francisco; Villarroel, Maria; Vera, Rosa</t>
  </si>
  <si>
    <t>Effect of Atmospheric Corrosion on the Mechanical Properties of SAE 1020 Structural Steel</t>
  </si>
  <si>
    <t>MATERIALS</t>
  </si>
  <si>
    <t>stress-strain test; structural steel; atmospheric corrosion; atmospheric parameters; XRD analysis</t>
  </si>
  <si>
    <t>CARBON-STEEL; DIFFERENT ENVIRONMENTS; GALVANIZED STEEL; CHILE; EXPOSURE; TENSILE; IRON; THICKNESS; BEHAVIOR; COPPER</t>
  </si>
  <si>
    <t>Resistance to atmospheric corrosion in different environments located in Chile and the corrosion's effect on the mechanical properties of SAE 1020 steel were studied. Atmospheric corrosivity categories at each station under study were determined. These categories were C2, for Laja; C3 and C4, for the Arica and Antarctic stations, respectively; and the most aggressive, C5 and higher at Quintero. These specific environments significantly influenced the mechanical responses of steel exposed for 36 months. Rupture elongation, the modulus of toughness, ultimate tensile strength, and hardness of the material all decreased as a function of environmental atmospheric aggressiveness. Lowered ductility is the result of the increased corrosion rate due to the high deposition of chlorides. This is due to the morphology of material degradation, which consequently occurs as pores, microstrains, and other defects that promote early rupture of the steel.</t>
  </si>
  <si>
    <t>[Martinez, Carola; Villarroel, Maria; Vera, Rosa] Pontificia Univ Catolica Valparaiso, Inst Quim, Lab Corros, Ave Univ 330, Valparaiso 3100000, Chile; [Briones, Francisco] Pontificia Univ Catolica Valparaiso, Escuela Ingn Mecan, Carrera 01567, Quilpue 2430120, Chile</t>
  </si>
  <si>
    <t>Pontificia Universidad Catolica de Valparaiso; Pontificia Universidad Catolica de Valparaiso</t>
  </si>
  <si>
    <t>Martínez, C (corresponding author), Pontificia Univ Catolica Valparaiso, Inst Quim, Lab Corros, Ave Univ 330, Valparaiso 3100000, Chile.</t>
  </si>
  <si>
    <t>carola.martinezu@usach.cl; francisco.briones.cgl@gmail.com; maria.villarroel.m@pucv.cl; rosa.vera@pucv.cl</t>
  </si>
  <si>
    <t>Briones, Francisco/F-9537-2019; Ugalde, Carola Martinez/S-2364-2019</t>
  </si>
  <si>
    <t>Ugalde, Carola Martinez/0000-0001-5247-6703; Briones, Francisco Guillermo/0000-0003-4481-2978</t>
  </si>
  <si>
    <t>Chilean government through Innova-CORFO [09CN14-5879]; Department of Studies of the Pontificia Universidad Catolica de Valparaiso</t>
  </si>
  <si>
    <t>Chilean government through Innova-CORFO; Department of Studies of the Pontificia Universidad Catolica de Valparaiso</t>
  </si>
  <si>
    <t>The authors are grateful for the financial support of the Chilean government, through the funds of the Innova-CORFO Project No. 09CN14-5879 and the Department of Studies of the Pontificia Universidad Catolica de Valparaiso.</t>
  </si>
  <si>
    <t>1996-1944</t>
  </si>
  <si>
    <t>Materials</t>
  </si>
  <si>
    <t>10.3390/ma11040591</t>
  </si>
  <si>
    <t>Chemistry, Physical; Materials Science, Multidisciplinary; Metallurgy &amp; Metallurgical Engineering; Physics, Applied; Physics, Condensed Matter</t>
  </si>
  <si>
    <t>Chemistry; Materials Science; Metallurgy &amp; Metallurgical Engineering; Physics</t>
  </si>
  <si>
    <t>GI7VJ</t>
  </si>
  <si>
    <t>WOS:000434710200133</t>
  </si>
  <si>
    <t>Barrett, RS; Davy, B; Stern, T; Gohl, K</t>
  </si>
  <si>
    <t>Barrett, R. S.; Davy, B.; Stern, T.; Gohl, K.</t>
  </si>
  <si>
    <t>The Strike-Slip West Wishbone Ridge and the Eastern Margin of the Hikurangi Plateau</t>
  </si>
  <si>
    <t>oceanic strike-slip fault; Cretaceous; plate tectonics; Gondwana break-up; Hikurangi Plateau; oceanic crust</t>
  </si>
  <si>
    <t>LARGE IGNEOUS PROVINCE; NEW-ZEALAND REGION; TECTONIC RECONSTRUCTION; OSBOURN TROUGH; SOUTH-PACIFIC; SUBDUCTION; GONDWANA; ANTARCTICA; EVOLUTION; GEOCHEMISTRY</t>
  </si>
  <si>
    <t>The West Wishbone Ridge (WWR), east of New Zealand, has previously been interpreted as a Cretaceous plate boundary, although both the nature and timing of motion along this feature have been disputed. Here, using recently acquired seismic reflection data from the region of the intersection of the WWR with the Chatham Rise, we show that the WWR was primarily a dextral strike-slip fault during the Late Cretaceous. The WWR first propagated along the eastern margin of the Hikurangi Plateau after the collision of the Hikurangi Plateau with the Chatham Rise, in response to the slowing of spreading at the Osbourn Trough while spreading continued unabated east of the East Wishbone Ridge, from ca. 105 Ma. Reorientation of spreading at the Osbourn Trough at this time resulted in short-lived, oblique subduction beneath the southern extent of the WWR. Motion along the WWR likely ceased with the cessation of Osbourn Trough spreading. Using our seismic reflection data and gravity modeling across those same profiles, we locate, for the first time, the eastern boundary of the Hikurangi Plateau between 42-43 degrees S. We also find anomalously thick oceanic crust (approximate to 12 km thick) north of the Hikurangi Plateau. Matching tectonic fabric and fracture zone links between the East Wishbone Ridge and the De Gerlache Gravity Anomaly near Ellsworth Land on the West Antarctic margin indicates that these features were linked or parallel during the Late Cretaceous, and fed strike-slip motion southward into the Gondwana interior, contributing to the onset of Gondwana rifting ca. 85 Ma.</t>
  </si>
  <si>
    <t>[Barrett, R. S.; Stern, T.] Victoria Univ Wellington, Inst Geophys, Wellington, New Zealand; [Barrett, R. S.] Christian Albrechts Univ Kiel, Inst Geophys, Kiel, Germany; [Davy, B.] GNS Sci, Lower Hutt, New Zealand; [Gohl, K.] Helmholtz Ctr Polar &amp; Marine Res, Alfred Wegener Inst, Dept Geosci, Bremerhaven, Germany</t>
  </si>
  <si>
    <t>Victoria University Wellington; University of Kiel; GNS Science - New Zealand; Helmholtz Association; Alfred Wegener Institute, Helmholtz Centre for Polar &amp; Marine Research</t>
  </si>
  <si>
    <t>Barrett, RS (corresponding author), Victoria Univ Wellington, Inst Geophys, Wellington, New Zealand.;Barrett, RS (corresponding author), Christian Albrechts Univ Kiel, Inst Geophys, Kiel, Germany.</t>
  </si>
  <si>
    <t>rachel.barrett@ifg.uni-kiel.de</t>
  </si>
  <si>
    <t>Barrett, Rachel/AAS-4686-2021; Davy, Bryan/I-6769-2013</t>
  </si>
  <si>
    <t>Barrett, Rachel/0000-0001-6463-4473; Gohl, Karsten/0000-0002-9558-2116; Davy, Bryan/0000-0003-1926-1393</t>
  </si>
  <si>
    <t>German Federal Ministry for Education and Research (BMBF) through RV Sonne project grant [03G0246A]; Alfred Wegener Institute through its Research Program PACES-II, Workpackage 3.2; GNS Science EEZ Research Program; Rachael Westergaard Memorial Scholarship (VUW)</t>
  </si>
  <si>
    <t>German Federal Ministry for Education and Research (BMBF) through RV Sonne project grant; Alfred Wegener Institute through its Research Program PACES-II, Workpackage 3.2; GNS Science EEZ Research Program; Rachael Westergaard Memorial Scholarship (VUW)</t>
  </si>
  <si>
    <t>We are grateful to Captain Oliver Meyer and his crew for their support of the scientific teams during the SO-246 cruise, and for the comments of three anonymous reviewers, whose feedback greatly helped this manuscript. This project was funded by the German Federal Ministry for Education and Research (BMBF) through RV Sonne project grant 03G0246A, the Alfred Wegener Institute through its Research Program PACES-II, Workpackage 3.2, and the GNS Science EEZ Research Program. RB was supported by the Rachael Westergaard Memorial Scholarship (VUW). The data are available from the institutional databases of the Alfred Wegener Institute and of GNS Science.</t>
  </si>
  <si>
    <t>10.1002/2017GC007372</t>
  </si>
  <si>
    <t>GI1DJ</t>
  </si>
  <si>
    <t>WOS:000434110500013</t>
  </si>
  <si>
    <t>Hartley, DP; Kletzing, CA; Santolik, O; Chen, L; Horne, RB</t>
  </si>
  <si>
    <t>Hartley, D. P.; Kletzing, C. A.; Santolik, O.; Chen, L.; Horne, R. B.</t>
  </si>
  <si>
    <t>Statistical Properties of Plasmaspheric Hiss From Van Allen Probes Observations</t>
  </si>
  <si>
    <t>plasmaspheric hiss; EMFISIS; Van Allen Probes; wave normal angle; bimodal; chorus waves</t>
  </si>
  <si>
    <t>RADIATION BELT ELECTRONS; DISCRETE CHORUS EMISSIONS; WHISTLER-MODE WAVES; PROPAGATION ANALYSIS; SHEATH IMPEDANCE; EFW INSTRUMENT; FINE-STRUCTURE; MAGNETOSPHERE; GENERATION; ORIGIN</t>
  </si>
  <si>
    <t>Van Allen Probes observations are used to statistically investigate plasmaspheric hiss wave properties. This analysis shows that the wave normal direction of plasmaspheric hiss is predominantly field aligned at larger L shells, with a bimodal distribution, consisting of a near-field aligned and a highly oblique component, becoming apparent at lower L shells. Investigation of this oblique population reveals that it is most prevalent at L &lt; 3, frequencies with f/f(ce) &gt; 0.01 (or f &gt; 700 Hz), low geomagnetic activity levels, and between 1900 and 0900 magnetic local time. This structure is similar to that reported for oblique chorus waves in the equatorial region, perhaps suggesting a causal link between the two wave modes. Ray tracing results from HOTRAY confirm that it is feasible for these oblique chorus waves to be a source of the observed oblique plasmaspheric hiss population. The decrease in oblique plasmaspheric hiss occurrence rates during more elevated geomagnetic activity levels may be attributed to the increase in Landau resonant electrons causing oblique chorus waves to be more substantially damped outside of the plasmasphere. In turn, this restricts the amount of wave power that can access the plasmasphere and evolve into oblique plasmaspheric hiss. These results confirm that, despite the difference in location of this bimodal distribution compared to previous studies, a direct link between oblique equatorial chorus outside of the plasmasphere and oblique hiss at low L shells is plausible. As such, these results are in keeping with the existing theory of chorus as the source of plasmaspheric hiss.</t>
  </si>
  <si>
    <t>[Hartley, D. P.; Kletzing, C. A.] Univ Iowa, Dept Phys &amp; Astron, Iowa City, IA 52242 USA; [Santolik, O.] Inst Atmospher Phys, Dept Space Phys, Prague, Czech Republic; [Santolik, O.] Charles Univ Prague, Fac Math &amp; Phys, Prague, Czech Republic; [Chen, L.] Univ Texas Dallas, Dept Phys, Richardson, TX 75083 USA; [Horne, R. B.] British Antarctic Survey, Cambridge, England</t>
  </si>
  <si>
    <t>University of Iowa; Czech Academy of Sciences; Institute of Atmospheric Physics of the Czech Academy of Sciences; Charles University Prague; University of Texas System; University of Texas Dallas; UK Research &amp; Innovation (UKRI); Natural Environment Research Council (NERC); NERC British Antarctic Survey</t>
  </si>
  <si>
    <t>Hartley, DP (corresponding author), Univ Iowa, Dept Phys &amp; Astron, Iowa City, IA 52242 USA.</t>
  </si>
  <si>
    <t>david-hartley@uiowa.edu</t>
  </si>
  <si>
    <t>Horne, Richard B/U-3764-2019; Chen, Lunjin/L-1250-2013; Santolik, Ondrej/F-7766-2014</t>
  </si>
  <si>
    <t>Horne, Richard B/0000-0002-0412-6407; Kletzing, Craig/0000-0002-4136-3348; Hartley, David/0000-0001-8630-8054; Chen, Lunjin/0000-0003-2489-3571; Santolik, Ondrej/0000-0002-4891-9273</t>
  </si>
  <si>
    <t>JHU/APL under NASA [921647, NAS5-01072]; Praemium Academiae award; NSF [1405041]; Natural Environment Research Council [NE/P01738X/1]; [LTAUSA17070]; [GACR17-07027S]; NERC [bas0100031, NE/P01738X/1] Funding Source: UKRI</t>
  </si>
  <si>
    <t>JHU/APL under NASA; Praemium Academiae award; NSF(National Science Foundation (NSF)); Natural Environment Research Council(UK Research &amp; Innovation (UKRI)Natural Environment Research Council (NERC)); ; ; NERC(UK Research &amp; Innovation (UKRI)Natural Environment Research Council (NERC))</t>
  </si>
  <si>
    <t>This work was performed under the support of JHU/APL contract 921647 under NASA Prime contract NAS5-01072. EMFISIS data may be obtained from http://emfisis.physics.uiowa.edu/data/index. O. S. acknowledges support from grants LTAUSA17070, GACR17-07027S, and from the Praemium Academiae award. L. C. acknowledge NSF grant 1405041 through the Geospace Environment Modeling program. R. B. H. acknowledges support from the Natural Environment Research Council grant NE/P01738X/1 (Rad-Sat).</t>
  </si>
  <si>
    <t>10.1002/2017JA024593</t>
  </si>
  <si>
    <t>GH5TD</t>
  </si>
  <si>
    <t>WOS:000433498400010</t>
  </si>
  <si>
    <t>Forsyth, C; Shortt, M; Coxon, JC; Rae, IJ; Freeman, MP; Kalmoni, NME; Jackman, CM; Anderson, BJ; Milan, SE; Burrell, AG</t>
  </si>
  <si>
    <t>Forsyth, C.; Shortt, M.; Coxon, J. C.; Rae, I. J.; Freeman, M. P.; Kalmoni, N. M. E.; Jackman, C. M.; Anderson, B. J.; Milan, S. E.; Burrell, A. G.</t>
  </si>
  <si>
    <t>Seasonal and Temporal Variations of Field-Aligned Currents and Ground Magnetic Deflections During Substorms</t>
  </si>
  <si>
    <t>field-aligned currents; substorms; space weather; AMPERE; SOPHIE; seasonal variability</t>
  </si>
  <si>
    <t>MAGNETOSPHERE-IONOSPHERE SYSTEM; SCALE BIRKELAND CURRENTS; SUPERPOSED EPOCH ANALYSIS; SOLAR-WIND; CURRENT WEDGE; AURORAL SUBSTORMS; PLASMA SHEET; GEOMAGNETIC-ACTIVITY; SWARM CONSTELLATION; MAGNETOMETER DATA</t>
  </si>
  <si>
    <t>Field-aligned currents (FACs), also known as Birkeland currents, are the agents by which energy and momentum are transferred to the ionosphere from the magnetosphere and solar wind. This coupling is enhanced at substorm onset through the formation of the substorm current wedge. Using FAC data from the Active Magnetosphere and Planetary Electrodynamics Response Experiment and substorm expansion phase onsets identified using the Substorm Onsets and Phases from Indices of the Electrojet technique, we examine the Northern Hemisphere FACs in all local time sectors with respect to substorm onset and subdivided by season. Our results show that while there is a strong seasonal dependence on the underlying FACs, the increase in FACs following substorm onset only varies by 10% with season, with substorms increasing the hemispheric FACs by 420kA on average. Over an hour prior to substorm onset, the dayside currents in the postnoon quadrant increase linearly, whereas the nightside currents show a linear increase starting 20-30min before onset. After onset, the nightside Region 1, Region 2, and nonlocally closed currents and the SuperMAG AL (SML) index follow the Weimer (1994, https://doi.org/10.1029/93JA02721) model with the same time constants in each season. These results contrast earlier contradictory studies that indicate that substorms are either longer in the summer or decay faster in the summer. Our results imply that, on average, substorm FACs do not change with season but that their relative impact on the coupled magnetosphere-ionosphere system does due to the changes in the underlying currents. Plain Language Summary Earth is surrounded by electrical currents flowing in space. These currents, which can be 10,000 times greater than domestic electrical supplies, can flow along the Earth's magnetic field and into the upper atmosphere and are linked to aurora. The size of this current depends on atmospheric conditions, with the upper atmosphere being a better conductor when it is sunlit, and the interaction between particles flowing from the Sun and the Earth's magnetic field. During space weather events known as substorms, which happen several times per day on average, the aurora brightens massively and the currents flowing into the upper atmosphere increase. Using data from the Iridium communications satellites, the increase in this current can be measured. While the strength of the day-to-day current varies with season, as expected from simple models of the system, the increases due to these space weather events are the same throughout the year.</t>
  </si>
  <si>
    <t>[Forsyth, C.; Shortt, M.; Rae, I. J.; Kalmoni, N. M. E.] UCL, Mullard Space Sci Lab, Dorking, Surrey, England; [Coxon, J. C.; Jackman, C. M.] Univ Southampton, Dept Phys &amp; Astron, Southampton, Hants, England; [Freeman, M. P.] British Antarctic Survey, Cambridge, England; [Anderson, B. J.] Johns Hopkins Univ, Appl Phys Lab, Laurel, MD USA; [Milan, S. E.] Univ Leicester, Dept Phys &amp; Astron, Leicester, Leics, England; [Burrell, A. G.] Univ Texas Dallas, William B Hanson Ctr Space Sci, Dallas, TX USA</t>
  </si>
  <si>
    <t>University of London; University College London; University of Southampton; UK Research &amp; Innovation (UKRI); Natural Environment Research Council (NERC); NERC British Antarctic Survey; Johns Hopkins University; Johns Hopkins University Applied Physics Laboratory; University of Leicester; University of Texas System; University of Texas Dallas</t>
  </si>
  <si>
    <t>Forsyth, C (corresponding author), UCL, Mullard Space Sci Lab, Dorking, Surrey, England.</t>
  </si>
  <si>
    <t>colin.forsyth@ucl.ac.uk</t>
  </si>
  <si>
    <t>Coxon, John/AAN-9355-2021; Rae, Jonathan/D-8132-2013; Forsyth, Colin/E-4159-2010; Freeman, Mervyn/E-5687-2019</t>
  </si>
  <si>
    <t>Coxon, John/0000-0002-0166-6854; Rae, Jonathan/0000-0002-2637-4786; Forsyth, Colin/0000-0002-0026-8395; Milan, Steve/0000-0001-5050-9604; Burrell, Angeline/0000-0001-8875-9326; Freeman, Mervyn/0000-0002-8653-8279; Jackman, Caitriona/0000-0003-0635-7361</t>
  </si>
  <si>
    <t>Natural Environment Research Council (NERC) grants [NE/L007495/1, NE/M00886X/1, NE/L007177/1, NE/L006456/1]; NERC IRF [NE/N014480/1]; Science and Technology Facilities Council (STFC), UK [ST/N000722/1, ST/N000749/1]; STFC Ernest Rutherford Fellowship; STFC grant [ST/L002809/1]; NSF [ATM-0739864, AGS-142018]; NERC [NE/L007177/1, NE/P017150/1, NE/L007495/1, NE/R016038/1, bas0100031, NE/N014480/1, NE/L006456/1, NE/M00886X/1] Funding Source: UKRI; STFC [ST/N000722/1, ST/L002809/1, ST/N000749/1] Funding Source: UKRI</t>
  </si>
  <si>
    <t>Natural Environment Research Council (NERC) grants(UK Research &amp; Innovation (UKRI)Natural Environment Research Council (NERC)); NERC IRF(UK Research &amp; Innovation (UKRI)Natural Environment Research Council (NERC)); Science and Technology Facilities Council (STFC), UK(UK Research &amp; Innovation (UKRI)Science &amp; Technology Facilities Council (STFC)); STFC Ernest Rutherford Fellowship(UK Research &amp; Innovation (UKRI)Science &amp; Technology Facilities Council (STFC)); STFC grant(UK Research &amp; Innovation (UKRI)Science &amp; Technology Facilities Council (STFC)); NSF(National Science Foundation (NSF)); NERC(UK Research &amp; Innovation (UKRI)Natural Environment Research Council (NERC)); STFC(UK Research &amp; Innovation (UKRI)Science &amp; Technology Facilities Council (STFC))</t>
  </si>
  <si>
    <t>AMPERE data are available to download at ampere.jhuapl.edu. The substorm onsets from SOPHIE are included in the Supplementary Information of Forsyth et al. (2015). OMNI solar wind data are available from cdaweb.gsfc.nasa.gov. SuperMAG SML and SMU data are available from supermag.jhuapl.edu. We thank the AMPERE team and the AMPERE Science Center for providing the Iridium derived data products. For the ground magnetometer data we gratefully acknowledge the following: Intermagnet; USGS, Jeffrey J. Love; CARISMA, PI Ian Mann; CANMOS; the SRAMP Database, PI K. Yumoto and Dr. K. Shiokawa; the SPIDR database; AARI, PI Oleg Troshichev; the MACCS program, PI M. Engebretson, Geomagnetism Unit of the Geological Survey of Canada; GIMA; MEASURE, UCLA IGPP, and Florida Institute of Technology; SAMBA, PI Eftyhia Zesta; 210 Chain, PI K. Yumoto; SAMNET, PI Farideh Honary; the institutes who maintain the IMAGE magnetometer array, PI Eija Tanskanen; PENGUIN; AUTUMN, PI Martin Connors; DTU Space, PI Dr. Juergen Matzka; South Pole and McMurdo Magnetometer, PIs Louis J. Lanzarotti and Alan T. Weatherwax; ICESTAR; RAPIDMAG; PENGUIn; British Antarctic Survey; McMac, PI Dr. Peter Chi; BGS, PI Dr. Susan Macmillan; Pushkov Institute of Terrestrial Magnetism, Ionosphere and Radio Wave Propagation (IZMIRAN); GFZ, PI Dr. Juergen Matzka; MFGI, PI B. Heilig; IGFPAS, PI J. Reda; University of L'Aquila, PI M. Vellante; and SuperMAG, PI Jesper W. Gjerloev. C.F. and I.J.R. are funded in part by Natural Environment Research Council (NERC) grants NE/L007495/1 and NE/M00886X/1. C.F. is also funded by NERC IRF NE/N014480/1. I.J.R. and N.M.E.K. are funded by Science and Technology Facilities Council (STFC), UK, grant ST/N000722/1. C.M.J. and J.C.C. are funded by NERC grant NE/L007177/1. C.M.J. is also supported by an STFC Ernest Rutherford Fellowship, and J.C.C. is also funded by STFC grant ST/L002809/1. M.P.F.'s contribution is funded by NERC grant NE/L006456/1. S.E.M. was supported by the Science and Technology Facilities Council (STFC), UK, grant ST/N000749/1. Support for AMPERE has been provided under NSF sponsorship under grants ATM-0739864 and AGS-1420184.</t>
  </si>
  <si>
    <t>10.1002/2017JA025136</t>
  </si>
  <si>
    <t>Green Published, Green Accepted, hybrid</t>
  </si>
  <si>
    <t>WOS:000433498400016</t>
  </si>
  <si>
    <t>[Anonymous]</t>
  </si>
  <si>
    <t>Satellites and drones discover Antarctic penguin 'super-colonies'</t>
  </si>
  <si>
    <t>News Item</t>
  </si>
  <si>
    <t>GH4UY</t>
  </si>
  <si>
    <t>WOS:000433401600055</t>
  </si>
  <si>
    <t>Buchanan, PJ; Matear, RJ; Chase, Z; Phipps, SJ; Bindoff, NL</t>
  </si>
  <si>
    <t>Buchanan, P. J.; Matear, R. J.; Chase, Z.; Phipps, S. J.; Bindoff, N. L.</t>
  </si>
  <si>
    <t>Dynamic Biological Functioning Important for Simulating and Stabilizing Ocean Biogeochemistry</t>
  </si>
  <si>
    <t>nitrogen cycle; carbon cycle; marine ecosystem; phytoplankton; carbon dioxide; climate change</t>
  </si>
  <si>
    <t>HALF-SATURATION CONSTANTS; MODELS HISTORICAL BIAS; MARINE CARBON-CYCLE; NITROGEN-FIXATION; GLOBAL OCEAN; EXPORT PRODUCTION; ORGANIC-MATTER; NITRATE UPTAKE; ENVIRONMENTAL CONTROLS; SKILL ASSESSMENT</t>
  </si>
  <si>
    <t>The biogeochemistry of the ocean exerts a strong influence on the climate by modulating atmospheric greenhouse gases. In turn, ocean biogeochemistry depends on numerous physical and biological processes that change over space and time. Accurately simulating these processes is fundamental for accurately simulating the ocean's role within the climate. However, our simulation of these processes is often simplistic, despite a growing understanding of underlying biological dynamics. Here we explore how new parameterizations of biological processes affect simulated biogeochemical properties in a global ocean model. We combine 6 different physical realizations with 6 different biogeochemical parameterizations (36 unique ocean states). The biogeochemical parameterizations, all previously published, aim to more accurately represent the response of ocean biology to changing physical conditions. We make three major findings. First, oxygen, carbon, alkalinity, and phosphate fields are more sensitive to changes in the ocean's physical state. Only nitrate is more sensitive to changes in biological processes, and we suggest that assessment protocols for ocean biogeochemical models formally include the marine nitrogen cycle to assess their performance. Second, we show that dynamic variations in the production, remineralization, and stoichiometry of organic matter in response to changing environmental conditions benefit the simulation of ocean biogeochemistry. Third, dynamic biological functioning reduces the sensitivity of biogeochemical properties to physical change. Carbon and nitrogen inventories were 50% and 20% less sensitive to physical changes, respectively, in simulations that incorporated dynamic biological functioning. These results highlight the importance of a dynamic biology for ocean properties and climate.</t>
  </si>
  <si>
    <t>[Buchanan, P. J.; Chase, Z.; Phipps, S. J.; Bindoff, N. L.] Univ Tasmania, Inst Marine &amp; Antarctic Studies, Hobart, Tas, Australia; [Buchanan, P. J.; Matear, R. J.] CSIRO Marine Labs, CSIRO Oceans &amp; Atmosphere, Hobart, Tas, Australia; [Buchanan, P. J.; Bindoff, N. L.] Univ Tasmania, ARC Ctr Excellence Climate Syst Sci, Hobart, Tas, Australia; [Buchanan, P. J.; Phipps, S. J.; Bindoff, N. L.] Univ Tasmania, Antarctic Climate &amp; Ecosyst Cooperat Res Ctr, Hobart, Tas, Australia</t>
  </si>
  <si>
    <t>University of Tasmania; Commonwealth Scientific &amp; Industrial Research Organisation (CSIRO); University of Tasmania; ARC Centre of Excellence for Climate System Science; University of Tasmania; Antarctic Climate &amp; Ecosystems Cooperative Research Centre (ACE CRC)</t>
  </si>
  <si>
    <t>Buchanan, PJ (corresponding author), Univ Tasmania, Inst Marine &amp; Antarctic Studies, Hobart, Tas, Australia.;Buchanan, PJ (corresponding author), CSIRO Marine Labs, CSIRO Oceans &amp; Atmosphere, Hobart, Tas, Australia.;Buchanan, PJ (corresponding author), Univ Tasmania, ARC Ctr Excellence Climate Syst Sci, Hobart, Tas, Australia.;Buchanan, PJ (corresponding author), Univ Tasmania, Antarctic Climate &amp; Ecosyst Cooperat Res Ctr, Hobart, Tas, Australia.</t>
  </si>
  <si>
    <t>pearse.buchanan@utas.edu.au</t>
  </si>
  <si>
    <t>Bindoff, Nathaniel Lee/C-8050-2011; Buchanan, Pearse/JZE-1421-2024; Buchanan, Pearse/O-1242-2019; Bindoff, Nathaniel Lee/IVV-0333-2023; matear, richard/C-5133-2011; Phipps, Steven/B-3135-2008; Chase, Zanna/E-9232-2013</t>
  </si>
  <si>
    <t>Bindoff, Nathaniel Lee/0000-0001-5662-9519; Buchanan, Pearse/0000-0001-7142-882X; Bindoff, Nathaniel Lee/0000-0001-5662-9519; matear, richard/0000-0002-3225-0800; Phipps, Steven/0000-0001-5657-8782; Chase, Zanna/0000-0001-5060-779X</t>
  </si>
  <si>
    <t>Australian Research Council's Special Research Initiative for the Antarctic Gateway Partnership [SR140300001]</t>
  </si>
  <si>
    <t>Australian Research Council's Special Research Initiative for the Antarctic Gateway Partnership(Australian Research Council)</t>
  </si>
  <si>
    <t>We wish to thank the Australian Research Council's Centre of Excellence for Climate System Science and the Tasmanian Partnership for Advanced Computing (TPAC) for facilitating the research. This research was supported under the Australian Research Council's Special Research Initiative for the Antarctic Gateway Partnership (Project ID SR140300001). The authors wish to acknowledge the use of the Ferret program for the analysis undertaken in this work. Ferret is a product of NOAA's Pacific Marine Environmental Laboratory (Information is available at http://ferret.pmel.noaa.gov/Ferret/). The matplotlib package (Hunter, 2007), Iris and Cartopy packages (http://scitools.org.uk/), and the cmocean package (Thyng et al., 2016) were all used for producing the figures. We acknowledge the World Climate Research Programme's Working Group on Coupled Modelling, which is responsible for CMIP, and we thank the climate modeling groups (listed in Table 1 of this paper)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 Finally, we would like to thank Tim DeVries, Stephanie Downes, and the biogeochemistry discussion group at the Institute of Marine and Antarctic Studies for providing feedback and advice.</t>
  </si>
  <si>
    <t>10.1002/2017GB005753</t>
  </si>
  <si>
    <t>GF5FL</t>
  </si>
  <si>
    <t>WOS:000431991800004</t>
  </si>
  <si>
    <t>Baatsen, MLJ; von der Heydt, AS; Kliphuis, M; Viebahn, J; Dijkstra, HA</t>
  </si>
  <si>
    <t>Baatsen, M. L. J.; von der Heydt, A. S.; Kliphuis, M.; Viebahn, J.; Dijkstra, H. A.</t>
  </si>
  <si>
    <t>Multiple states in the late Eocene ocean circulation</t>
  </si>
  <si>
    <t>GLOBAL AND PLANETARY CHANGE</t>
  </si>
  <si>
    <t>Paleobathymetry; Global ocean circulation; Multiple states; Past climate transitions</t>
  </si>
  <si>
    <t>ANTARCTIC GLACIATION; BOUNDARY-CONDITIONS; DRAKE PASSAGE; CLIMATE; ATLANTIC; MODEL; MA</t>
  </si>
  <si>
    <t>The Eocene-Oligocene Transition (EOT) marks a major step within the Cenozoic climate in going from a greenhouse into an icehouse state, with the formation of a continental-scale Antarctic ice sheet. The roles of steadily decreasing CO2 concentrations versus changes in ocean circulation at the EOT are still debated and the threshold for Antarctic glaciation is obscured by uncertainties in global geometry. Here, a detailed study of the late Eocene ocean circulation is carried out using an ocean general circulation model under two slightly different geography reconstructions of the middle-to-late Eocene (38 Ma). Using the same atmospheric forcing, both geographies give a profoundly different equilibrium ocean circulation state. The underlying reason for this sensitivity is the presence of multiple equilibria characterised by either North or South Pacific deep water formation. A possible shift from a southern towards a northern overturning circulation would result in significant changes in the global heat distribution and consequently make the Southern Hemisphere climate more susceptible for significant cooling and ice sheet formation on Antarctica.</t>
  </si>
  <si>
    <t>[Baatsen, M. L. J.; von der Heydt, A. S.; Kliphuis, M.; Dijkstra, H. A.] Univ Utrecht, Dept Phys &amp; Astron, Inst Marine &amp; Atmospher Res Utrecht, Princetonpl 5, NL-3584 CC Utrecht, Netherlands; [Viebahn, J.] CWI, Amsterdam, Netherlands</t>
  </si>
  <si>
    <t>Baatsen, MLJ (corresponding author), Univ Utrecht, Dept Phys &amp; Astron, Inst Marine &amp; Atmospher Res Utrecht, Princetonpl 5, NL-3584 CC Utrecht, Netherlands.</t>
  </si>
  <si>
    <t>m.l.j.baatsen@uu.nl; a.s.vonderheydt@uu.nl; m.kliphuis@uu.nl; j.viebahn@cwi.nl; h.a.dijkstra@uu.nl</t>
  </si>
  <si>
    <t>Dijkstra, Henk A./H-2559-2016; von der Heydt, Anna/B-9250-2008</t>
  </si>
  <si>
    <t>von der Heydt, Anna/0000-0002-5557-3282; Baatsen, Michiel/0000-0002-0123-7005</t>
  </si>
  <si>
    <t>NWO [SH-209-14]</t>
  </si>
  <si>
    <t>NWO(Netherlands Organization for Scientific Research (NWO))</t>
  </si>
  <si>
    <t>We thank Matt Huber (Purdue University) for the discussions in relation to this work and for providing the atmospheric forcing data for the ocean model simulations. This work was carried out under the program of the Netherlands Earth System Science Centre (NESSC). The computations were done on the Cartesius system at SURFsara in Amsterdam. The use of the SURFsara computing facilities was sponsored by NWO under the project SH-209-14.</t>
  </si>
  <si>
    <t>0921-8181</t>
  </si>
  <si>
    <t>1872-6364</t>
  </si>
  <si>
    <t>GLOBAL PLANET CHANGE</t>
  </si>
  <si>
    <t>Glob. Planet. Change</t>
  </si>
  <si>
    <t>10.1016/j.gloplacha.2018.02.009</t>
  </si>
  <si>
    <t>GD8OI</t>
  </si>
  <si>
    <t>WOS:000430771400003</t>
  </si>
  <si>
    <t>Wündsch, M; Haberzettl, T; Cawthra, HC; Kirsten, KL; Quick, LJ; Zabel, M; Frenzel, P; Hahn, A; Baade, J; Daut, G; Kasper, T; Meadows, ME; Mäusbacher, R</t>
  </si>
  <si>
    <t>Wuendsch, Michael; Haberzettl, Torsten; Cawthra, Hayley C.; Kirsten, Kelly L.; Quick, Lynne J.; Zabel, Matthias; Frenzel, Peter; Hahn, Annette; Baade, Jussi; Daut, Gerhard; Kasper, Thomas; Meadows, Michael E.; Maeusbacher, Roland</t>
  </si>
  <si>
    <t>Holocene environmental change along the southern Cape coast of South Africa - Insights from the Eilandvlei sediment record spanning the last 8.9 kyr</t>
  </si>
  <si>
    <t>Coastal lake sediments; Sedimentary geochemistry; Palaeoclimate; Sea level change; El Nino-Southern Oscillation; Southern Annular Mode</t>
  </si>
  <si>
    <t>SEA-SURFACE TEMPERATURE; CENTRAL TIBETAN PLATEAU; LAKE-SEDIMENTS; ORGANIC-CARBON; CHEMICAL INDEX; ATLANTIC SECTOR; WATER SEDIMENTS; GLACIAL MAXIMUM; DROWNED VALLEY; CLIMATE-CHANGE</t>
  </si>
  <si>
    <t>This study investigates Holocene sediments from Eilandvlei, a coastal lake located within the Wilderness embayment at the southern Cape coast of South Africa. The evolution of the present estuarine/coastal lake system is reconstructed based on seismic data as well as a multi-proxy approach on a 30.5 m sediment core spanning the last similar to 8.9 kyr. Geochemical (Ca, TOC/S, Br/TOC) and micropalaeontological data (diatoms, foraminifera) reflect changes in the degree of marine influence at the core site. The embayment likely developed via distinct phases of connectivity to the Indian Ocean caused by sea level changes and dune progradation. Marine conditions prevailed at the core site from similar to 8900 to 4700 cal BP. The rapid sea level rise during the early Holocene caused the inundation of a palaeovalley that most likely had formed at lower sea levels during the Pleistocene. Towards the mid-Holocene the sea level exceeded its present height around similar to 7500 cal BP creating a marine embayment. At similar to 4700 cal BP, the embayment became distinctly more disconnected from the ocean turning into a lagoon system that persisted until similar to 1200 cal BP. Subsequently, the marine influence further decreased and the present estuarine/coastal lake system was established. Grain size and geochemical data (Fe, Si/Al, chemical index of alteration (CIA)) further reflect changes in the deposition of terrigenous sediments at the core site. While the sedimentation of fine-grained (&lt; 16 mu n), iron-rich and highly weathered material is linked to periods of increased river discharge and rainfall, high amounts of deposited quartz (31-250 um, high Si/Al) point to relatively dry and/or windy conditions during which increased aeolian transport of dune sands occurred. The proxies indicate reduced river discharge and hence possibly drier climatic conditions than today from similar to 8900 to 7900 cal BP and similar to 6400 to 3000 cal BP. In contrast, the periods between similar to 7900-6400 cal BP and similar to 3000 cal BP present were likely characterized by high river discharge and thus, generally more rainfall. The reconstructed palaeoclimatic variations are discussed within the context of e.g., shifts in the position of the Antarctic sea ice extent and the mid-latitude westerly wind belt as well as changes in the El Niflo-Southern Oscillation (ENSO).</t>
  </si>
  <si>
    <t>[Wuendsch, Michael; Haberzettl, Torsten; Baade, Jussi; Daut, Gerhard; Kasper, Thomas; Maeusbacher, Roland] Friedrich Schiller Univ Jena, Inst Geog, Phys Geog, Lobdergraben 32, D-07743 Jena, Germany; [Wuendsch, Michael] K S KALI GmbH, Hattorfer Str, D-36269 Philippsthal, Werra, Germany; [Cawthra, Hayley C.] Council Geosci, Marine Geosci Unit, POB 572, ZA-7535 Bellville, South Africa; [Cawthra, Hayley C.] Nelson Mandela Metropolitan Univ, Ctr Coastal Palaeosci, POB 77000, ZA-6031 Port Elizabeth, South Africa; [Kirsten, Kelly L.; Quick, Lynne J.; Meadows, Michael E.] Univ Cape Town, Dept Environm &amp; Geog Sci, South Lane,Upper Campus, ZA-7701 Rondebosch, South Africa; [Zabel, Matthias; Hahn, Annette] Univ Bremen, MARUM Ctr Marine Environm Sci, Leobener Str, D-28359 Bremen, Germany; [Frenzel, Peter] Friedrich Schiller Univ Jena, Inst Geosci, Burgweg 11, D-07749 Jena, Germany; [Meadows, Michael E.] East China Normal Univ, Sch Geog Sci, 500 Dongchuan Rd, Shanghai 200241, Peoples R China</t>
  </si>
  <si>
    <t>Friedrich Schiller University of Jena; Nelson Mandela University; University of Cape Town; University of Bremen; Friedrich Schiller University of Jena; East China Normal University</t>
  </si>
  <si>
    <t>Wündsch, M (corresponding author), Friedrich Schiller Univ Jena, Inst Geog, Phys Geog, Lobdergraben 32, D-07743 Jena, Germany.;Wündsch, M (corresponding author), K S KALI GmbH, Hattorfer Str, D-36269 Philippsthal, Werra, Germany.</t>
  </si>
  <si>
    <t>michael.wuendsch@uni-jena.de</t>
  </si>
  <si>
    <t>Cawthra, Hayley/AAA-4004-2021; Daut, Gerhard/AAO-1514-2021; Cawthra, Hayley/IZP-9458-2023; Meadows, Michael E/AAH-2461-2020; Haberzettl, Torsten/AAV-9216-2021; Kirsten, Kelly/GYD-7631-2022; Baade, Jussi/D-4281-2013; Quick, Lynne/A-1511-2018; Zabel, Matthias/E-5044-2011</t>
  </si>
  <si>
    <t>Daut, Gerhard/0000-0001-7414-1103; Meadows, Michael E/0000-0001-8322-3055; Haberzettl, Torsten/0000-0002-6975-9774; Kirsten, Kelly/0000-0002-8512-1519; Baade, Jussi/0000-0001-9878-7232; Cawthra, Hayley/0000-0002-6101-5543; Quick, Lynne/0000-0002-6735-7106; Zabel, Matthias/0000-0003-4681-1821</t>
  </si>
  <si>
    <t>German Federal Ministry of Education and Research (BMBF); collaborative project Regional Archives for Integrated Investigations (RAIN) [03G0862B]</t>
  </si>
  <si>
    <t>German Federal Ministry of Education and Research (BMBF)(Federal Ministry of Education &amp; Research (BMBF)); collaborative project Regional Archives for Integrated Investigations (RAIN)</t>
  </si>
  <si>
    <t>This study was funded by the German Federal Ministry of Education and Research (BMBF). The investigations were conducted within the collaborative project Regional Archives for Integrated Investigations (RAIN; grant no.: 03G0862B), which is embedded in the international research programme SPACES (Science Partnership for the Assessment of Complex Earth System Processes).</t>
  </si>
  <si>
    <t>10.1016/j.gloplacha.2018.02.002</t>
  </si>
  <si>
    <t>WOS:000430771400006</t>
  </si>
  <si>
    <t>Vargo, LJ; Galewsky, J; Rupper, S; Ward, DJ</t>
  </si>
  <si>
    <t>Vargo, L. J.; Galewsky, J.; Rupper, S.; Ward, D. J.</t>
  </si>
  <si>
    <t>Sensitivity of glaciation in the arid subtropical Andes to changes in temperature, precipitation, and solar radiation</t>
  </si>
  <si>
    <t>Climate; Paleoclimate; Subtropical Andes; Glacier energy balance modeling; ELA sensitivity; Shortwave radiation</t>
  </si>
  <si>
    <t>ATACAMA DESERT; GLACIER RESPONSE; REGIONAL CLIMATE; ENERGY-BALANCE; 22-DEGREES-S; HISTORY; CIRCULATION; CORDILLERA; ALTIPLANO; BOLIVIA</t>
  </si>
  <si>
    <t>The subtropical Andes (18.5-27 S-degrees) have been glaciated in the past, but are presently glacier-free. We use Idealized model experiments to quantify glacier sensitivity to changes in climate in order to investigate the climatic drivers of past glaciations. We quantify the equilibrium line altitude (ELA) sensitivity (the change in ELA per change in climate) to temperature, precipitation, and shortwave radiation for three distinct climatic regions in the subtropical Andes. We find that in the western cordillera, where conditions are hyper-arid with the highest solar radiation on Earth, ELA sensitivity is as high as 34 m per % increase in precipitation, and 70 m per % decrease in shortwave radiation. This is compared with the eastern cordillera, where precipitation is the highest of the three regions, and ELA sensitivity is only 10 m per % increase in precipitation, and 25 m per % decrease in shortwave radiation. The high ELA sensitivity to shortwave radiation highlights the influence of radiation on mass balance of high elevation and low-latitude glaciers. We also consider these quantified ELA sensitivities in context of previously dated glacial deposits from the regions. Our results suggest that glaciation of the humid eastern cordillera was driven primarily by lower temperatures, while glaciations of the arid Altiplano and western cordillera were also influenced by increases in precipitation and decreases in shortwave radiation. Using paleoclimate records from the timing of glaciation, we find that glaciation of the hyper-arid western cordillera can be explained by precipitation increases of 90-160% (1.9-2.6 x higher than modern), in conjunction with associated decreases in shortwave radiation of 7-12% and in temperature of 3.5 degrees C.</t>
  </si>
  <si>
    <t>[Vargo, L. J.] Victoria Univ Wellington, Antarctic Res Ctr, POB 600, Wellington 6140, New Zealand; [Galewsky, J.] Univ New Mexico, Dept Earth &amp; Planetary Sci, Albuquerque, NM 87131 USA; [Rupper, S.] Univ Utah, Dept Geog, Salt Lake City, UT USA; [Ward, D. J.] Univ Cincinnati, Dept Geol, Cincinnati, OH USA</t>
  </si>
  <si>
    <t>Victoria University Wellington; University of New Mexico; Utah System of Higher Education; University of Utah; University System of Ohio; University of Cincinnati</t>
  </si>
  <si>
    <t>Vargo, LJ (corresponding author), Victoria Univ Wellington, Antarctic Res Ctr, POB 600, Wellington 6140, New Zealand.</t>
  </si>
  <si>
    <t>lauren.vargo@vuw.ac.nz</t>
  </si>
  <si>
    <t>Ward, Dylan/HME-2007-2023; Rupper, Summer/KHD-4492-2024</t>
  </si>
  <si>
    <t>Ward, Dylan/0000-0002-5741-7830; Vargo, Lauren/0000-0001-7037-0451; Galewsky, Joseph/0000-0001-8236-6839</t>
  </si>
  <si>
    <t>National Science Foundation [EAR-1226611, PLR-0424589]</t>
  </si>
  <si>
    <t>The Shuttle Radar Topography Mission (SRTM) elevation data, used in Fig. 1 and for resampling elevation is available through CGIAR Consortium for Spatial Information: SRTM 90 m Digital Elevation Database v4.1. NCEP Reanalysis data provided by the NOAA/OAR/ESRL PSD, Boulder, Colorado, USA. The data for this paper are also available by contacting the corresponding author at lauren.vargo@vuw.ac.nz. This work was supported by National Science Foundation grants EAR-1226611 (Geomorphology and Landuse Dynamics) and PLR-0424589 (Antarctic Earth Sciences). We thank Ruzica Dadic for her suggestions and comments.</t>
  </si>
  <si>
    <t>10.1016/j.gloplacha.2018.02.006</t>
  </si>
  <si>
    <t>WOS:000430771400008</t>
  </si>
  <si>
    <t>Ferrero, S; Godard, G; Palmeri, R; Wunder, B; Cesare, B</t>
  </si>
  <si>
    <t>Ferrero, Silvio; Godard, Gaston; Palmeri, Rosaria; Wunder, Bernd; Cesare, Bernardo</t>
  </si>
  <si>
    <t>Partial melting of ultramafic granulites from Dronning Maud Land, Antarctica: Constraints from melt inclusions and thermodynamic modeling</t>
  </si>
  <si>
    <t>AMERICAN MINERALOGIST</t>
  </si>
  <si>
    <t>Nanogranitoids; partial melting; thermodynamic modeling; Antarctica; ultramafic granulites; kumdykolite; kokchetavite; High-Grade Metamorphism; Anatexis; and Granite Magmatism</t>
  </si>
  <si>
    <t>EARLY CONTINENTAL-CRUST; EAST ANTARCTICA; PRESSURE GRANULITE; METAMORPHISM; GROWTH; METAPELITES; PHLOGOPITE; ANATEXIS; PHASES; MANTLE</t>
  </si>
  <si>
    <t>In the Pan-African belt of the Dronning Maud Land, Antarctica, crystallized melt inclusions (nanogranitoids) occur in garnet from ultramafic granulites. The granulites contain the peak assemblage pargasite+garnet+clinopyroxene with rare relict orthopyroxene and biotite, and retrograde symplectites at contacts between garnet and amphibole. Garnet contains two generations of melt inclusions. Type 1 inclusions, interpreted as primary, are isolated, &lt; 10 mu m in size, and generally have negative crystal shapes. They contain kokchetavite, kumdykolite, and phlogopite, with quartz and zoisite as minor phases, and undevitrified glass was identified in one inclusion. Type 2 inclusions are &lt; 30 mu m in size, secondary, and contain amphibole, feldspars, and zoisite. Type 2 inclusions appear to be the crystallization products of a melt that coexisted with an immiscible CO2-rich fluid. The nanogranitoids were re-homogenized after heating in a piston-cylinder in a series of four experiments to investigate their composition. The conditions ranged between 900 and 950 degrees C at 1.5-2.4 GPa. Type 1 inclusions are trachytic and ultrapotassic, whereas type 2 melts are dacitic to rhyolitic. Thermodynamic modeling of the ultramafic composition in the MnNCKFMASHTO system shows that anatexis occurred at the end of the prograde P-T path, between the solidus (at ca. 860 degrees C-1.4 GPa) and the peak conditions (at ca. 960 degrees C-1.7 GPa). The model melt composition is felsic and similar to that of type 1 inclusions, particularly when the melting degree is low (&lt; 1 mol%), close to the solidus. However the modeling fails to reproduce the highly potassic signature of the melt and its low H2O content. The combination of petrology, melt inclusion study, and thermodynamic modeling supports the interpretation that melt was produced by anatexis of the ultramafic boudins near peak P-T conditions, and that type 1 inclusions contain the anatectic melt that was present during garnet growth. The felsic, ultrapotassic composition of the primary anatectic melts is compatible with low melting degrees in the presence of biotite and amphibole as reactants.</t>
  </si>
  <si>
    <t>[Ferrero, Silvio] Univ Potsdam, Inst Geowissensch, D-14476 Potsdam, Germany; [Ferrero, Silvio] Museum Nat Kunde MfN, D-10115 Berlin, Germany; [Godard, Gaston] Univ Paris Diderot, Inst Phys Globe Paris, CNRS, UMR 7154, Paris, France; [Palmeri, Rosaria] Univ Siena, Museo Nazl Antartide, I-53100 Siena, Italy; [Wunder, Bernd] GFZ, Helmholtz Zentrum Potsdam, D-14473 Potsdam, Germany; [Cesare, Bernardo] Univ Padua, Dipartimento Geosci, I-35131 Padua, Italy</t>
  </si>
  <si>
    <t>University of Potsdam; Centre National de la Recherche Scientifique (CNRS); CNRS - National Institute for Earth Sciences &amp; Astronomy (INSU); Universite Paris Cite; University of Siena; Helmholtz Association; Helmholtz-Center Potsdam GFZ German Research Center for Geosciences; University of Padua</t>
  </si>
  <si>
    <t>Ferrero, S (corresponding author), Univ Potsdam, Inst Geowissensch, D-14476 Potsdam, Germany.;Ferrero, S (corresponding author), Museum Nat Kunde MfN, D-10115 Berlin, Germany.</t>
  </si>
  <si>
    <t>sferrero@geo.uni-potsdam.de</t>
  </si>
  <si>
    <t>Ferrero, Silvio/HKN-7128-2023; Ferrero, Silvio/W-9126-2019</t>
  </si>
  <si>
    <t>Ferrero, Silvio/0000-0002-9948-3676; Ferrero, Silvio/0000-0002-4481-2356; cesare, bernardo/0000-0002-2340-1611</t>
  </si>
  <si>
    <t>Programma Nazionale Ricerche in Antartide (PNRA) [PdR 13/B2.07]; Alexander von Humboldt Foundation; German Federal Ministry for Education and Research; Deutsche Forschungsgemeinschaft [FE 1527/2-1, FE 1527/2-2]</t>
  </si>
  <si>
    <t>Programma Nazionale Ricerche in Antartide (PNRA); Alexander von Humboldt Foundation(Alexander von Humboldt Foundation); German Federal Ministry for Education and Research(Federal Ministry of Education &amp; Research (BMBF)); Deutsche Forschungsgemeinschaft(German Research Foundation (DFG))</t>
  </si>
  <si>
    <t>The research was realized with the financial support by Programma Nazionale Ricerche in Antartide (PNRA; PdR 13/B2.07), the Alexander von Humboldt Foundation, the German Federal Ministry for Education and Research and the Deutsche Forschungsgemeinschaft (Projects FE 1527/2-1 and FE 1527/2-2). The TF4 rock sample investigated in this study was selected from the collection available at the PNRA rock repository located at the Museo Nazionale dell'Antartide (Siena, Italy). F. Talarico collected the sample during the 1995-96 GeoMaud Antarctic expedition, with the logistic support of the Bundesanstalt fur Geowissenschaften und Rohstoffe (BGR, Hannover, Germany). We are also grateful to M. Ziemann, C. Gunther, and P. Czaja for the assistance during analytical sessions. We thank A. Peccerillo for petrogenetic advice, and T. Johnson and T. Rushmer for their detailed reviews that improved the quality of the paper, and A. Acosta-Vigil for his careful editorial handling.</t>
  </si>
  <si>
    <t>MINERALOGICAL SOC AMER</t>
  </si>
  <si>
    <t>CHANTILLY</t>
  </si>
  <si>
    <t>3635 CONCORDE PKWY STE 500, CHANTILLY, VA 20151-1125 USA</t>
  </si>
  <si>
    <t>0003-004X</t>
  </si>
  <si>
    <t>1945-3027</t>
  </si>
  <si>
    <t>AM MINERAL</t>
  </si>
  <si>
    <t>Am. Miner.</t>
  </si>
  <si>
    <t>10.2138/am-2018-6214</t>
  </si>
  <si>
    <t>GE3OG</t>
  </si>
  <si>
    <t>WOS:000431122000008</t>
  </si>
  <si>
    <t>González, L; Bridle, A; Crosbie, P; Leef, M; Nowak, B</t>
  </si>
  <si>
    <t>Gonzalez, Laura; Bridle, Andrew; Crosbie, Philip; Leef, Melanie; Nowak, Barbara</t>
  </si>
  <si>
    <t>Spatial and temporal distribution of Neoparamoeba perurans in a tank recirculation system during experimental AGD challenge (vol 450, pg 363, 2016)</t>
  </si>
  <si>
    <t>AQUACULTURE</t>
  </si>
  <si>
    <t>[Gonzalez, Laura; Bridle, Andrew; Crosbie, Philip; Leef, Melanie; Nowak, Barbara] Univ Tasmania, Inst Marine &amp; Antarctic Studies, Launceston, Tas 7250, Australia</t>
  </si>
  <si>
    <t>González, L (corresponding author), Univ Tasmania, Inst Marine &amp; Antarctic Studies, Launceston, Tas 7250, Australia.</t>
  </si>
  <si>
    <t>l.laura.gonzalez@gmail.com</t>
  </si>
  <si>
    <t>Leef, Melanie J/C-6655-2013; Nowak, Barbara/J-7261-2014; Bridle, Andrew R/B-4117-2013</t>
  </si>
  <si>
    <t>BecasChile scholarship [72090099]</t>
  </si>
  <si>
    <t>BecasChile scholarship</t>
  </si>
  <si>
    <t>The authors are grateful to Victoria Valdenegro and Stewart Dick for implementing and maintaining the experimental infection system with Neoparamoeba perurans that allowed the sampling for this study. The experiment and samplings were conducted in accordance with the University of Tasmania Animal Ethics approval A0012143. We wish to thank Dr. Stephen Nolan, from Student Learning and Academic Development at the University of Tasmania, for his comments on previous versions of the manuscript, as well as the invaluable contribution of anonymous referees. The authors have no commercial or other relationships which would represent a conflict of interest in this study. This research was part of LG's PhD study at the University of Tasmania, Launceston Campus, Australia supported by BecasChile scholarship (Grant 72090099).</t>
  </si>
  <si>
    <t>0044-8486</t>
  </si>
  <si>
    <t>1873-5622</t>
  </si>
  <si>
    <t>Aquaculture</t>
  </si>
  <si>
    <t>10.1016/j.aquaculture.2018.04.023</t>
  </si>
  <si>
    <t>GE1XF</t>
  </si>
  <si>
    <t>WOS:000431009400052</t>
  </si>
  <si>
    <t>Smeele, ZE; Burns, JM; Van Doorsaler, K; Fontenele, RS; Waits, K; Stainton, D; Shero, MR; Beltran, RS; Kirkham, AL; Berngartt, R; Kraberger, S; Varsani, A</t>
  </si>
  <si>
    <t>Smeele, Zoe E.; Burns, Jennifer M.; Van Doorsaler, Koenraad; Fontenele, Rafaela S.; Waits, Kara; Stainton, Daisy; Shero, Michelle R.; Beltran, Roxanne S.; Kirkham, Amy L.; Berngartt, Rachel; Kraberger, Simona; Varsani, Arvind</t>
  </si>
  <si>
    <t>Diverse papillomaviruses identified in Weddell seals</t>
  </si>
  <si>
    <t>JOURNAL OF GENERAL VIROLOGY</t>
  </si>
  <si>
    <t>papillomavirus; Leptonychotes weddellii; Antarctic; Carnivora</t>
  </si>
  <si>
    <t>MCMURDO-SOUND; PENGUINS; PHYLOGENY; ADENOVIRUS; RECOMBINATION; POLYOMAVIRUS; DIVERGENCE; ANTARCTICA; EVOLUTION; CARNIVORA</t>
  </si>
  <si>
    <t>Papillomaviridae is a diverse family of circular, double-stranded DNA (dsDNA) viruses that infect a broad range of mammalian, avian and fish hosts. While papillomaviruses have been characterized most extensively in humans, the study of non-human papillomaviruses has contributed greatly to our understanding of their pathogenicity and evolution. Using high-throughput sequencing approaches, we identified 7 novel papillomaviruses from vaginal swabs collected from 81 adult female Weddell seals (Leptonychotes weddellii) in the Ross Sea of Antarctica between 2014-2017. These seven papillomavirus genomes were amplified from seven individual seals, and six of the seven genomes represented novel species with distinct evolutionary lineages. This highlights the diversity of papillomaviruses among the relatively small number of Weddell seal samples tested. Viruses associated with large vertebrates are poorly studied in Antarctica, and this study adds information about papillomaviruses associated with Weddell seals and contributes to our understanding of the evolutionary history of papillomaviruses.</t>
  </si>
  <si>
    <t>[Smeele, Zoe E.; Fontenele, Rafaela S.; Waits, Kara; Kraberger, Simona; Varsani, Arvind] Arizona State Univ, Sch Life Sci, Biodesign Ctr Fundamental &amp; Appl Microbi, Ctr Evolut &amp; Med, Tempe, AZ 85287 USA; [Smeele, Zoe E.; Stainton, Daisy; Varsani, Arvind] Univ Canterbury, Sch Biol Sci, Private Bag 4800, Christchurch, New Zealand; [Burns, Jennifer M.; Shero, Michelle R.; Beltran, Roxanne S.; Kirkham, Amy L.] Univ Alaska Anchorage, Dept Biol Sci, 3211 Providence Dr, Anchorage, AK 99508 USA; [Van Doorsaler, Koenraad] Univ Arizona, Sch Anim &amp; Comparat Biomed Sci, Canc Biol Grad Interdisciplinary Program, Genet Grad Interdisciplinary Program, 1657 E Helen St, Tucson, AZ 85721 USA; [Van Doorsaler, Koenraad] Univ Arizona, Bio5, 1657 E Helen St, Tucson, AZ 85721 USA; [Beltran, Roxanne S.] Univ Alaska Fairbanks, Dept Biol &amp; Wildlife, POB 756100, Fairbanks, AK 99775 USA; [Kirkham, Amy L.] Univ Alaska Fairbanks, Coll Fisheries &amp; Ocean Sci, 17101 Point Lena Loop Rd, Juneau, AK 99801 USA; [Berngartt, Rachel] Bridge Vet Serv LLC, Juneau, AK 99801 USA; [Varsani, Arvind] Univ Cape Town, Dept Clin Lab Sci, Struct Biol Res Unit, ZA-7701 Cape Town, South Africa</t>
  </si>
  <si>
    <t>Arizona State University; Arizona State University-Tempe; University of Canterbury; University of Alaska System; University of Alaska Anchorage; University of Arizona; University of Arizona; University of Alaska System; University of Alaska Fairbanks; University of Alaska System; University of Alaska Fairbanks; University of Cape Town</t>
  </si>
  <si>
    <t>Varsani, A (corresponding author), Arizona State Univ, Sch Life Sci, Biodesign Ctr Fundamental &amp; Appl Microbi, Ctr Evolut &amp; Med, Tempe, AZ 85287 USA.;Varsani, A (corresponding author), Univ Canterbury, Sch Biol Sci, Private Bag 4800, Christchurch, New Zealand.;Burns, JM (corresponding author), Univ Alaska Anchorage, Dept Biol Sci, 3211 Providence Dr, Anchorage, AK 99508 USA.;Varsani, A (corresponding author), Univ Cape Town, Dept Clin Lab Sci, Struct Biol Res Unit, ZA-7701 Cape Town, South Africa.</t>
  </si>
  <si>
    <t>jmburns@alaska.edu; arvind.varsani@asu.edu</t>
  </si>
  <si>
    <t>Burns, Jennifer/AAC-8243-2019; Kirkham, Amy/GWQ-6306-2022; Varsani, Arvind/JOZ-5299-2023</t>
  </si>
  <si>
    <t>Burns, Jennifer/0000-0001-9652-2943; Varsani, Arvind/0000-0003-4111-2415; Shero, Michelle/0000-0003-4633-5351; Kraberger, Simona/0000-0002-7037-9242</t>
  </si>
  <si>
    <t>National Science Foundation [ANT-1246463]; Biodesign Institute and School of Life Sciences, Arizona State University, USA; Institutional Development Awards (IDeA) Networks of Biomedical Research Excellence Assistantships from the National Institute of General Medical Sciences of the National Institutes of Health [P20GM103395]; State of Arizona Improving Health TRIF; National Institute of Food and Agriculture, US Department of Agriculture, Hatch [NC229]; Center of Evolution and Medicine Venture Fund (Center of Evolution and Medicine, Arizona State University, USA); Division Of Ocean Sciences; Directorate For Geosciences [1246463] Funding Source: National Science Foundation</t>
  </si>
  <si>
    <t>National Science Foundation(National Science Foundation (NSF)); Biodesign Institute and School of Life Sciences, Arizona State University, USA; Institutional Development Awards (IDeA) Networks of Biomedical Research Excellence Assistantships from the National Institute of General Medical Sciences of the National Institutes of Health; State of Arizona Improving Health TRIF; National Institute of Food and Agriculture, US Department of Agriculture, Hatch; Center of Evolution and Medicine Venture Fund (Center of Evolution and Medicine, Arizona State University, USA); Division Of Ocean Sciences; Directorate For Geosciences(National Science Foundation (NSF)NSF - Directorate for Geosciences (GEO))</t>
  </si>
  <si>
    <t>J.M.B. received funding from National Science Foundation grant ANT-1246463. Z.E.S. is supported through startup funding awarded to A.V. from The Biodesign Institute and School of Life Sciences, Arizona State University, USA. A.K. and R.B. were supported by Institutional Development Awards (IDeA) Networks of Biomedical Research Excellence Assistantships (grant number P20GM103395) from the National Institute of General Medical Sciences of the National Institutes of Health. The content is solely the responsibility of the authors and does not necessarily reflect the official views of the NIH. K.V.D. is supported by a State of Arizona Improving Health TRIF and by the National Institute of Food and Agriculture, US Department of Agriculture, Hatch NC229. The molecular work described in this study is supported by a Center of Evolution and Medicine Venture Fund (Center of Evolution and Medicine, Arizona State University, USA) grant awarded to A.V.</t>
  </si>
  <si>
    <t>14-16 MEREDITH ST, LONDON, ENGLAND</t>
  </si>
  <si>
    <t>0022-1317</t>
  </si>
  <si>
    <t>1465-2099</t>
  </si>
  <si>
    <t>J GEN VIROL</t>
  </si>
  <si>
    <t>J. Gen. Virol.</t>
  </si>
  <si>
    <t>10.1099/jgv.0.001028</t>
  </si>
  <si>
    <t>Biotechnology &amp; Applied Microbiology; Virology</t>
  </si>
  <si>
    <t>GE2CH</t>
  </si>
  <si>
    <t>WOS:000431022600012</t>
  </si>
  <si>
    <t>Langley, I; Fedak, M; Nicholls, K; Boehme, L</t>
  </si>
  <si>
    <t>Langley, Izzy; Fedak, Mike; Nicholls, Keith; Boehme, Lars</t>
  </si>
  <si>
    <t>Sex-related differences in the postmolt distribution of Weddell seals (Leptonychotes weddellii) in the southern Weddell Sea</t>
  </si>
  <si>
    <t>Weddell seal; Leptonychotes weddellii; postmolt distribution; sex-related differences; CTD-SRDL; state-space model; resident state; Weddell Sea</t>
  </si>
  <si>
    <t>ELEPHANT SEALS; DIVING BEHAVIOR; MOVEMENTS; DIET; ICE; AGE; SEGREGATION; PREDATOR; ECOLOGY; MOTHERS</t>
  </si>
  <si>
    <t>The population of Weddell seals (Leptonychotes weddellii) in the southern Weddell Sea is in a unique position on the continental shelf edge, with vast shelf waters to the south, and deep Southern Ocean to the north. We describe sex-related differences in the winter distribution of this population, from data collected by 20 conductivity-temperature-depth satellite relay data loggers deployed in February 2011 at the end of the annual molt. The regional daily speed was calculated, and a state-space model was used to estimate behavioral states to positions along individuals' tracks. GLMMs estimated that males and smaller individuals, diving in shallower water, traveled less far per day of deployment (males 14.6 +/- 2.26 km/d, females 18.9 +/- 2.42 km/d), and males were estimated to dive in shallower water (males 604 +/- 382 m, females 1,875 +/- 1,458 m). Males and smaller individuals were also estimated to be more resident; males spent an average 83.4% +/- 7.7% of their time in a resident behavioral state, compared to females at 74.1% +/- 7.1%. This evidence that male and female Weddell seals in the southern Weddell Sea are adopting different strategies has not been shown elsewhere along their circumpolar distribution.</t>
  </si>
  <si>
    <t>[Langley, Izzy; Fedak, Mike; Boehme, Lars] Univ St Andrews, Sea Mammal Res Unit, Scottish Oceans Inst, St Andrews KY16 8LB, Fife, Scotland; [Nicholls, Keith] British Antarctic Survey, Nat Environm Res Council, Cambridge CB3 0ET, England</t>
  </si>
  <si>
    <t>University of St Andrews; UK Research &amp; Innovation (UKRI); Natural Environment Research Council (NERC); NERC British Antarctic Survey</t>
  </si>
  <si>
    <t>Boehme, L (corresponding author), Univ St Andrews, Sea Mammal Res Unit, Scottish Oceans Inst, St Andrews KY16 8LB, Fife, Scotland.</t>
  </si>
  <si>
    <t>lb284@st-andrews.ac.uk</t>
  </si>
  <si>
    <t>Boehme, Lars/B-6567-2009; Fedak, Michael/B-3987-2009</t>
  </si>
  <si>
    <t>Langley, Izzy/0000-0002-8957-1373; Fedak, Michael/0000-0002-9569-1128</t>
  </si>
  <si>
    <t>NERC [NE/G014086/1, NE/G014833/1]; Natural Environment Research Council [bas0100033, NE/G014833/1, NE/G014086/1] Funding Source: researchfish; NERC [bas0100033, NE/G014833/1, NE/G014086/1] Funding Source: UKRI</t>
  </si>
  <si>
    <t>NERC(UK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</si>
  <si>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was funded by NERC grants NE/G014833/1 and NE/G014086/1 and the research was reviewed and approved by the University Teaching and Research Ethics Committee and Animal Welfare and Ethics Committee of the University of St Andrews. Capture and deployment of satellite transmitters was carried out by experienced personnel with United Kingdom Animal (Scientific Procedures) Act 1986 personal licenses. The authors are grateful for the support of the officers and crew of RRS Ernest Shackleton ES054 cruise. We also thank the three anonymous reviewers for their comments on the manuscript.</t>
  </si>
  <si>
    <t>10.1111/mms.12461</t>
  </si>
  <si>
    <t>WOS:000430918200008</t>
  </si>
  <si>
    <t>Contrafatto, D; Fasone, R; Ferro, A; Larocca, G; Laudani, G; Rapisarda, S; Scuderi, L; Zuccarello, L; Privitera, E; Cannata, A</t>
  </si>
  <si>
    <t>Contrafatto, Danilo; Fasone, Rosario; Ferro, Angelo; Larocca, Graziano; Laudani, Giuseppe; Rapisarda, Salvatore; Scuderi, Luciano; Zuccarello, Luciano; Privitera, Eugenio; Cannata, Andrea</t>
  </si>
  <si>
    <t>Design of a seismo-acoustic station for Antarctica</t>
  </si>
  <si>
    <t>REVIEW OF SCIENTIFIC INSTRUMENTS</t>
  </si>
  <si>
    <t>VOLCANO; INFRASOUND; CLIMATE</t>
  </si>
  <si>
    <t>In recent years, seismological studies in Antarctica have contributed plenty of new knowledge in many fields of earth science. Moreover, acoustic investigations are now also considered a powerful tool that provides insights for many different objectives, such as analyses of regional climate-related changes and studies of volcanic degassing and explosive activities. However, installation and maintenance of scientific instrumentation in Antarctica can be really challenging. Indeed, the instruments have to face the most extreme climate on the planet. They must be tolerant of very low temperatures and robust enough to survive strong winds. Moreover, one of the most critical tasks is powering a remote system year-round at polar latitudes. In this work, we present a novel seismo-acoustic station designed to work reliably in polar regions. To enable year-round seismo-acoustic data collection in such a remote, extreme environment, a hybrid powering system is used, integrating solar panels, a wind generator, and batteries. A power management system was specifically developed to either charge the battery bank or divert energy surplus to warm the enclosure or release the excess energy to the outside environment. Finally, due to the prohibitive environmental conditions at most Antarctic installation sites, the station was designed to be deployed quickly. Published by AIP Publishing.</t>
  </si>
  <si>
    <t>[Contrafatto, Danilo; Ferro, Angelo; Larocca, Graziano; Laudani, Giuseppe; Rapisarda, Salvatore; Scuderi, Luciano; Zuccarello, Luciano; Privitera, Eugenio; Cannata, Andrea] Osservatorio Etneo, Sez Catania, Ist Nazl Geofis &amp; Vulcanol, Piazza Roma 2, I-95125 Catania, Italy; [Fasone, Rosario] Fasel Elettron SrL, I-95125 Catania, Italy; [Zuccarello, Luciano] Univ Granada, CITIC, Dept Teoria Senal Telemat &amp; Comunicac, E-18071 Granada, Spain; [Zuccarello, Luciano] Univ Granada, Dept Fis Teor &amp; Cosmos, E-18071 Granada, Spain; [Cannata, Andrea] Univ Perugia, Dipartimento Fis &amp; Geol, Via Alessandro Pascoli, I-06123 Perugia, Italy</t>
  </si>
  <si>
    <t>Istituto Nazionale Geofisica e Vulcanologia (INGV); University of Granada; University of Granada; University of Perugia</t>
  </si>
  <si>
    <t>Cannata, A (corresponding author), Osservatorio Etneo, Sez Catania, Ist Nazl Geofis &amp; Vulcanol, Piazza Roma 2, I-95125 Catania, Italy.;Cannata, A (corresponding author), Univ Perugia, Dipartimento Fis &amp; Geol, Via Alessandro Pascoli, I-06123 Perugia, Italy.</t>
  </si>
  <si>
    <t>andrea.cannata@unipg.it</t>
  </si>
  <si>
    <t>Zuccarello, Luciano/N-2244-2016; Privitera, Eugenio/D-4973-2009; Cannata, Andrea/N-8589-2014</t>
  </si>
  <si>
    <t>Zuccarello, Luciano/0000-0003-0094-9577; Cannata, Andrea/0000-0002-0028-5822; PRIVITERA, Eugenio/0000-0001-9623-1919; contrafatto, danilo/0000-0002-6916-5239</t>
  </si>
  <si>
    <t>Project called ICE-VOLC [PNRA14 00011]; PNRA (Programma Nazionale di Ricerche in Antartide); European Union [798480]; Marie Curie Actions (MSCA) [798480] Funding Source: Marie Curie Actions (MSCA)</t>
  </si>
  <si>
    <t>Project called ICE-VOLC; PNRA (Programma Nazionale di Ricerche in Antartide); European Union(European Union (EU)); Marie Curie Actions (MSCA)(Marie Curie Actions)</t>
  </si>
  <si>
    <t>This work was funded by No. PNRA14 00011 Project called ICE-VOLC (multiparametrIC Experiment at Antarctica VOLCanoes: data from volcano and cryosphere-ocean-atmosphere dynamics, www.icevolc-project.com). We acknowledge PNRA (Programma Nazionale di Ricerche in Antartide) for funding the project, ENEA (Agenzia nazionale per le nuove tecnologie, l'energia e lo sviluppo economico sostenibile) for providing field logistics, and CNR (Consiglio Nazionale delle Ricerche) for scientific support. In particular, we are grateful to the helicopter pilot, Bob McElhinney, the ENEA technician, Giuliano Guidarelli, the alpine guide, Francesco Canale, the personnel in charge of the operations room, Luca Beraudo and Antonio Coppola, the scientific coordinator of Mario Zucchelli Station for the XXXIII Italian expedition in Antarctica, Stefano Urbini, and the logistic coordinator of Mario Zucchelli Station for the XXXIII Italian expedition in Antarctica, Riccardo Bono. L.Z. thanks the following project: European Union's Horizon 2020 research and innovation programme under the Marie Sklodowska-Curie Grant Agreement No. 798480. We thank the two anonymous reviewers for their useful suggestions.</t>
  </si>
  <si>
    <t>AMER INST PHYSICS</t>
  </si>
  <si>
    <t>MELVILLE</t>
  </si>
  <si>
    <t>1305 WALT WHITMAN RD, STE 300, MELVILLE, NY 11747-4501 USA</t>
  </si>
  <si>
    <t>0034-6748</t>
  </si>
  <si>
    <t>1089-7623</t>
  </si>
  <si>
    <t>REV SCI INSTRUM</t>
  </si>
  <si>
    <t>Rev. Sci. Instrum.</t>
  </si>
  <si>
    <t>10.1063/1.5023481</t>
  </si>
  <si>
    <t>Instruments &amp; Instrumentation; Physics, Applied</t>
  </si>
  <si>
    <t>Instruments &amp; Instrumentation; Physics</t>
  </si>
  <si>
    <t>GE3UW</t>
  </si>
  <si>
    <t>WOS:000431139400037</t>
  </si>
  <si>
    <t>Ribeiro, N; Mata, MM; de Azevedo, JLL; Cirano, M</t>
  </si>
  <si>
    <t>Ribeiro, Natalia; Mata, Mauricio M.; de Azevedo, Jose Luiz L.; Cirano, Mauro</t>
  </si>
  <si>
    <t>An Assessment of the XBT Fall-Rate Equation in the Southern Ocean</t>
  </si>
  <si>
    <t>JOURNAL OF ATMOSPHERIC AND OCEANIC TECHNOLOGY</t>
  </si>
  <si>
    <t>TEMPERATURE; BIAS; WATERS; IMPACT</t>
  </si>
  <si>
    <t>In this study a set of 157 collocated XBT (DB/T7 type) and CTD stations distributed across three different regions of the Southern Ocean is explored using the manufacturer's fall- rate equation (FRE), which is a classic correction method, and new correction methods to investigate how the regional environment characteristics may impact a probe's descent and the corresponding depth estimates. Regional coefficients were estimated for all three basins and for the Southern Ocean as a whole. The manufacturer's FRE proved to perform better in high latitudes than in the rest of the World Ocean, overestimating the true depth by only 2%. The overall depth bias was positive, further supporting the hypothesis of a regional dependence of the XBT fall rate on water temperature, which leads to a general overestimation of ocean heat content in the upper layer (similar to 4.79 x 10(9) J or similar to 10%). The pure thermal bias was found to be mostly negative, which is likely to be related to temperature errors. However, the Southern Ocean region is notoriously undersampled when compared to the rest of the World Ocean as well, as it is associated with strong spatial and temporal variability, thus raising the overall uncertainty on that estimate. Moreover, although the manufacturer's FRE has a satisfying performance in the Southern Ocean, the current community's recommended correction method still leads to improved temperature values in those waters. Finally, more studies are needed in order to fully understand the XBT regional bias and its implications for climate studies in the region.</t>
  </si>
  <si>
    <t>[Ribeiro, Natalia; Mata, Mauricio M.; de Azevedo, Jose Luiz L.] Univ Fed Rio Grande, Rio Grande, RS, Brazil; [Cirano, Mauro] Univ Fed Rio de Janeiro, Rio De Janeiro, RJ, Brazil</t>
  </si>
  <si>
    <t>Universidade Federal do Rio Grande; Universidade Federal do Rio de Janeiro</t>
  </si>
  <si>
    <t>Ribeiro, N (corresponding author), Univ Fed Rio Grande, Rio Grande, RS, Brazil.</t>
  </si>
  <si>
    <t>ribeirosantosn@gmail.com</t>
  </si>
  <si>
    <t>Cirano, Mauro/AAT-7082-2020; Ribeiro, Natalia/AAY-6731-2021; Mata, Mauricio/H-4605-2011</t>
  </si>
  <si>
    <t>Cirano, Mauro/0000-0002-0789-1120; Mata, Mauricio/0000-0002-9028-8284; Ribeiro Santos, Natalia/0000-0001-5427-9746</t>
  </si>
  <si>
    <t>Brazilian Ministry of the Environment; Brazilian Ministry of Science, Technology, Innovation and Communication; Council for Research and Scientific Development of Brazil (CNPq) through Brazilian National Institute of Science and Technology of the Cryosphere (INCT-CRIOSFERA) project [573720/2008-8]; Council for Research and Scientific Development of Brazil (CNPq) through Brazilian National Institute of Science and Technology of the Cryosphere (POLARCANION) project [556848/2009-8, 405869/2013-4, 23038.001421/2014-30]; Council for Research and Scientific Development of Brazil (CNPq) through Brazilian National Institute of Science and Technology of the Cryosphere (NAUTILUS) project [556848/2009-8, 405869/2013-4, 23038.001421/2014-30]; Council for Research and Scientific Development of Brazil (CNPq) through Brazilian National Institute of Science and Technology of the Cryosphere (CAPES/CMAR2) project [556848/2009-8, 405869/2013-4, 23038.001421/2014-30]; CAPES Foundation; CNPq; CAPES; Office of Polar Programs (OPP); Directorate For Geosciences [1542902] Funding Source: National Science Foundation</t>
  </si>
  <si>
    <t>Brazilian Ministry of the Environment; Brazilian Ministry of Science, Technology, Innovation and Communication; Council for Research and Scientific Development of Brazil (CNPq) through Brazilian National Institute of Science and Technology of the Cryosphere (INCT-CRIOSFERA) project(Conselho Nacional de Desenvolvimento Cientifico e Tecnologico (CNPQ)); Council for Research and Scientific Development of Brazil (CNPq) through Brazilian National Institute of Science and Technology of the Cryosphere (POLARCANION) project(Conselho Nacional de Desenvolvimento Cientifico e Tecnologico (CNPQ)); Council for Research and Scientific Development of Brazil (CNPq) through Brazilian National Institute of Science and Technology of the Cryosphere (NAUTILUS) project(Conselho Nacional de Desenvolvimento Cientifico e Tecnologico (CNPQ)); Council for Research and Scientific Development of Brazil (CNPq) through Brazilian National Institute of Science and Technology of the Cryosphere (CAPES/CMAR2) project(Conselho Nacional de Desenvolvimento Cientifico e Tecnologico (CNPQ)); CAPES Foundation(Coordenacao de Aperfeicoamento de Pessoal de Nivel Superior (CAPES)); CNPq(Conselho Nacional de Desenvolvimento Cientifico e Tecnologico (CNPQ)); CAPES(Coordenacao de Aperfeicoamento de Pessoal de Nivel Superior (CAPES)); Office of Polar Programs (OPP); Directorate For Geosciences(National Science Foundation (NSF)NSF - Directorate for Geosciences (GEO))</t>
  </si>
  <si>
    <t>This study is a contribution to the activities of the Brazilian High Latitudes Oceanography Group (GOAL; www.goal.furg.br), which is part of the Brazilian Antarctic Program (PROANTAR). GOAL has been funded by and/or has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the Cryosphere (INCT-CRIOSFERA; 573720/2008-8), POLARCANION, NAUTILUS, and CAPES/CMAR2 projects (556848/2009-8, 405869/2013-4, 23038.001421/2014-30). N. R. Santos acknowledges the graduate fellowship funded by the CAPES Foundation. M. Cirano and M. M. Mata were supported by grants from CNPq and CAPES. Finally, we thank Dr. L. Cheng for his availability and interest during the development of this study, and the NOAA World Ocean Database and all scientists who participated in the data collection and made it freely available through the respective databases.</t>
  </si>
  <si>
    <t>0739-0572</t>
  </si>
  <si>
    <t>1520-0426</t>
  </si>
  <si>
    <t>J ATMOS OCEAN TECH</t>
  </si>
  <si>
    <t>J. Atmos. Ocean. Technol.</t>
  </si>
  <si>
    <t>10.1175/JTECH-D-17-0086.1</t>
  </si>
  <si>
    <t>Engineering, Ocean; Meteorology &amp; Atmospheric Sciences</t>
  </si>
  <si>
    <t>Engineering; Meteorology &amp; Atmospheric Sciences</t>
  </si>
  <si>
    <t>GE1IZ</t>
  </si>
  <si>
    <t>WOS:000430971300014</t>
  </si>
  <si>
    <t>Pellikka, H; Leijala, U; Johansson, MM; Leinonen, K; Kahma, KK</t>
  </si>
  <si>
    <t>Pellikka, Havu; Leijala, Ulpu; Johansson, Milla M.; Leinonen, Katri; Kahma, Kimmo K.</t>
  </si>
  <si>
    <t>Future probabilities of coastal floods in Finland</t>
  </si>
  <si>
    <t>CONTINENTAL SHELF RESEARCH</t>
  </si>
  <si>
    <t>Coastal flooding; Flooding risks; Sea level rise; Sea level variability; Baltic Sea; EU Floods Directive</t>
  </si>
  <si>
    <t>SEA-LEVEL RISE; ANTARCTIC ICE-SHEET; VARIABILITY; PROJECTIONS; SCENARIOS; THWAITES; TRENDS; DRIVEN</t>
  </si>
  <si>
    <t>Coastal planning requires detailed knowledge of future flooding risks, and effective planning must consider both short-term sea level variations and the long-term trend. We calculate distributions that combine short- and long-term effects to provide estimates of flood probabilities in 2050 and 2100 on the Finnish coast in the Baltic Sea. Our distributions of short-term sea level variations are based on 46 years (1971-2016) of observations from the 13 Finnish tide gauges. The long-term scenarios of mean sea level combine postglacial land uplift, regionally adjusted scenarios of global sea level rise, and the effect of changes in the wind climate. The results predict that flooding risks will clearly increase by 2100 in the Gulf of Finland and the Bothnian Sea, while only a small increase or no change compared to present-day conditions is expected in the Bothnian Bay, where the land uplift is stronger.</t>
  </si>
  <si>
    <t>[Pellikka, Havu; Leijala, Ulpu; Johansson, Milla M.; Leinonen, Katri; Kahma, Kimmo K.] Finnish Meteorol Inst, POB 503, FI-00101 Helsinki, Finland</t>
  </si>
  <si>
    <t>Finnish Meteorological Institute</t>
  </si>
  <si>
    <t>Leijala, U (corresponding author), Finnish Meteorol Inst, POB 503, FI-00101 Helsinki, Finland.</t>
  </si>
  <si>
    <t>ulpu.leijala@fmi.fi</t>
  </si>
  <si>
    <t>Kahma, Kimmo K/A-3407-2013</t>
  </si>
  <si>
    <t>Johansson, Milla/0000-0002-9566-5149; Pellikka, Havu/0000-0001-8835-5831; Leijala, Ulpu/0000-0002-1045-1935</t>
  </si>
  <si>
    <t>Ministry of Agriculture of Forestry; Ministry of Environment, the City of Pori; Centre for Economic Development, Transport and the Environment of Uusimaa; EU Floods Directive in Finland [2007/60/EC]</t>
  </si>
  <si>
    <t>Ministry of Agriculture of Forestry; Ministry of Environment, the City of Pori; Centre for Economic Development, Transport and the Environment of Uusimaa; EU Floods Directive in Finland</t>
  </si>
  <si>
    <t>We thank Hanna Boman, Laura Tuomi, and Lauri Laakso for their helpful comments on the manuscript. The research was partially funded by the Ministry of Agriculture of Forestry, the Ministry of Environment, the City of Pori and the Centre for Economic Development, Transport and the Environment of Uusimaa. The work presented here was utilized in the implementation of the EU Floods Directive (2007/60/EC) in Finland.</t>
  </si>
  <si>
    <t>0278-4343</t>
  </si>
  <si>
    <t>1873-6955</t>
  </si>
  <si>
    <t>CONT SHELF RES</t>
  </si>
  <si>
    <t>Cont. Shelf Res.</t>
  </si>
  <si>
    <t>10.1016/j.csr.2018.02.006</t>
  </si>
  <si>
    <t>GD8NI</t>
  </si>
  <si>
    <t>WOS:000430768800004</t>
  </si>
  <si>
    <t>Swanson, H</t>
  </si>
  <si>
    <t>Swanson, Heidi</t>
  </si>
  <si>
    <t>New marine park protects sub-Antarctic species</t>
  </si>
  <si>
    <t>FRONTIERS IN ECOLOGY AND THE ENVIRONMENT</t>
  </si>
  <si>
    <t>1540-9295</t>
  </si>
  <si>
    <t>1540-9309</t>
  </si>
  <si>
    <t>FRONT ECOL ENVIRON</t>
  </si>
  <si>
    <t>Front. Ecol. Environ.</t>
  </si>
  <si>
    <t>GB2JU</t>
  </si>
  <si>
    <t>WOS:000428879100009</t>
  </si>
  <si>
    <t>Edwards-Opperman, J; Cavallo, S; Turner, D</t>
  </si>
  <si>
    <t>Edwards-Opperman, Jonathan; Cavallo, Steven; Turner, David</t>
  </si>
  <si>
    <t>The Occurrence and Properties of Long-Lived Liquid-Bearing Clouds over the Greenland Ice Sheet and Their Relationship to the North Atlantic Oscillation</t>
  </si>
  <si>
    <t>JOURNAL OF APPLIED METEOROLOGY AND CLIMATOLOGY</t>
  </si>
  <si>
    <t>Arctic; Clouds; Orographic effects; North Atlantic Oscillation; Climate variability; Cloud microphysics</t>
  </si>
  <si>
    <t>OCCURRENCE SENSOR SYSTEM; MICROWAVE RADIOMETERS; PRECIPITATION; SURFACE; PERFORMANCE; NETWORK; SUMMIT</t>
  </si>
  <si>
    <t>Stratiform liquid-bearing clouds (LBCs), defined herein as either pure liquid or mixed-phase clouds, have a large impact on the surface radiation budget across the Arctic. LBCs lasting at least 6 h are observed at Summit, Greenland, year-round with a maximum in occurrence during summer. Mean cloud-base height is below 1 km for 85% of LBC cases identified, 59% have mean liquid water path (LWP) values between 10 and 40 g m(-2), and most produce sporadic light ice-phase precipitation. During their occurrence, the atmosphere above the ice sheet is anomalously warm and moist, with southerly winds observed over much of the ice sheet, including at Summit. LBCs that occur when the North Atlantic Oscillation (NAO) is in the negative phase correspond to strong ridging centered over the Greenland Ice Sheet (GIS), allowing for southwesterly flow over the GIS toward Summit. During the positive phase of the NAO, the occurrence of LBCs corresponds to a cyclone located off the southeastern coast of the ice sheet, which leads to easterly-to-southeasterly flow toward Summit. Furthermore, air parcels at Summit frequently originate from below the elevation of Summit, indicating that orographic lift along the ice sheet is a factor in the occurrence of LBCs at Summit. LBCs are more frequently observed during the negative NAO, and both the LWP and precipitation rate are larger in LBCs occurring during this phase. Mean LWP in LBCs occurring during the negative NAO is 15 g m(-2) larger than in LBCs occurring during the positive phase.</t>
  </si>
  <si>
    <t>[Edwards-Opperman, Jonathan] Univ Oklahoma, Cooperat Inst Mesoscale Meteorol Studies, Norman, OK 73019 USA; [Cavallo, Steven] Univ Oklahoma, Norman, OK 73019 USA; [Turner, David] NOAA, Earth Syst Res Lab, Global Syst Div, Boulder, CO USA</t>
  </si>
  <si>
    <t>University of Oklahoma System; University of Oklahoma - Norman; University of Oklahoma System; University of Oklahoma - Norman; National Oceanic Atmospheric Admin (NOAA) - USA</t>
  </si>
  <si>
    <t>Edwards-Opperman, J (corresponding author), Univ Oklahoma, Cooperat Inst Mesoscale Meteorol Studies, Norman, OK 73019 USA.</t>
  </si>
  <si>
    <t>jeo6@ou.edu</t>
  </si>
  <si>
    <t>Cavallo, Steven/O-5890-2019; Turner, David/E-5180-2016</t>
  </si>
  <si>
    <t>Turner, David/0000-0003-1097-897X; Cavallo, Steven/0000-0002-9032-2542</t>
  </si>
  <si>
    <t>National Science Foundation [1304692, 1314358]; Directorate For Geosciences; Office of Polar Programs (OPP) [1314358, 1414314] Funding Source: National Science Foundation; Directorate For Geosciences; Office of Polar Programs (OPP) [1304692] Funding Source: National Science Foundation</t>
  </si>
  <si>
    <t>National Science Foundation(National Science Foundation (NSF)); Directorate For Geosciences; Office of Polar Programs (OPP)(National Science Foundation (NSF)NSF - Directorate for Geosciences (GEO)); Directorate For Geosciences; Office of Polar Programs (OPP)(National Science Foundation (NSF)NSF - Directorate for Geosciences (GEO))</t>
  </si>
  <si>
    <t>We thank Jeff Thayer, Robert Stillwell, and Connor Flynn for discussions regarding the analysis of the MPL dataset. We thank all of the researchers, technicians, and staff involved with the ICECAPS project and, especially, those involved with the Polar Field Services that operate the site and maintain the ICECAPS instruments year-round. Additionally, we thank the students and faculty in the Arctic and Antarctic Atmospheric Research Group at the University of Oklahoma. This research was supported by the National Science Foundation via Grants 1304692 and 1314358.</t>
  </si>
  <si>
    <t>1558-8424</t>
  </si>
  <si>
    <t>1558-8432</t>
  </si>
  <si>
    <t>J APPL METEOROL CLIM</t>
  </si>
  <si>
    <t>J. Appl. Meteorol. Climatol.</t>
  </si>
  <si>
    <t>10.1175/JAMC-D-17-0230.1</t>
  </si>
  <si>
    <t>GD4EX</t>
  </si>
  <si>
    <t>WOS:000430457500008</t>
  </si>
  <si>
    <t>Henderson, GR; Barrett, BS; Lois, A; Elsaawy, H</t>
  </si>
  <si>
    <t>Henderson, Gina R.; Barrett, Bradford S.; Lois, Ashley; Elsaawy, Haadi</t>
  </si>
  <si>
    <t>Time-Lagged Response of the Antarctic and High-Latitude Atmosphere to Tropical MJO Convection</t>
  </si>
  <si>
    <t>MONTHLY WEATHER REVIEW</t>
  </si>
  <si>
    <t>MADDEN-JULIAN OSCILLATION; NORTH-ATLANTIC OSCILLATION; SOUTHERN-HEMISPHERE; TEMPERATURE ANOMALIES; ARCTIC OSCILLATION; SEA-ICE; WINTER; BLOCKING; PRECIPITATION; CIRCULATION</t>
  </si>
  <si>
    <t>Intraseasonal tropical variability has important implications for the mid-and high-latitude atmosphere, and in recent studies has been shown to modulate a number of weather processes in the Northern Hemisphere, such as snow depth, sea ice concentration, precipitation, atmospheric rivers, and air temperature. In such studies, the extratropical atmosphere has tended to respond to the tropical convection of the leading mode of intraseasonal variability, the Madden-Julian oscillation (MJO), with a time lag of approximately 7 days. However, the time lag between the MJO and the Antarctic atmosphere has been found to vary between less than 7 and greater than 20 days. This study builds on previous work by further examining the time-lagged response of Southern Hemisphere tropospheric circulation to tropical MJO forcing, with specific focus on the latitude belt associated with the Antarctic Oscillation, during the months of June (austral winter) and December (austral summer) using NCEP-DOE Reanalysis 2 data for the years 1979-2016. Principal findings indicate that the time lag with the strongest height anomalies depends on both the location of the MJO convection (e.g., the MJO phase) and the season, and that the lagged height anomalies in the Antarctic atmosphere are fairly consistent across different vertical levels and latitudinal bands. In addition, certain MJO phases in December displayed lagged height anomalies indicative of blocking-type atmospheric patterns, with an approximate wave number of 4, whereas in June most phases were associated with more progressive height anomaly centers resembling a wavenumber-3-type pattern.</t>
  </si>
  <si>
    <t>[Henderson, Gina R.; Barrett, Bradford S.; Lois, Ashley; Elsaawy, Haadi] US Naval Acad, Oceanog Dept, Annapolis, MD 21402 USA</t>
  </si>
  <si>
    <t>United States Department of Defense; United States Navy; United States Naval Academy</t>
  </si>
  <si>
    <t>Henderson, GR (corresponding author), US Naval Acad, Oceanog Dept, Annapolis, MD 21402 USA.</t>
  </si>
  <si>
    <t>ghenders@usna.edu</t>
  </si>
  <si>
    <t>Barrett, Bradford/0000-0002-5575-9052</t>
  </si>
  <si>
    <t>National Science Foundation [ARC-1203843, AGS-1240143]; NASA [NNX16AH61G]; Office of Naval Research Grant [N0001416WX01752]</t>
  </si>
  <si>
    <t>National Science Foundation(National Science Foundation (NSF)); NASA(National Aeronautics &amp; Space Administration (NASA)); Office of Naval Research Grant(Office of Naval Research)</t>
  </si>
  <si>
    <t>This research was partially supported by National Science Foundation Awards ARC-1203843 and AGS-1240143, NASA Award NNX16AH61G, and Office of Naval Research Grant N0001416WX01752.</t>
  </si>
  <si>
    <t>0027-0644</t>
  </si>
  <si>
    <t>1520-0493</t>
  </si>
  <si>
    <t>MON WEATHER REV</t>
  </si>
  <si>
    <t>Mon. Weather Rev.</t>
  </si>
  <si>
    <t>10.1175/MWR-D-17-0224.1</t>
  </si>
  <si>
    <t>GD5AP</t>
  </si>
  <si>
    <t>WOS:000430516700015</t>
  </si>
  <si>
    <t>Tarroux, A; Lydersen, C; Trathan, PN; Kovacs, KM</t>
  </si>
  <si>
    <t>Tarroux, Arnaud; Lydersen, Christian; Trathan, Philip N.; Kovacs, Kit M.</t>
  </si>
  <si>
    <t>Temporal variation in trophic relationships among three congeneric penguin species breeding in sympatry</t>
  </si>
  <si>
    <t>Antarctic krill; Euphausia superba; interspecific competition; isotopic niche; pygoscelid penguin; stable isotopes</t>
  </si>
  <si>
    <t>SOUTH ORKNEY ISLANDS; PHYLOGENETIC LIMITING SIMILARITY; STABLE-ISOTOPE RATIOS; CHINSTRAP PENGUINS; REPRODUCTIVE SUCCESS; INTERANNUAL VARIABILITY; LIPID NORMALIZATION; PYGOSCELIS PENGUINS; DELTA-N-15 VALUES; SHETLAND ISLANDS</t>
  </si>
  <si>
    <t>Penguins are a monophyletic group in which many species are found breeding sympatrically, raising questions regarding how these species coexist successfully. Here, the isotopic niche of three sympatric pygoscelid penguin species was investigated at Powell Island, South Orkney Islands, during two breeding seasons (austral summers 2013-2014 and 2015-2016). Measurements of carbon (C-13) and nitrogen (N-15) stable isotope ratios were obtained from blood (adults) or feather (chicks) samples collected from Adelie Pygoscelis adeliae, chinstrap P.antarctica, and gentoo P.papua penguins. Isotopic niche regions (a proxy for the realized trophic niches) were computed to provide estimates of the trophic niche width of the studied species during the breeding season. The isotopic niche regions of adults of all three species were similar, but gentoo chicks had noticeably wider isotopic niches than the chicks of the other two species. Moderate to strong overlap in isotopic niche among species was found during each breeding season and for both age groups, suggesting that the potential for competition for shared food sources was similar during the two study years, although the actual level of competition could not be determined owing to the lack of data on resource abundance. Clear interannual shifts in isotopic niche were seen in all three species, though of lower amplitude for adult chinstrap penguins. These shifts were due to variation in carbon, but not nitrogen, isotopic ratios, which could indicate either a change in isotopic signature of their prey or a switch to an alternative food web. The main conclusions of this study are that (1) there is a partial overlap in the isotopic niches of these three congeneric species and that (2) they responded similarly to changes that likely occurred at the base of their food chain between the 2years of the study.</t>
  </si>
  <si>
    <t>[Tarroux, Arnaud; Lydersen, Christian; Kovacs, Kit M.] Norwegian Polar Res Inst, Fram Ctr, Tromso, Norway; [Tarroux, Arnaud] Norwegian Inst Nat Res, Fram Ctr, Tromso, Norway; [Trathan, Philip N.] British Antarctic Survey, Cambridge, England</t>
  </si>
  <si>
    <t>Norwegian Polar Institute; Norwegian Institute Nature Research; UK Research &amp; Innovation (UKRI); Natural Environment Research Council (NERC); NERC British Antarctic Survey</t>
  </si>
  <si>
    <t>Tarroux, A (corresponding author), Norwegian Inst Nat Res, Fram Ctr, Tromso, Norway.</t>
  </si>
  <si>
    <t>arnaud.tarroux@nina.no</t>
  </si>
  <si>
    <t>Norges Forskningsrad [222798/E10]; NERC [bas0100035] Funding Source: UKRI</t>
  </si>
  <si>
    <t>Norges Forskningsrad(Research Council of Norway); NERC(UK Research &amp; Innovation (UKRI)Natural Environment Research Council (NERC))</t>
  </si>
  <si>
    <t>Norges Forskningsrad, Grant/Award Number: 222798/E10</t>
  </si>
  <si>
    <t>10.1002/ece3.3937</t>
  </si>
  <si>
    <t>GC9LW</t>
  </si>
  <si>
    <t>WOS:000430119900009</t>
  </si>
  <si>
    <t>Pyne, RL; Keller, ED; Canessa, S; Bertler, NAN; Pyne, AR; Mandeno, D; Vallelonga, P; Semper, S; Kjær, HA; Hutchinson, E; Baisden, WT</t>
  </si>
  <si>
    <t>Pyne, Rebecca L.; Keller, Elizabeth D.; Canessa, Silvia; Bertler, Nancy A. N.; Pyne, Alex R.; Mandeno, Darcy; Vallelonga, Paul; Semper, Stefanie; Kjaer, Helle A.; Hutchinson, Ed; Baisden, W. Troy</t>
  </si>
  <si>
    <t>A novel approach to process brittle ice for continuous flow analysis of stable water isotopes</t>
  </si>
  <si>
    <t>glaciological instruments and methods; ice core; paleoclimate</t>
  </si>
  <si>
    <t>CORES; RESOLUTION; ANTARCTICA; CLIMATE; RECORD; VARIABILITY; METHANE; SYSTEM; SNOW; DOME</t>
  </si>
  <si>
    <t>Brittle ice, which occurs in all intermediate-depth and deep ice cores retrieved from high-latitude regions, presents a challenge for high-resolution measurements of water isotopes, gases, ions and other quantities conducted with continuous flow analysis (CFA). We present a novel method of preserving brittle ice for CFA stable water isotope measurements using data from a new ice core recovered by the Roosevelt Island Climate Evolution (RICE) project. Modest modification of the drilling technique and the accommodation of non-horizontal fractures ('slanted breaks') in processing led to a substantial improvement in the percentage of brittle ice analyzed with CFA (87.8%). Whereas traditional processing methods remove entire fragmented pieces of ice, our method allowed the incorporation of a total of 3 m of ice (1% of the 261 m of brittle ice and similar to 1300 years of climate history) that otherwise would not have been available for CFA. Using the RICE stable water isotope CFA dataset, we demonstrate the effect of slanted breaks and analyze the resulting smoothing of the data with real and simulated examples. Our results suggest that retaining slanted breaks are a promising technique for preserving brittle ice material for CFA stable water isotope measurements.</t>
  </si>
  <si>
    <t>[Pyne, Rebecca L.; Keller, Elizabeth D.; Canessa, Silvia; Bertler, Nancy A. N.; Semper, Stefanie; Hutchinson, Ed; Baisden, W. Troy] GNS Sci, Lower Hutt, New Zealand; [Bertler, Nancy A. N.; Pyne, Alex R.; Mandeno, Darcy] Victoria Univ Wellington, Antarctic Res Ctr, Wellington, New Zealand; [Vallelonga, Paul; Kjaer, Helle A.] Univ Copenhagen, Niels Bohr Inst, Ctr Ice &amp; Climate, Copenhagen, Denmark</t>
  </si>
  <si>
    <t>GNS Science - New Zealand; Victoria University Wellington; University of Copenhagen; Niels Bohr Institute</t>
  </si>
  <si>
    <t>Keller, ED (corresponding author), GNS Sci, Lower Hutt, New Zealand.</t>
  </si>
  <si>
    <t>l.keller@gns.cri.nz</t>
  </si>
  <si>
    <t>Baisden, Troy/B-9831-2008; Kjær, Helle Astrid/HGC-7941-2022; Bertler, Nancy A N/F-3967-2011; Keller, Elizabeth Diane/GLN-5354-2022; Keller, Elizabeth/N-9428-2019; Vallelonga, Paul/I-9650-2016</t>
  </si>
  <si>
    <t>Baisden, Troy/0000-0003-1814-1306; Kjær, Helle Astrid/0000-0002-3781-9509; Keller, Elizabeth/0000-0002-9408-9215; Semper, Stefanie/0000-0003-1083-4642; Vallelonga, Paul/0000-0003-1055-7235; Bertler, Nancy/0000-0001-6028-4891</t>
  </si>
  <si>
    <t>national contribution from New Zealand; national contribution from Australia; national contribution from Denmark; national contribution from Germany; national contribution from Italy; national contribution from People's Republic of China; national contribution from Sweden; national contribution from UK; national contribution from USA; Antarctica New Zealand [K049]; US Antarctic Program; New Zealand Ministry of Business, Innovation, and Employment Grants through Victoria University of Wellington [RDF-VUW-1103, 15-VUW-131]; GNS Science [540GCT32, 540GCT12]; Carlsberg Foundation's North-South Climate Connections project grant; European Research Council under the European Community's Seventh Framework Programme (FP7) ERC, Ice2Ice project [610055]</t>
  </si>
  <si>
    <t>national contribution from New Zealand; national contribution from Australia; national contribution from Denmark; national contribution from Germany; national contribution from Italy; national contribution from People's Republic of China; national contribution from Sweden; national contribution from UK; national contribution from USA; Antarctica New Zealand; US Antarctic Program; New Zealand Ministry of Business, Innovation, and Employment Grants through Victoria University of Wellington; GNS Science; Carlsberg Foundation's North-South Climate Connections project grant; European Research Council under the European Community's Seventh Framework Programme (FP7) ERC, Ice2Ice project</t>
  </si>
  <si>
    <t>This work is a contribution to the Roosevelt Island Climate Evolution (RICE) Program, funded by national contributions from New Zealand, Australia, Denmark, Germany, Italy, the People's Republic of China, Sweden, UK and USA. The main logistics support was provided by Antarctica New Zealand (K049) and the US Antarctic Program. Funding for this project was provided by the New Zealand Ministry of Business, Innovation, and Employment Grants through Victoria University of Wellington (RDF-VUW-1103, 15-VUW-131) and GNS Science (540GCT32, 540GCT12), and Antarctica New Zealand (K049). The Danish contribution to RICE was funded by the Carlsberg Foundation's North-South Climate Connections project grant. The research also received funding from the European Research Council under the European Community's Seventh Framework Programme (FP7/2007-2013) ERC grant agreement 610055 as part of the Ice2Ice project.</t>
  </si>
  <si>
    <t>10.1017/jog.2018.19</t>
  </si>
  <si>
    <t>WOS:000430422000010</t>
  </si>
  <si>
    <t>Alley, KE; Scambos, TA; Anderson, RS; Rajaram, H; Pope, A; Haran, TM</t>
  </si>
  <si>
    <t>Alley, Karen E.; Scambos, Ted A.; Anderson, Robert S.; Rajaram, Harihar; Pope, Allen; Haran, Terry M.</t>
  </si>
  <si>
    <t>Continent-wide estimates of Antarctic strain rates from Landsat 8-derived velocity grids</t>
  </si>
  <si>
    <t>Antarctic glaciology; glacier flow; ice dynamics; ice velocity</t>
  </si>
  <si>
    <t>ICE-SHELF; MASS-BALANCE; STABILITY; GLACIER; FLOW</t>
  </si>
  <si>
    <t>Strain rates are fundamental measures of ice flow and are used in a wide variety of glacio-logical applications including investigations of bed properties, calculations of basal mass balance on ice shelves, and constraints on ice rheological models. However, despite their extensive application, strain rates are calculated using a variety of methods and length scales and the details are often not specified. In this study, we compare the results of nominal and logarithmic strain-rate calculations based on a satellite-derived velocity field of the Antarctic ice sheet generated from Landsat 8 satellite data. Our comparison highlights the differences between the two common approaches in the glaciological literature. We evaluate the errors introduced by each approach and their impacts on the results. We also demonstrate the importance of choosing and specifying a length scale over which strain-rate calculations are made, which can strongly influence other derived quantities such as basal mass balance on ice shelves. Finally, we present strain-rate data products calculated using an approximate viscous length-scale with satellite observations of ice velocity for the Antarctic continent.</t>
  </si>
  <si>
    <t>[Alley, Karen E.; Scambos, Ted A.; Pope, Allen; Haran, Terry M.] Univ Colorado Boulder, Natl Snow &amp; Ice Data Ctr, Cooperat Inst Res Environm Sci, Boulder, CO 80309 USA; [Anderson, Robert S.] Univ Colorado Boulder, Inst Arctic &amp; Alpine Res INSTAAR, Boulder, CO USA; [Anderson, Robert S.] Univ Colorado Boulder, Dept Geol Sci, Boulder, CO USA; [Rajaram, Harihar] Univ Colorado Boulder, Dept Civil Environm &amp; Architectural Engn, Boulder, CO USA</t>
  </si>
  <si>
    <t>University of Colorado System; University of Colorado Boulder; University of Colorado System; University of Colorado Boulder; University of Colorado System; University of Colorado Boulder; University of Colorado System; University of Colorado Boulder</t>
  </si>
  <si>
    <t>Alley, KE (corresponding author), Univ Colorado Boulder, Natl Snow &amp; Ice Data Ctr, Cooperat Inst Res Environm Sci, Boulder, CO 80309 USA.</t>
  </si>
  <si>
    <t>kalley@wooster.edu</t>
  </si>
  <si>
    <t>Alley, Karen E/HGE-5249-2022</t>
  </si>
  <si>
    <t>Alley, Karen E/0000-0003-0358-3806; Pope, Allen/0000-0001-9699-7500; SCAMBOS, Ted A./0000-0003-4268-6322; Anderson, Robert/0000-0003-2759-4833</t>
  </si>
  <si>
    <t>NASA [NNX14AK82H]; NASA Cryosphere grant [NNX16AJ88G]; USGS [G12PC00066]; NASA [680440, NNX14AK82H, NNX16AJ88G, 902240] Funding Source: Federal RePORTER</t>
  </si>
  <si>
    <t>NASA(National Aeronautics &amp; Space Administration (NASA)); NASA Cryosphere grant; USGS(United States Geological Survey); NASA(National Aeronautics &amp; Space Administration (NASA))</t>
  </si>
  <si>
    <t>This study was supported by NASA through a NASA Earth Science Student Fellowship (NNX14AK82H), NASA Cryosphere grant NNX16AJ88G and by USGS contract G12PC00066. We thank W. H. Armstrong and D. R. MacAyeal for help in the development of the strain-rate algorithm, and D. R. MacAyeal for comments on this manuscript.</t>
  </si>
  <si>
    <t>10.1017/jog.2018.23</t>
  </si>
  <si>
    <t>WOS:000430422000013</t>
  </si>
  <si>
    <t>Renaud, S; Ledevin, R; Pisanu, B; Chapuis, JL; Quillfeldt, P; Hardouin, EA</t>
  </si>
  <si>
    <t>Renaud, Sabrina; Ledevin, Ronan; Pisanu, Benoit; Chapuis, Jean-Louis; Quillfeldt, Petra; Hardouin, Emilie A.</t>
  </si>
  <si>
    <t>Divergent in shape and convergent in function: Adaptive evolution of the mandible in Sub-Antarctic mice</t>
  </si>
  <si>
    <t>EVOLUTION</t>
  </si>
  <si>
    <t>Adaptive convergence; biomechanics; geometric morphometrics; mouse mandible; Mus musculus domesticus</t>
  </si>
  <si>
    <t>FERAL HOUSE MICE; CONTEMPORARY EVOLUTION; MAXIMUM-LIKELIHOOD; MUS-MUSCULUS; ISLAND RULE; BODY-SIZE; WOOD MICE; MOUSE; COLONIZATION; POPULATIONS</t>
  </si>
  <si>
    <t>Convergent evolution in similar environments constitutes strong evidence of adaptive evolution. Transported with people around the world, house mice colonized even remote areas, such as Sub-Antarctic islands. There, they returned to a feral way of life, shifting towards a diet enriched in terrestrial macroinvertebrates. Here, we test the hypothesis that this triggered convergent evolution of the mandible, a morphological character involved in food consumption. Mandible shape from four Sub-Antarctic islands was compared to phylogeny, tracing the history of colonization, and climatic conditions. Mandible shape was primarily influenced by phylogenetic history, thus discarding the hypothesis of convergent evolution. The biomechanical properties of the jaw were then investigated. Incisor in-lever and temporalis out-lever suggested an increase in the velocity of incisor biting, in agreement with observations on various carnivorous and insectivorous rodents. The mechanical advantage related to incisor biting also revealed an increased functional performance in Sub-Antarctic populations, and appears to be an adaptation to catch prey more efficiently. The amount of change involved was larger than expected for a plastic response, suggesting microevolutionary processes were evolved. This study thus denotes some degree of adaptive convergent evolution related to changes in habitat-related changes in dietary items in Sub-Antarctic mice, but only regarding simple, functionally relevant aspects of mandible morphology.</t>
  </si>
  <si>
    <t>[Renaud, Sabrina; Ledevin, Ronan] Univ Lyon 1, CNRS, UMR 5558, Lab Biometrie &amp; Biol Evolut, Campus Doua, F-69100 Villeurbanne, France; [Ledevin, Ronan] Univ Bordeaux, PACEA, UMR5199, Allee Geoffroy St Hilaire,Batiment B8, F-33615 Pessac, France; [Pisanu, Benoit; Chapuis, Jean-Louis] Univ Paris 06, Sorbonne Univ, CNRS, UMR 7204,Ctr Ecol &amp; Sci Conservat,Museum Natl His, 61 Rue Buffon, F-75005 Paris, France; [Quillfeldt, Petra] Justus Liebig Univ, AG Verhaltensokol &amp; Okophysiol Tiere, Heinrich Buff Ring 38, D-35392 Giessen, Germany; [Hardouin, Emilie A.] Bournemouth Univ, Fac Sci &amp; Technol, Dept Life &amp; Environm Sci, Christchurch House,Talbot Campus, Poole BH12 5BB, Dorset, England</t>
  </si>
  <si>
    <t>Universite Claude Bernard Lyon 1; Centre National de la Recherche Scientifique (CNRS); CNRS - Institute of Ecology &amp; Environment (INEE); VetAgro Sup; Universite de Bordeaux; Centre National de la Recherche Scientifique (CNRS); CNRS - Institute of Ecology &amp; Environment (INEE); Museum National d'Histoire Naturelle (MNHN); Centre National de la Recherche Scientifique (CNRS); CNRS - Institute of Ecology &amp; Environment (INEE); Sorbonne Universite; Justus Liebig University Giessen; Bournemouth University</t>
  </si>
  <si>
    <t>Renaud, S (corresponding author), Univ Lyon 1, CNRS, UMR 5558, Lab Biometrie &amp; Biol Evolut, Campus Doua, F-69100 Villeurbanne, France.</t>
  </si>
  <si>
    <t>Sabrina.Renaud@univ-lyon1.fr</t>
  </si>
  <si>
    <t>Renaud, Sabrina/D-4247-2009; Renaud, Sabrina/AAV-3141-2020</t>
  </si>
  <si>
    <t>Renaud, Sabrina/0000-0002-8730-3113</t>
  </si>
  <si>
    <t>French Polar Institute [136]; CNRS; ANR Bigtooth [ANR-AA-BSV7-008]; University Lyon</t>
  </si>
  <si>
    <t>French Polar Institute; CNRS(Centre National de la Recherche Scientifique (CNRS)); ANR Bigtooth(Agence Nationale de la Recherche (ANR)); University Lyon</t>
  </si>
  <si>
    <t>Jean-Pierre Quere (CBGP Montpellier) is thanked for access to his collection and Louise Souquet and Lionel Hautier for numerous discussions. Professor Robert Britton contributed to improve the writing of the manuscript. We thank two anonymous reviewers and J.X. Samuel, as well as the editor Alistair Evans, for their constructive and challenging remarks that greatly improved this study. This study was supported by the French Polar Institute (IPEV programme 136), and by the CNRS (zone atelier de Recherches sur l'Environnement Antarctique et Subantarctique), and by the ANR Bigtooth (ANR-AA-BSV7-008). Emilie A. Hardouin benefited from an invited lecturer scholarship of the University Lyon 1 that eased the redaction of the manuscript.</t>
  </si>
  <si>
    <t>0014-3820</t>
  </si>
  <si>
    <t>1558-5646</t>
  </si>
  <si>
    <t>Evolution</t>
  </si>
  <si>
    <t>10.1111/evo.13467</t>
  </si>
  <si>
    <t>GD0EO</t>
  </si>
  <si>
    <t>WOS:000430172900012</t>
  </si>
  <si>
    <t>Peramo, A</t>
  </si>
  <si>
    <t>Peramo, Antonio</t>
  </si>
  <si>
    <t>Molecular dynamics studies show solvation structure of type III antifreeze protein is disrupted at low pH</t>
  </si>
  <si>
    <t>COMPUTATIONAL BIOLOGY AND CHEMISTRY</t>
  </si>
  <si>
    <t>Molecular dynamics; Amber; Antifreeze protein; Water solvation</t>
  </si>
  <si>
    <t>ICE-BINDING; WINTER FLOUNDER; ANTARCTIC BACTERIUM; WATER MODELS; POLYPEPTIDE; TEMPERATURE; SIMULATION; MECHANISM; INHIBITION; ADSORPTION</t>
  </si>
  <si>
    <t>Antifreeze proteins are a class of biological molecules of interest in many research and industrial applications due to their highly specialized function, but there is little information of their stability and properties under varied pH derived from computational studies. To gain novel insights in this area, we conducted molecular dynamics (MD) simulations with the antifreeze protein 1KDF at varied temperatures and pH. Water solvation and H-bond formation around specific residues - ASN14, THR18 and GLN44 - involved in its antifreeze activity were extensively studied. We found that at pH1 there was a disruption in water solvation around the basal and the ice binding surfaces of the molecule. This was induced by a small change in the secondary structure propensities of some titrable residues, particularly GLU35. This change explains the experimentally observed reduction in antifreeze activity previously reported for this protein at pHI. We also found that THR18 showed extremely low H-bond formation, and that the three antifreeze residues all had very low average H-bond lifetimes. Our results confirm long-standing assumptions that these small, compact molecules can maintain their antifreeze activity in a wide range of pH, while demonstrating the mechanism that may reduce antifreeze activity at low pH. This aspect is useful when considering industrial and commercial use of antifreeze proteins subject to extreme pH environments, in particular in food industrial applications. (c) 2018 Elsevier Ltd. All rights reserved.</t>
  </si>
  <si>
    <t>[Peramo, Antonio] Escuela Politecn Super Chimborazo, Escuela Fis &amp; Matemat, Fac Ciencias, Riobamba, Ecuador</t>
  </si>
  <si>
    <t>Peramo, A (corresponding author), Escuela Politecn Super Chimborazo, Escuela Fis &amp; Matemat, Fac Ciencias, Riobamba, Ecuador.</t>
  </si>
  <si>
    <t>aperamo@hushmail.com</t>
  </si>
  <si>
    <t>Peramo, Antonio/0000-0003-3792-2546</t>
  </si>
  <si>
    <t>Prometeo Project, Secretaria de Educacion Superior, Ciencia, Tecnologia e Innovacion of the Republic of Ecuador</t>
  </si>
  <si>
    <t>We thank the Prometeo Project, Secretaria de Educacion Superior, Ciencia, Tecnologia e Innovacion of the Republic of Ecuador for financial support of this project.</t>
  </si>
  <si>
    <t>1476-9271</t>
  </si>
  <si>
    <t>1476-928X</t>
  </si>
  <si>
    <t>COMPUT BIOL CHEM</t>
  </si>
  <si>
    <t>Comput. Biol. Chem.</t>
  </si>
  <si>
    <t>10.1016/j.compbiolchem.2018.01.006</t>
  </si>
  <si>
    <t>Biology; Computer Science, Interdisciplinary Applications</t>
  </si>
  <si>
    <t>Life Sciences &amp; Biomedicine - Other Topics; Computer Science</t>
  </si>
  <si>
    <t>GC2RT</t>
  </si>
  <si>
    <t>WOS:000429631000002</t>
  </si>
  <si>
    <t>Tan, KC; Lim, HS; Jafri, MZM</t>
  </si>
  <si>
    <t>Tan, Kok Chooi; Lim, Hwee San; Jafri, Mohd. Zubir Mat</t>
  </si>
  <si>
    <t>Study on solar ultraviolet erythemal dose distribution over Peninsular Malaysia using Ozone Monitoring Instrument</t>
  </si>
  <si>
    <t>EGYPTIAN JOURNAL OF REMOTE SENSING AND SPACE SCIENCES</t>
  </si>
  <si>
    <t>Ultraviolet; Ozone Monitoring Instrument (OMI); Erythemal; Peninsular Malaysia</t>
  </si>
  <si>
    <t>RADIATION; SCIENCE</t>
  </si>
  <si>
    <t>The discovery of Antarctic hole in early 1980, causes a rise of global interest towards the amount of solar ultraviolet radiation (UV) falling onto the surface of the Earth. The danger that UV radiation brings to the Earth ecosystem makes any information related to UV radiation becomes valuable. Almost all the irradiative energy entering the Earth's atmosphere comes from the sun. The incoming solar radiation covers the entire electromagnetic spectrum from gamma and X-rays, through UV, visible, and infrared radiation to microwaves and radiowaves. For this study, the data are obtained from Ozone Monitoring Instrument (OMI) that onboard AURA satellite. Moreover, the study also focused on analyzing and mapping the distribution trend of UV erythemal daily dose rate over Peninsular Malaysia in 2015. The maximum UV erythemal daily dose appeared in April with its value of 7711.43 J/m(2) while the minimum daily dose was in December recorded at 5518.13 J/m(2). Consequently, April and December also charted to be having the maximum and minimum monthly mean erythemal dose. The study found that there is a strong correlation between spatial and temporal variation of UV erythemal daily dose with monsoon seasons and solar inclination angle in Peninsular Malaysia. (c) 2017 National Authority for Remote Sensing and Space Sciences. Production and hosting by Elsevier B.V.</t>
  </si>
  <si>
    <t>[Tan, Kok Chooi; Lim, Hwee San; Jafri, Mohd. Zubir Mat] Univ Sains Malaysia, Sch Phys, George Town 11800, Malaysia</t>
  </si>
  <si>
    <t>Universiti Sains Malaysia</t>
  </si>
  <si>
    <t>Tan, KC (corresponding author), Univ Sains Malaysia, Sch Phys, George Town 11800, Malaysia.</t>
  </si>
  <si>
    <t>kctan@usm.my</t>
  </si>
  <si>
    <t>MatJafri, Mohd Zubir/F-6340-2010; San Lim, Hwee/F-6580-2010</t>
  </si>
  <si>
    <t>Satellite Remote Sensing of Total Column Ozone over Peninsular Malaysia [304/PFIZIK/6313260]</t>
  </si>
  <si>
    <t>Satellite Remote Sensing of Total Column Ozone over Peninsular Malaysia</t>
  </si>
  <si>
    <t>The authors gratefully acknowledge the National Aeronautics and Space Administration (NASA) Goddard Earth Sciences Data Information and Services Center (DISC) for the provision of the OMI data. This project was carried out using the financial support from the short-term grant, Satellite Remote Sensing of Total Column Ozone over Peninsular Malaysia, account number: 304/PFIZIK/6313260.</t>
  </si>
  <si>
    <t>1110-9823</t>
  </si>
  <si>
    <t>2090-2476</t>
  </si>
  <si>
    <t>EGYPT J REMOTE SENS</t>
  </si>
  <si>
    <t>Egypt. J. Remote Sens. Space Sci.</t>
  </si>
  <si>
    <t>10.1016/j.ejrs.2017.01.001</t>
  </si>
  <si>
    <t>Environmental Sciences; Remote Sensing</t>
  </si>
  <si>
    <t>Environmental Sciences &amp; Ecology; Remote Sensing</t>
  </si>
  <si>
    <t>GC2JV</t>
  </si>
  <si>
    <t>WOS:000429609100011</t>
  </si>
  <si>
    <t>Espejo, W; Kitamura, D; Kidd, KA; Celis, JE; Kashiwada, S; Galbán-Malagón, C; Barra, R; Chiang, G</t>
  </si>
  <si>
    <t>Espejo, Winfred; Kitamura, Daiki; Kidd, Karen A.; Celis, Jose E.; Kashiwada, Shosaku; Galban-Malagon, Cristobal; Barra, Ricardo; Chiang, Gustavo</t>
  </si>
  <si>
    <t>Biomagnification of Tantalum through Diverse Aquatic Food Webs</t>
  </si>
  <si>
    <t>ENVIRONMENTAL SCIENCE &amp; TECHNOLOGY LETTERS</t>
  </si>
  <si>
    <t>NITROGEN ISOTOPES; MERCURY; EXTRACTION; CARBON; OCEAN</t>
  </si>
  <si>
    <t>Tantalum (Ta) is a technology-critical element (TCE) that is growing in global demand because of its use in electronic and medical devices, capacitors, aircraft, and hybrid cars. Despite its economic relevance, little is known about its environmental concentrations and the trophodynamics of Ta in aquatic food webs have not been studied. Invertebrates and fishes from coastal marine food webs representing different climatic zones in northwestern Chile, western Chilean Patagonia, and the Antarctic Peninsula were sampled and analyzed for Ta. The trophic level (TL) of species was assessed with nitrogen stable isotopes (delta N-15), and carbon stable isotopes (delta C-13) were used to trace energy flow in the food webs. Levels of T-a varied among taxa and sites, with the highest values found in fishes (0.53-44.48 ng g(-1) dry weight) and the lowest values found in invertebrates (0.11-7.80 n ng g(-1) dry weight). The values of (delta C-13) ranged from -11.79 to -25.66 parts per thousand. Ta biomagnified in all four aquatic food webs, with slopes of log Ta versus TL ranging from 0.16 to 0.60. This has important implications as little is known about its potential toxicity and there may be increased demand for TCEs such as Ta in the future.</t>
  </si>
  <si>
    <t>[Espejo, Winfred; Barra, Ricardo; Chiang, Gustavo] Univ Concepcion, Fac Environm Sci, Dept Aquat Syst, Casilla 160-C, Concepcion 4070386, Chile; [Espejo, Winfred; Barra, Ricardo; Chiang, Gustavo] Univ Concepcion, EULA Chile Ctr, Casilla 160-C, Concepcion 4070386, Chile; [Espejo, Winfred; Kidd, Karen A.] Univ New Brunswick, Canadian Rivers Inst, 100 Tucker Pk Rd, St John, NB E2L 4L5, Canada; [Espejo, Winfred; Kidd, Karen A.] Univ New Brunswick, Biol Dept, 100 Tucker Pk Rd, St John, NB E2L 4L5, Canada; [Kitamura, Daiki; Kashiwada, Shosaku] Toyo Univ, Res Ctr Life &amp; Environm Sci, Oura 3740193, Japan; [Celis, Jose E.] Univ Concepcion, Fac Vet Sci, Dept Anim Sci, Casilla 537, Chillan 3812120, Chile; [Galban-Malagon, Cristobal] Univ Andres Bello, Dept Ecol &amp; Biodiversidad, Fac Ecol &amp; Recursos Nat, Santiago 8370251, Chile; [Kidd, Karen A.] McMaster Univ, Dept Biol, 1280 Main St W, Hamilton, ON L8S 4K1, Canada; [Kidd, Karen A.] McMaster Univ, Sch Geog &amp; Earth Sci, 1280 Main St W, Hamilton, ON L8S 4K1, Canada; [Chiang, Gustavo] MERI Fdn, Santiago 7650720, Chile</t>
  </si>
  <si>
    <t>Universidad de Concepcion; Universidad de Concepcion; University of New Brunswick; University of New Brunswick; Toyo University; Universidad de Concepcion; Universidad Andres Bello; McMaster University; McMaster University</t>
  </si>
  <si>
    <t>Chiang, G (corresponding author), Univ Concepcion, Fac Environm Sci, Dept Aquat Syst, Casilla 160-C, Concepcion 4070386, Chile.;Chiang, G (corresponding author), Univ Concepcion, EULA Chile Ctr, Casilla 160-C, Concepcion 4070386, Chile.;Chiang, G (corresponding author), MERI Fdn, Santiago 7650720, Chile.</t>
  </si>
  <si>
    <t>gchiang@fundacionmeri.cl</t>
  </si>
  <si>
    <t>Galbán-Malagón, Cristobal/B-2170-2017; CELIS, JOSE/AAP-6048-2021; Chiang, Gustavo/ABA-9349-2020; Barra, Ricardo O./A-5543-2009; Espejo, Winfred/AAO-7150-2020; Kidd, Karen/ABG-3237-2020; Galban Malagon, Cristobal/J-2384-2015</t>
  </si>
  <si>
    <t>Barra, Ricardo O./0000-0002-1567-7722; Kidd, Karen/0000-0002-5619-1358; Galban Malagon, Cristobal/0000-0001-8397-5804; Chiang, Gustavo/0000-0003-4504-355X; CELIS, JOSE E./0000-0002-2458-1239; Espejo, Winfred/0000-0002-3753-2006</t>
  </si>
  <si>
    <t>CONICYT-Chile; project INACH [T31-11, RG09-14]; project FONDECYT regular [1161504]; project VRID of Universidad de Concepcion [216.153.025-1.0]; Natural Sciences and Engineering Research Council of Canada; Canada Research Chair funds; Ministry of Education, Culture, Sports, Science and Technology of Japan [51411016]; FONDECYT initiation [11150548]; FONDAP CRHIAM [15130015]; [INACH RT_12_17]</t>
  </si>
  <si>
    <t>CONICYT-Chile(Comision Nacional de Investigacion Cientifica y Tecnologica (CONICYT)); project INACH; project FONDECYT regular(Comision Nacional de Investigacion Cientifica y Tecnologica (CONICYT)CONICYT FONDECYT); project VRID of Universidad de Concepcion; Natural Sciences and Engineering Research Council of Canada(Natural Sciences and Engineering Research Council of Canada (NSERC)CGIAR); Canada Research Chair funds; Ministry of Education, Culture, Sports, Science and Technology of Japan(Ministry of Education, Culture, Sports, Science and Technology, Japan (MEXT)); FONDECYT initiation(Comision Nacional de Investigacion Cientifica y Tecnologica (CONICYT)CONICYT FONDECYT); FONDAP CRHIAM;</t>
  </si>
  <si>
    <t>Winfred Espejo is a graduate student at the Universidad de Concepcion, Chile, who is sponsored by the CONICYT-Chile for Ph.D. studies. This study was financially supported by the projects INACH T31-11 and FONDECYT regular 1161504 (G. Chiang), INACH RG09-14 (J. Celis), VRID 216.153.025-1.0 of Universidad de Concepcion, Natural Sciences and Engineering Research Council of Canada and Canada Research Chair funds to K. A. Kidd and a Grant-in-Aid for the Strategic Research Base Project for Private Universities (award 51411016) from the Ministry of Education, Culture, Sports, Science and Technology of Japan (S. Kashiwada), FONDECYT initiation (11150548) and INACH RT_12_17 (C. Galban-Malagon). Thanks also to FONDAP CRHIAM 15130015 (R. Barra and W. Espejo), the MERI Foundation team for the help in the collection of samples and J. Thera for statistics support.</t>
  </si>
  <si>
    <t>AMER CHEMICAL SOC</t>
  </si>
  <si>
    <t>1155 16TH ST, NW, WASHINGTON, DC 20036 USA</t>
  </si>
  <si>
    <t>2328-8930</t>
  </si>
  <si>
    <t>ENVIRON SCI TECH LET</t>
  </si>
  <si>
    <t>Environ. Sci. Technol. Lett.</t>
  </si>
  <si>
    <t>10.1021/acs.estlett.8b00051</t>
  </si>
  <si>
    <t>Engineering, Environmental; Environmental Sciences</t>
  </si>
  <si>
    <t>Engineering; Environmental Sciences &amp; Ecology</t>
  </si>
  <si>
    <t>GC8DD</t>
  </si>
  <si>
    <t>WOS:000430022300002</t>
  </si>
  <si>
    <t>Chrismas, NAM; Anesio, AM; Sánchez-Baracaldo, P</t>
  </si>
  <si>
    <t>Chrismas, Nathan A. M.; Anesio, Alexandre M.; Sanchez-Baracaldo, Patricia</t>
  </si>
  <si>
    <t>The future of genomics in polar and alpine cyanobacteria</t>
  </si>
  <si>
    <t>cyanobacteria; cryosphere; polar; alpine; genomics</t>
  </si>
  <si>
    <t>ICE-BINDING PROTEINS; MCMURDO DRY VALLEYS; BACTERIAL COMMUNITIES; EXTRACELLULAR POLYSACCHARIDES; FREEZING TOLERANCE; NITROGEN-FIXATION; SOIL DEVELOPMENT; MICROBIAL MATS; DIVERSITY; GLACIER</t>
  </si>
  <si>
    <t>In recent years, genomic analyses have arisen as an exciting way of investigating the functional capacity and environmental adaptations of numerous micro-organisms of global relevance, including cyanobacteria. In the extreme cold of Arctic, Antarctic and alpine environments, cyanobacteria are of fundamental ecological importance as primary producers and ecosystem engineers. While their role in biogeochemical cycles is well appreciated, little is known about the genomic makeup of polar and alpine cyanobacteria. In this article, we present ways that genomic techniques might be used to further our understanding of cyanobacteria in cold environments in terms of their evolution and ecology. Existing examples from other environments (e.g. marine/hot springs) are used to discuss how methods developed there might be used to investigate specific questions in the cryosphere. Phylogenomics, comparative genomics and population genomics are identified as methods for understanding the evolution and biogeography of polar and alpine cyanobacteria. Transcriptomics will allow us to investigate gene expression under extreme environmental conditions, and metagenomics can be used to complement tradition amplicon-based methods of community profiling. Finally, new techniques such as single cell genomics and metagenome assembled genomes will also help to expand our understanding of polar and alpine cyanobacteria that cannot readily be cultured.</t>
  </si>
  <si>
    <t>[Chrismas, Nathan A. M.; Anesio, Alexandre M.; Sanchez-Baracaldo, Patricia] Univ Bristol, Bristol Glaciol Ctr, Sch Geog Sci, Univ Rd, Bristol BS8 1SS, Avon, England; [Chrismas, Nathan A. M.] Marine Biol Assoc UK, Citadel Hill Plymouth, Plymouth PL1 2PB, Devon, England</t>
  </si>
  <si>
    <t>University of Bristol; Marine Biological Association United Kingdom</t>
  </si>
  <si>
    <t>Chrismas, NAM (corresponding author), Marine Biol Assoc UK, Citadel Hill Plymouth, Plymouth PL1 2PB, Devon, England.</t>
  </si>
  <si>
    <t>natchr@mba.ac.uk</t>
  </si>
  <si>
    <t>Sanchez-Baracaldo, Patricia/A-5309-2017; Anesio, Alexandre/A-7597-2008</t>
  </si>
  <si>
    <t>Anesio, Alexandre/0000-0003-2990-4014; Sanchez-Baracaldo, Patricia/0000-0002-5216-2664; Chrismas, Nathan/0000-0002-2165-3102</t>
  </si>
  <si>
    <t>NERC GW4+(NAMC); NERC [NE/J02399X/1]; Royal Society University Research Fellowship; NERC [NE/J02399X/1] Funding Source: UKRI; Natural Environment Research Council [NE/J02399X/1, 1367453] Funding Source: researchfish</t>
  </si>
  <si>
    <t>NERC GW4+(NAMC); NERC(UK Research &amp; Innovation (UKRI)Natural Environment Research Council (NERC)); Royal Society University Research Fellowship(Royal Society); NERC(UK Research &amp; Innovation (UKRI)Natural Environment Research Council (NERC)); Natural Environment Research Council(UK Research &amp; Innovation (UKRI)Natural Environment Research Council (NERC))</t>
  </si>
  <si>
    <t>This work was supported by NERC GW4+(NAMC), NERC grant NE/J02399X/1 (AMA) and a Royal Society University Research Fellowship (PSB).</t>
  </si>
  <si>
    <t>fiy032</t>
  </si>
  <si>
    <t>10.1093/femsec/fiy032</t>
  </si>
  <si>
    <t>GC0QA</t>
  </si>
  <si>
    <t>WOS:000429481200012</t>
  </si>
  <si>
    <t>Luhtanen, AM; Eronen-Rasimus, E; Oksanen, HM; Tison, JL; Delille, B; Dieckmann, GS; Rintala, JM; Bamford, DH</t>
  </si>
  <si>
    <t>Luhtanen, Anne-Mari; Eronen-Rasimus, Eeva; Oksanen, Hanna M.; Tison, Jean-Louis; Delille, Bruno; Dieckmann, Gerhard S.; Rintala, Janne-Markus; Bamford, Dennis H.</t>
  </si>
  <si>
    <t>The first known virus isolates from Antarctic sea ice have complex infection patterns</t>
  </si>
  <si>
    <t>virus-host interactions; virus isolation; sea ice microbiology; VLP in sea ice</t>
  </si>
  <si>
    <t>BACTERIAL-GROWTH RATE; PHAGE-HOST SYSTEMS; MARINE-BACTERIA; VIRAL ABUNDANCE; WEDDELL SEA; DYNAMICS; BACTERIOPHAGES; TEMPERATURE; DIVERSITY; PARTICLES</t>
  </si>
  <si>
    <t>Viruses are recognized as important actors in ocean ecology and biogeochemical cycles, but many details are not yet understood. We participated in a winter expedition to the Weddell Sea, Antarctica, to isolate viruses and to measure virus-like particle abundance (flow cytometry) in sea ice. We isolated 59 bacterial strains and the first four Antarctic sea-ice viruses known (PANV1, PANV2, OANV1 and OANV2), which grow in bacterial hosts belonging to the typical sea-ice genera Paraglaciecola and Octadecabacter. The viruses were specific for bacteria at the strain level, although OANV1 was able to infect strains from two different classes. Both PANV1 and PANV2 infected 11/15 isolated Paraglaciecola strains that had almost identical 16S rRNA gene sequences, but the plating efficiencies differed among the strains, whereas OANV1 infected 3/7 Octadecabacter and 1/15 Paraglaciecola strains and OANV2 1/7 Octadecabacter strains. All the phages were cold-active and able to infect their original host at 0 degrees C and 4 degrees C, but not at higher temperatures. The results showed that virus-host interactions can be very complex and that the viral community can also be dynamic in the winter-sea ice.</t>
  </si>
  <si>
    <t>[Luhtanen, Anne-Mari; Eronen-Rasimus, Eeva] Finnish Environm Inst, Marine Res Ctr, Helsinki, Finland; [Luhtanen, Anne-Mari; Oksanen, Hanna M.; Bamford, Dennis H.] Univ Helsinki, Fac Biol &amp; Environm Sci, Mol &amp; Integrat Biosci Res Programme, FIN-00014 Helsinki, Finland; [Luhtanen, Anne-Mari; Rintala, Janne-Markus] Univ Helsinki, Tvarminne Zool Stn, Hango, Finland; [Tison, Jean-Louis] Univ Libre Bruxelles, DGES, Lab Glaciol, Brussels, Belgium; [Delille, Bruno] Univ Liege, Unite Oceanog Chim, Liege, Belgium; [Dieckmann, Gerhard S.] Helmholtz Ctr Polar &amp; Marine Res, Alfred Wegener Inst, Bremerhaven, Germany; [Rintala, Janne-Markus] Univ Helsinki, Dept Environm Sci, Helsinki, Finland; [Rintala, Janne-Markus] Univ Helsinki, Fac Sci, Inst Atmospher &amp; Earth Syst Res INAR, Helsinki, Finland</t>
  </si>
  <si>
    <t>Finnish Environment Institute; University of Helsinki; University of Helsinki; Universite Libre de Bruxelles; University of Liege; Helmholtz Association; Alfred Wegener Institute, Helmholtz Centre for Polar &amp; Marine Research; University of Helsinki; University of Helsinki</t>
  </si>
  <si>
    <t>Bamford, DH (corresponding author), Univ Helsinki, Fac Biol &amp; Environm Sci, Mol &amp; Integrat Biosci Res Programme, FIN-00014 Helsinki, Finland.</t>
  </si>
  <si>
    <t>dennis.bamford@helsinki.fi</t>
  </si>
  <si>
    <t>Oksanen, Hanna M/Y-7379-2019; Delille, Bruno/C-3486-2008</t>
  </si>
  <si>
    <t>Oksanen, Hanna M/0000-0003-3047-8294; Luhtanen, Anne-Mari/0000-0002-9160-7478; Bamford, Dennis/0000-0002-6438-8118; Delille, Bruno/0000-0003-0502-8101</t>
  </si>
  <si>
    <t>Walter and Andree de Nottbeck Foundation; Onni Talas Foundation; Academy Professor (Academy of Finland) [283072, 255342]; Belgian Science Policy (Bigsouth project) [SD/CA/05]; Academy of Finland [1306833]</t>
  </si>
  <si>
    <t>Walter and Andree de Nottbeck Foundation; Onni Talas Foundation; Academy Professor (Academy of Finland)(Research Council of Finland); Belgian Science Policy (Bigsouth project); Academy of Finland(Research Council of Finland)</t>
  </si>
  <si>
    <t>This work was supported by the Walter and Andree de Nottbeck Foundation (AML, EER, JMR), Onni Talas Foundation (AML), the Academy Professor (Academy of Finland) funding grants 283072 and 255342 (DHB) and the Belgian Science Policy (Bigsouth project, SD/CA/05). BD is a research associate at the F.R.S-FNRS. The authors acknowledge the use of the Instruct-HiLIFE Biocomplex unit (University of Helsinki and Instruct-FI) and Academy of Finland support (grant 1306833) for the unit.</t>
  </si>
  <si>
    <t>fiy028</t>
  </si>
  <si>
    <t>10.1093/femsec/fiy028</t>
  </si>
  <si>
    <t>WOS:000429481200008</t>
  </si>
  <si>
    <t>Purich, A; England, MH; Cai, WJ; Sullivan, A; Durack, PJ</t>
  </si>
  <si>
    <t>Purich, Ariaan; England, Matthew H.; Cai, Wenju; Sullivan, Arnold; Durack, Paul J.</t>
  </si>
  <si>
    <t>Impacts of Broad-Scale Surface Freshening of the Southern Ocean in a Coupled Climate Model</t>
  </si>
  <si>
    <t>ANTARCTIC SEA-ICE; GLOBAL WATER CYCLE; CMIP5 MODELS; HYDROLOGICAL CYCLE; SALINITY CHANGES; RECENT TRENDS; ANNULAR MODE; WORLD OCEAN; VARIABILITY; PRECIPITATION</t>
  </si>
  <si>
    <t>The Southern Ocean surface has freshened in recent decades, increasing water column stability and reducing upwelling of warmer subsurface waters. The majority of CMIP5 models underestimate or fail to capture this historical surface freshening, yet little is known about the impact of this model bias on regional ocean circulation and hydrography. Here experiments are performed using a global coupled climate model with additional freshwater applied to the Southern Ocean to assess the influence of recent surface freshening. The simulations explore the impact of persistent and long-term broad-scale freshening as a result of processes including precipitation minus evaporation changes. Thus, unlike previous studies, the freshening is applied as far north as 55 degrees S, beyond the Antarctic ice margin. It is found that imposing a large-scale surface freshening causes a surface cooling and sea ice increase under preindustrial conditions, because of a reduction in ocean convection and weakened entrainment of warm subsurface waters into the surface ocean. This is consistent with intermodel relationships between CMIP5 models and the simulations, suggesting that models with larger surface freshening also exhibit stronger surface cooling and increased sea ice. Additional experiments are conducted with surface salinity restoration applied to capture observed regional salinity trends. Remarkably, without any mechanical wind trend forcing, these simulations accurately represent the spatial pattern of observed surface temperature and sea ice trends around Antarctica. This study highlights the importance of accurately simulating changes in Southern Ocean salinity to capture changes in ocean circulation, sea surface temperature, and sea ice.</t>
  </si>
  <si>
    <t>[Purich, Ariaan; Cai, Wenju; Sullivan, Arnold] CSIRO, Oceans &amp; Atmosphere, Aspendale, Vic, Australia; [Purich, Ariaan; England, Matthew H.] Univ New South Wales, ARC Ctr Excellence Climate Syst Sci, Sydney, NSW, Australia; [England, Matthew H.] Univ New South Wales, Climate Change Res Ctr, Sydney, NSW, Australia; [Durack, Paul J.] Lawrence Livermore Natl Lab, Program Climate Model Diag &amp; Intercomparison, Livermore, CA USA; [Cai, Wenju] CSIRO, Ctr Southern Hemisphere Oceans Res, Aspendale, Vic, Australia; [Cai, Wenju] Ocean Univ China, Phys Oceanog Lab, Qingdao, Peoples R China; [Cai, Wenju] Qingdao Natl Lab Marine Sci &amp; Technol, Qingdao, Peoples R China</t>
  </si>
  <si>
    <t>Commonwealth Scientific &amp; Industrial Research Organisation (CSIRO); ARC Centre of Excellence for Climate System Science; University of New South Wales Sydney; University of New South Wales Sydney; United States Department of Energy (DOE); Lawrence Livermore National Laboratory; Commonwealth Scientific &amp; Industrial Research Organisation (CSIRO); Ocean University of China; Laoshan Laboratory</t>
  </si>
  <si>
    <t>Purich, A (corresponding author), CSIRO, Oceans &amp; Atmosphere, Aspendale, Vic, Australia.;Purich, A (corresponding author), Univ New South Wales, ARC Ctr Excellence Climate Syst Sci, Sydney, NSW, Australia.</t>
  </si>
  <si>
    <t>ariaan.purich@csiro.au</t>
  </si>
  <si>
    <t>Sullivan, Arnold/V-7057-2019; England, Matthew/A-7539-2011; Durack, Paul James/A-8758-2010; Cai, Wenju/C-2864-2012</t>
  </si>
  <si>
    <t>Sullivan, Arnold/0000-0002-5712-6195; England, Matthew/0000-0001-9696-2930; Durack, Paul James/0000-0003-2835-1438; Cai, Wenju/0000-0001-6520-0829; Purich, Ariaan/0000-0003-2248-5937</t>
  </si>
  <si>
    <t>Australian Research Council (ARC) including the ARC Centre of Excellence for Climate System Science [CE110001028]; CSIRO Oceans and Atmosphere; Australian Postgraduate Award; UNSW Research Excellence scholarship,; CSIRO Office of the Chief Executive Science Leader scholarship; ARC Laureate Fellowship [FL100100214]; QNLM; CSIRO; U.S. Department of Energy, Office of Science, Climate and Environmental Sciences Division, Regional and Global Model Analysis Program [DE-AC52-07NA27344]; Australian Government</t>
  </si>
  <si>
    <t>Australian Research Council (ARC) including the ARC Centre of Excellence for Climate System Science(Australian Research Council); CSIRO Oceans and Atmosphere; Australian Postgraduate Award(Australian Government); UNSW Research Excellence scholarship,; CSIRO Office of the Chief Executive Science Leader scholarship; ARC Laureate Fellowship(Australian Research Council); QNLM; CSIRO(Commonwealth Scientific &amp; Industrial Research Organisation (CSIRO)); U.S. Department of Energy, Office of Science, Climate and Environmental Sciences Division, Regional and Global Model Analysis Program(United States Department of Energy (DOE)); Australian Government(Australian Government)</t>
  </si>
  <si>
    <t>This work was supported by the Australian Research Council (ARC) including the ARC Centre of Excellence for Climate System Science (CE110001028), and CSIRO Oceans and Atmosphere. A. P. was supported by an Australian Postgraduate Award, a UNSW Research Excellence scholarship, and a CSIRO Office of the Chief Executive Science Leader scholarship. M.H.E. was supported by an ARC Laureate Fellowship (FL100100214). W.C. was supported by the Centre for Southern Hemisphere Oceans Research, a joint research centre between QNLM and CSIRO. The work of P. J. D. from Lawrence Livermore National Laboratory was performed under the auspices of the U.S. Department of Energy, Office of Science, Climate and Environmental Sciences Division, Regional and Global Model Analysis Program under Contract DE-AC52-07NA27344. This research was undertaken with the assistance of resources and services from the National Computational Infrastructure (NCI), which is supported by the Australian Government. Figures were produced using the NCAR Command Language (https://doi.org/10.5065/D6WD3XH5). We acknowledge the World Climate Research Programme's Working Group on Coupled Modelling, which is responsible for CMIP, and thank the climate modelling groups for producing and making available their model output. We also thank the three anonymous reviewers for their helpful comments.</t>
  </si>
  <si>
    <t>10.1175/JCLI-D-17-0092.1</t>
  </si>
  <si>
    <t>GC0GW</t>
  </si>
  <si>
    <t>WOS:000429456500005</t>
  </si>
  <si>
    <t>Adkesson, MJ; Levengood, JM; Scott, JW; Schaeffer, DJ; Langan, JN; Cárdenas-Alayza, S; de la Puente, S; Majluf, P; Yi, S</t>
  </si>
  <si>
    <t>Adkesson, Michael J.; Levengood, Jeffrey M.; Scott, John W.; Schaeffer, David J.; Langan, Jennifer N.; Cardenas-Alayza, Susana; de la Puente, Santiago; Majluf, Patricia; Yi, Sandra</t>
  </si>
  <si>
    <t>ASSESSMENT OF POLYCHLORINATED BIPHENYLS, ORGANOCHLORINE PESTICIDES, AND POLYBROMINATED DIPHENYL ETHERS IN THE BLOOD OF HUMBOLDT PENGUINS (SPHENISCUS HUMBOLDTI) FROM THE PUNTA SAN JUAN MARINE PROTECTED AREA, PERU</t>
  </si>
  <si>
    <t>JOURNAL OF WILDLIFE DISEASES</t>
  </si>
  <si>
    <t>Bioaccumulation; DDT; environmental toxicants; organochlorine pesticides; poly-brominated diphenyl ethers; polychlorinated biphenyls</t>
  </si>
  <si>
    <t>PERSISTENT ORGANIC POLLUTANTS; PYGOSCELIS-ADELIAE; ANTARCTIC SEABIRDS; BREEDING-SEASON; GLAUCOUS GULLS; SOUTH-AMERICA; EGGS; CONTAMINANTS; DDT; PLASMA</t>
  </si>
  <si>
    <t>Persistent organic pollutants were assessed in Humboldt Penguins (Spheniscus humboldti) from the Punta San Juan Marine Protected Area, Peru, in the austral winter of 2009. Plasma samples from 29 penguins were evaluated for 31 polychlorinated biphenyl (PCB) congeners and 11 organochlorine pesticides (OCPs) by using gas chromatography coupled to an ion trap mass spectrometer and for 15 polybrominated diphenyl ether (PBDE) congeners by using gas chromatography coupled with high-resolution mass spectrometry. The detection rate for PCBs in the samples was 69%, with congeners 105, 118, 180, and 153 most commonly detected. The maximum Sigma PCB concentration was 25 ng/g. The detection rate for DDT, DDD, and/or DDE was higher than for other OCP residues (90%; maximum concentration=10 ng/g). The detection rate for PBDEs was 86%, but most concentrations were low (maximum Sigma PBDE concentration=3.81 ng/g). This crucial breeding population of S. humboldti was not exposed to contaminants at levels detrimental to health and reproductive success; however, the identified concentrations of legacy and recently emerged toxicants underscore the need for temporal monitoring and diligence to protect this endangered species in the face of regional human population and industrial growth. These results also provide key reference values for spatial comparisons throughout the range of this species.</t>
  </si>
  <si>
    <t>[Adkesson, Michael J.; Langan, Jennifer N.; Cardenas-Alayza, Susana] Brookfield Zoo, Chicago Zool Soc, 3300 Golf Rd, Brookfield, IL 60513 USA; [Levengood, Jeffrey M.; Schaeffer, David J.; Yi, Sandra] Univ Illinois, Coll Vet Med, Dept Comparat Biosci, 2001 S Lincoln Ave, Urbana, IL 61802 USA; [Levengood, Jeffrey M.] Univ Illinois, Prairie Res Inst, Illinois Nat Hist Survey, 1816 S Oak St, Champaign, IL 61820 USA; [Scott, John W.; Schaeffer, David J.] Univ Illinois, Prairie Res Inst, Illinois Sustainable Technol Ctr, One Hazelwood Dr, Champaign, IL 61820 USA; [Langan, Jennifer N.] Univ Illinois, Coll Vet Med, Dept Vet Clin Med, 2001 S Lincoln Ave, Urbana, IL 61802 USA; [Cardenas-Alayza, Susana; de la Puente, Santiago; Majluf, Patricia] Univ Peruana Cayetano Heredia, Ctr Sostenibilidad Ambiental, Av Armendariz 445, Lima 18, Peru</t>
  </si>
  <si>
    <t>University of Illinois System; University of Illinois Urbana-Champaign; University of Illinois System; University of Illinois Urbana-Champaign; Illinois Natural History Survey; University of Illinois System; University of Illinois Urbana-Champaign; University of Illinois System; University of Illinois Urbana-Champaign; Universidad Peruana Cayetano Heredia</t>
  </si>
  <si>
    <t>Adkesson, MJ (corresponding author), Brookfield Zoo, Chicago Zool Soc, 3300 Golf Rd, Brookfield, IL 60513 USA.</t>
  </si>
  <si>
    <t>michael.adkesson@czs.org</t>
  </si>
  <si>
    <t>Cárdenas-Alayza, Susana/AAP-1748-2021; Cárdenas-Alayza, Susana/IQW-7038-2023; De la Puente, Santiago/JSL-2087-2023</t>
  </si>
  <si>
    <t>Cárdenas-Alayza, Susana/0000-0002-8828-9552; De la Puente, Santiago/0000-0002-6189-9596; Schaeffer, David/0000-0002-6040-052X; Majluf, Patricia/0000-0002-7978-659X; Adkesson, Michael/0000-0002-8766-5296</t>
  </si>
  <si>
    <t>SERNANP; Saint Louis Zoo WildCare Institute; Saint Louis Zoo's Field Research for Conservation Fund; Chicago Zoological Society's Chicago Board of Trade Endangered Species Fund</t>
  </si>
  <si>
    <t>We thank Val Beasley, Marco Cardena, Franco Garcia, Paulo Guerrero, Maria Jose Ganoza, Wendy Flores, Alonso Bussalleu, and Michael Macek for support of this project. In addition, we thank Nandakishore Rajagopalan, Gerald Bargren, and Christie Teausant for technical assistance and laboratory support with chemical analysis. We gratefully acknowledge support from SERNANP and facility access by AGRO RURAL. Funding for this project was provided by the Saint Louis Zoo WildCare Institute, the Saint Louis Zoo's Field Research for Conservation Fund, and the Chicago Zoological Society's Chicago Board of Trade Endangered Species Fund. The Department of Comparative Biosciences, University of Illinois at Urbana-Champaign, contributed services in-kind.</t>
  </si>
  <si>
    <t>WILDLIFE DISEASE ASSOC, INC</t>
  </si>
  <si>
    <t>LAWRENCE</t>
  </si>
  <si>
    <t>810 EAST 10TH ST, LAWRENCE, KS 66044-8897 USA</t>
  </si>
  <si>
    <t>0090-3558</t>
  </si>
  <si>
    <t>1943-3700</t>
  </si>
  <si>
    <t>J WILDLIFE DIS</t>
  </si>
  <si>
    <t>J. Wildl. Dis.</t>
  </si>
  <si>
    <t>10.7589/2016-12-270</t>
  </si>
  <si>
    <t>Veterinary Sciences</t>
  </si>
  <si>
    <t>GC0KF</t>
  </si>
  <si>
    <t>WOS:000429465500009</t>
  </si>
  <si>
    <t>Sookhan, S; Eyles, N; Arbelaez-Moreno, L</t>
  </si>
  <si>
    <t>Sookhan, S.; Eyles, N.; Arbelaez-Moreno, L.</t>
  </si>
  <si>
    <t>Converging ice streams: a new paradigm for reconstructions of the Laurentide Ice Sheet in southern Ontario and deposition of the Oak Ridges Moraine</t>
  </si>
  <si>
    <t>CANADIAN JOURNAL OF EARTH SCIENCES</t>
  </si>
  <si>
    <t>NEW-YORK-STATE; SCALE GLACIAL LINEATIONS; SHEAR-MARGIN MORAINES; PETERBOROUGH DRUMLIN FIELD; CENTRAL BRITISH-COLUMBIA; MELTWATER FLOOD EVENTS; WESTERN NEW-YORK; SUBGLACIAL BEDFORMS; TUNNEL VALLEYS; LANDFORM ASSEMBLAGE</t>
  </si>
  <si>
    <t>Geomorphological mapping using detailed morphometric analyses of newly available high-resolution (5 m) digital elevation datasets across more than 9000 km(2) of southern Ontario shows that the Greater Toronto Area and its immediate environs, Canada's largest urban area, is built across the former till beds of two fast-flowing ice streams (the newly named Simcoe Ice Stream (SIS) and the Halton Ice Stream (HIS)) within the last Laurentide Ice Sheet (LIS). These formed during regional deglaciation sometime around 13 000 years before present and are directly analogous to fast-flowing (&gt;3 km year(-1)) ice streams in today's Antarctic and Greenland ice sheets. Their subglacial footprint in southern Ontario consists of flow sets of highly elongated and closely spaced flow-parallel till ridges up to 4 km in length and 100 m in width (megascale glacial lineations) that converge on the Oak Ridges Moraine (ORM) from the north (SIS) and south (HIS). ORM is southern Ontario's largest glacial landform extending from the Niagara Escarpment to Kingston over some 160 km and was deposited as a series of en echelon glaciolacustrine fan deltas in a complexly evolving glaciolacustrine depocenter trapped between the converging ice streams; meltwater channels cut into the bed of the Simcoe Ice Stream suggest that glaciofluvial sediment was primarily supplied from the north. The sedimentology of the ORM is comparable to morainal banks at the margins of ice streams terminating in water; some 70 km(3) of sediment accumulated very rapidly (&gt;300 years?) reflecting the ability of ice streams to move very large fluxes of sediment, combined with trapping of sediment between SIS and HIS. To date, more than 117 paleo ice streams have been recognized in the LIS and this study confirms the presence of additional corridors of fast-flowing ice in its eastern Great Lakes sector. The ice stream paradigm provides a uniformitarian foundation for a comprehensive re-evaluation of much existing glacial geologic mapping and stratigraphic work in southern Ontario that hitherto stressed the role of catastrophic regional subglacial megaflooding in the formation of the ORM and many other landforms. This paper advocates complete remapping of the glacial landscapes of southern Ontario using an ice stream landsystem approach to determine the full number of ice streams in the eastern Great Lake sector of the last ice sheet.</t>
  </si>
  <si>
    <t>[Sookhan, S.; Eyles, N.; Arbelaez-Moreno, L.] Univ Toronto Scarborough, Dept Phys &amp; Environm Sci, 1065 Mil Trail, Scarborough, ON M1C 1A4, Canada</t>
  </si>
  <si>
    <t>University of Toronto; University Toronto Scarborough</t>
  </si>
  <si>
    <t>Eyles, N (corresponding author), Univ Toronto Scarborough, Dept Phys &amp; Environm Sci, 1065 Mil Trail, Scarborough, ON M1C 1A4, Canada.</t>
  </si>
  <si>
    <t>eyles@utsc.utoronto.ca</t>
  </si>
  <si>
    <t>Natural Science and Engineering Research Council of Canada (NSERC); NSERC; University of Toronto at Scarborough; Toronto-Dominion Bank</t>
  </si>
  <si>
    <t>Natural Science and Engineering Research Council of Canada (NSERC)(Natural Sciences and Engineering Research Council of Canada (NSERC)); NSERC(Natural Sciences and Engineering Research Council of Canada (NSERC)); University of Toronto at Scarborough(University of Toronto); Toronto-Dominion Bank</t>
  </si>
  <si>
    <t>Sookhan and Eyles are grateful to the Natural Science and Engineering Research Council of Canada (NSERC) for funding; Arbelaez-Moreno acknowledges support from NSERC, the University of Toronto at Scarborough, and the Toronto-Dominion Bank. We thank Chris Stokes, Carolyn Eyles, Daniel Le Heron, Kirsten Kennedy, Martin Ross, Roger Paulen, Peter Yu, and Mike Doughty for informative discussions in the field. We are especially grateful to Riley Mulligan (Ontario Geological Survey) for his insights into the glacial geology of southern Ontario. CJES Editor Ali Polat and Associate Editor Alan Trenhaile smoothly guided the paper though the editorial process and Johann Klages and an anonymous referee provided very helpful comments on an earlier draft of the manuscript.</t>
  </si>
  <si>
    <t>CANADIAN SCIENCE PUBLISHING, NRC RESEARCH PRESS</t>
  </si>
  <si>
    <t>OTTAWA</t>
  </si>
  <si>
    <t>65 AURIGA DR, SUITE 203, OTTAWA, ON K2E 7W6, CANADA</t>
  </si>
  <si>
    <t>0008-4077</t>
  </si>
  <si>
    <t>1480-3313</t>
  </si>
  <si>
    <t>CAN J EARTH SCI</t>
  </si>
  <si>
    <t>Can. J. Earth Sci.</t>
  </si>
  <si>
    <t>10.1139/cjes-2017-0180</t>
  </si>
  <si>
    <t>GB5RR</t>
  </si>
  <si>
    <t>WOS:000429124300004</t>
  </si>
  <si>
    <t>Liu, YJ; Tian, YY; Cong, PX; Chen, QS; Li, HY; Fan, Y; Xu, J; Wang, JF; Wang, YM; Xue, CH</t>
  </si>
  <si>
    <t>Liu, Yanjun; Tian, Yingying; Cong, Peixu; Chen, Qinsheng; Li, Hongyan; Fan, Yan; Xu, Jie; Wang, Jingfeng; Wang, Yuming; Xue, Changhu</t>
  </si>
  <si>
    <t>Lipid Degradation During Salt-Fermented Antarctic Krill Paste Processing and Their Relationship With Lipase and Phospholipase Activities</t>
  </si>
  <si>
    <t>EUROPEAN JOURNAL OF LIPID SCIENCE AND TECHNOLOGY</t>
  </si>
  <si>
    <t>lipid degradation; phospholipase; phospholipids; salt-fermented antarctic krill paste; triacylglycerols</t>
  </si>
  <si>
    <t>FATTY-ACID; PEROXIDATION; OXIDATION; LIPOLYSIS; PROFILE</t>
  </si>
  <si>
    <t>In this study, lipid degradation during the processing of salt-fermented Antarctic krill paste is studied by evaluating changes in physicochemical parameters, lipid content, and fatty acid composition, phospholipase (phospholipase A1 [PLA1], phospholipase A2 [PLA2], phospholipase C [PLC], and phospholipase D [PLD]) and lipase activities. Triacylglycerols (TAGs) are an important source of free fatty acids (FFAs) in Antarctic krill paste, causing an increase in FFA content in the early stage of processing, while phospholipids are intensely hydrolyzed during the mid-late stages. Lipase activities remains constant, while PLA2 and PLD activities increases during all stages of processing. The relative activities of PLA2 and PLC highly correlates with a decline in phosphatidylcholine (PC) and an increase in lysophosphatidylcholine (LPC). A high correlation is also observed between relative PLD activity and increased phosphatidic acid (PA). These results suggest that lipase, PLA2, and PLD contribute to the degradation of lipids during the processing of salt-fermented Antarctic krill paste.</t>
  </si>
  <si>
    <t>[Liu, Yanjun; Cong, Peixu; Chen, Qinsheng; Li, Hongyan; Fan, Yan; Xu, Jie; Wang, Jingfeng; Wang, Yuming; Xue, Changhu] Ocean Univ China, Coll Food Sci &amp; Engn, 5 Yushan Rd, Qingdao 266003, Shandong, Peoples R China; [Tian, Yingying] Qingdao Natl Lab Marine Sci &amp; Technol, Qingdao 266237, Peoples R China</t>
  </si>
  <si>
    <t>Ocean University of China; Laoshan Laboratory</t>
  </si>
  <si>
    <t>Xu, J; Xue, CH (corresponding author), Ocean Univ China, Coll Food Sci &amp; Engn, 5 Yushan Rd, Qingdao 266003, Shandong, Peoples R China.</t>
  </si>
  <si>
    <t>xujie9@ouc.edu.cn; xuechanghuouc@163.com</t>
  </si>
  <si>
    <t>wang, jing/GRS-7509-2022; Liu, Yanjun/JZC-8366-2024; wang, jiahui/IXD-1197-2023; wang, jing/GVT-8700-2022; wang, dan/JEF-0836-2023; yuming, wang/K-8179-2012</t>
  </si>
  <si>
    <t>Liu, Yanjun/0000-0002-0627-928X</t>
  </si>
  <si>
    <t>National Natural Science Foundation of China [31330060]; College of Food Science and Engineering, Ocean University of China</t>
  </si>
  <si>
    <t>National Natural Science Foundation of China(National Natural Science Foundation of China (NSFC)); College of Food Science and Engineering, Ocean University of China</t>
  </si>
  <si>
    <t>Y.L. and Y.T. contributed equally to this work. The authors acknowledge supports from National Natural Science Foundation of China (No. 31330060). The authors gratefully acknowledge the College of Food Science and Engineering, Ocean University of China for financial support. The authors greatly appreciate suggestions from anonymous referees for the improvement of this article.</t>
  </si>
  <si>
    <t>1438-7697</t>
  </si>
  <si>
    <t>1438-9312</t>
  </si>
  <si>
    <t>EUR J LIPID SCI TECH</t>
  </si>
  <si>
    <t>Eur. J. Lipid Sci. Technol.</t>
  </si>
  <si>
    <t>10.1002/ejlt.201700443</t>
  </si>
  <si>
    <t>Food Science &amp; Technology; Nutrition &amp; Dietetics</t>
  </si>
  <si>
    <t>GB8JR</t>
  </si>
  <si>
    <t>WOS:000429322700017</t>
  </si>
  <si>
    <t>Elipot, S; Beal, LM</t>
  </si>
  <si>
    <t>Elipot, Shane; Beal, Lisa M.</t>
  </si>
  <si>
    <t>Observed Agulhas Current Sensitivity to Interannual and Long-Term Trend Atmospheric Forcings</t>
  </si>
  <si>
    <t>Indian Ocean; Southern Hemisphere; Antarctic Oscillation; Boundary currents; ENSO; Transport</t>
  </si>
  <si>
    <t>ANTARCTIC CIRCUMPOLAR CURRENT; OCEAN CIRCULATION; SOUTHERN-OSCILLATION; JULIAN OSCILLATION; SVERDRUP BALANCE; STRATIFIED OCEAN; POLEWARD SHIFT; NORTH-ATLANTIC; SPIN-UP; VARIABILITY</t>
  </si>
  <si>
    <t>Of the interannual variance of the Agulhas Current transport, 29% can be linearly related to six modes of Southern Hemisphere atmospheric variability. Agulhas Current transport is quantified by a 24-yr proxy constructed using satellite altimetry and in situ data, while atmospheric variability is represented by two reanalysis products. The two leading modes of atmospheric variability, each explaining 5% of the variance of the Agulhas Current, can be described as a tropical Indo-Pacific mode, strongly correlated to ENSO, and a subtropical-subpolar mode, strongly correlated with the SAM. ENSO alone can explain 11.5% of Agulhas transport variance, yet SAM alone has no significant correlation. The remaining four atmospheric modes are not related to common climate indices and together they explain 19% of Agulhas variance, describing decadal oscillations. In previous studies using reanalyses and climate models it has been suggested that the Agulhas Current is intensifying in response to a strengthening and poleward shift of the westerlies, expressed by a positive trend in the SAM. Here, the authors find that, given its apparent weak sensitivity to the SAM, the increase in SAM over the past 24 years does not lead to a detectable trend in Agulhas Current transport.</t>
  </si>
  <si>
    <t>[Elipot, Shane; Beal, Lisa M.] Univ Miami, Rosenstiel Sch Atmospher &amp; Marine Sci, Miami, FL 33149 USA</t>
  </si>
  <si>
    <t>University of Miami</t>
  </si>
  <si>
    <t>Elipot, S (corresponding author), Univ Miami, Rosenstiel Sch Atmospher &amp; Marine Sci, Miami, FL 33149 USA.</t>
  </si>
  <si>
    <t>selipot@rsmas.miami.edu</t>
  </si>
  <si>
    <t>Beal, Lisa/0000-0003-3678-5367; Elipot, Shane/0000-0001-6051-5426</t>
  </si>
  <si>
    <t>U.S. National Science Foundation through the ACT project [OCE-0850891]; U.S. National Science Foundation through ASCA project [OCE-1459543]</t>
  </si>
  <si>
    <t>U.S. National Science Foundation through the ACT project; U.S. National Science Foundation through ASCA project(National Science Foundation (NSF))</t>
  </si>
  <si>
    <t>NCEP reanalysis 2 data provided by the NOAA/OAR/ESRL PSD, Boulder, Colorado, from their website (at http://www.esrl.noaa.gov/psd/). The DMI was downloaded from NOAA(http://stateoftheocean.osmc.noaa.gov/sur/ind/dmi.php). The climate indices were downloaded from the sources listed in de Viron et al. (2013), including the NOAA/Earth System Research Laboratory (https://www.esrl.noaa.gov). The altimetry data used are produced by SSALTO/Duacs and distributed by AVISO (http://www.aviso.oceanobs.com/duacs/). This work was supported by the U.S. National Science Foundation through the ACT project, Award OCE-0850891, and the ASCA project, Award OCE-1459543.</t>
  </si>
  <si>
    <t>45 BEACON ST, BOSTON, MA 02108-3693, UNITED STATES</t>
  </si>
  <si>
    <t>10.1175/JCLI-D-17-0597.1</t>
  </si>
  <si>
    <t>GA9XB</t>
  </si>
  <si>
    <t>WOS:000428694000007</t>
  </si>
  <si>
    <t>Keramidas, ME; Kölegård, R; Eiken, O</t>
  </si>
  <si>
    <t>Keramidas, Michail E.; Kolegard, Roger; Eiken, Ola</t>
  </si>
  <si>
    <t>In Shackleton's trails: Central and local thermoadaptive modifications to cold and hypoxia after a man-hauling expedition on the Antarctic Plateau</t>
  </si>
  <si>
    <t>JOURNAL OF THERMAL BIOLOGY</t>
  </si>
  <si>
    <t>CIVD; Cold-water immersion; Habituation; High-altitude; Hypothermia</t>
  </si>
  <si>
    <t>HUMAN PHYSIOLOGICAL-RESPONSES; HAND-TEMPERATURE RESPONSES; NORMOBARIC HYPOXIA; PHYSICAL-FITNESS; BODY-TEMPERATURE; SKIN TEMPERATURE; THERMOREGULATORY RESPONSE; ADAPTIVE MODIFICATIONS; INDUCED VASODILATATION; METABOLIC-RESPONSES</t>
  </si>
  <si>
    <t>Cold and hypoxia constitute the main environmental stressors encountered on the Antarctic Plateau. Hence, we examined whether central and/or peripheral acclimatisation to the combined stressors of cold and hypoxia would be developed in four men following an 11-day man-hauling expedition on this polar region. Before and after the journey, participants performed a static whole-body immersion in 21 degrees C water, during which they were breathing a hypoxic gas (partial pressure of inspired 02: 97 mmHg). To evaluate their local responses to cold, participants also immersed the hand into 8 degrees C water for 30 min, while they were whole-body immersed and mildly hypothermic [i.e. 0.5 degrees C fall in rectal temperature (T-rec) from individual pre-immersion values]. T-rec, and aldn temperature (T-ak), skin blood flux, and oxygen uptake (reflecting shivering thermogenesis) were monitored throughout. The polar expedition accelerated by similar to 14 min the drop in Trr, [final mean (95% confidence interval) changes in T-rec: Before = -0.94 (0.15) degrees C, After: 1.17 (0.23) degrees C]. The shivering onset threshold [Before: 19 (22) min, After: 25 (19) min] and gain [Before: 4.19 (3.95) mL min(-1) kg, After: 1.70 (1.21) mi. min(-1) kg(-1)] were suppressed by the expedition. TA did not differ between trials. The development of a greater post expedition hypothermic state did not compromise finger circulation during the hand-cooling phase. Present findings indicate therefore that a hypothermic pattern of cold acclimatisation, as investigated in hypoxia, was developed following a short-term expedition on the South Polar Plateau; an adaptive response that is characterised mainly by suppressed shivering thermogenesis, and partly by blunted cutaneous vasoconstriction.</t>
  </si>
  <si>
    <t>[Keramidas, Michail E.; Kolegard, Roger; Eiken, Ola] Royal Inst Technol, Dept Environm Physiol, Swedish Aerosp Physiol Ctr, Sch Engn Sci Chem Biotechnol &amp; Hlth, Berzelius Vag 13, S-17165 Solna, Sweden</t>
  </si>
  <si>
    <t>Royal Institute of Technology</t>
  </si>
  <si>
    <t>Keramidas, ME (corresponding author), Royal Inst Technol, Dept Environm Physiol, Swedish Aerosp Physiol Ctr, Sch Engn Sci Chem Biotechnol &amp; Hlth, Berzelius Vag 13, S-17165 Solna, Sweden.</t>
  </si>
  <si>
    <t>michail.keramidas@sth.kth.se</t>
  </si>
  <si>
    <t>Keramidas, Michail/AAI-7031-2021</t>
  </si>
  <si>
    <t>Keramidas, Michail/0000-0002-7440-2171</t>
  </si>
  <si>
    <t>Royal Institute of Technology (Stockholm, Sweden)</t>
  </si>
  <si>
    <t>The study was funded by the Royal Institute of Technology (Stockholm, Sweden).</t>
  </si>
  <si>
    <t>0306-4565</t>
  </si>
  <si>
    <t>J THERM BIOL</t>
  </si>
  <si>
    <t>J. Therm. Biol.</t>
  </si>
  <si>
    <t>10.1016/j.jtherbio.2018.02.010</t>
  </si>
  <si>
    <t>Biology; Zoology</t>
  </si>
  <si>
    <t>Life Sciences &amp; Biomedicine - Other Topics; Zoology</t>
  </si>
  <si>
    <t>GB9LG</t>
  </si>
  <si>
    <t>WOS:000429394700010</t>
  </si>
  <si>
    <t>Lebedeva, NV; Zimina, OL; Fateev, NN; Nikulina, AL; Berchenko, IV; Meshcheryakov, NI</t>
  </si>
  <si>
    <t>Lebedeva, N. V.; Zimina, O. L.; Fateev, N. N.; Nikulina, A. L.; Berchenko, I. V.; Meshcheryakov, N. I.</t>
  </si>
  <si>
    <t>Mercury in Hydrobionts and Their Habitat in Gronfjorden, West Spitsbergen, in Early Springtime</t>
  </si>
  <si>
    <t>GEOCHEMISTRY INTERNATIONAL</t>
  </si>
  <si>
    <t>hydrobionts; Hg; pollution; Gronfjorden; Spitsbergen; Arctic</t>
  </si>
  <si>
    <t>BEARS URSUS-MARITIMUS; MARINE FOOD-WEB; TRACE-ELEMENTS; SURFACE SEDIMENTS; ISOTOPE ANALYSIS; ARCTIC-OCEAN; SVALBARD; BIOMAGNIFICATION; BIOACCUMULATION; CADMIUM</t>
  </si>
  <si>
    <t>The first data were obtained on the total mercury content in hydrobionts and their habitat in Gronfjorden, Spitsbergen, at the waste discharge sites of the settlement of Barentsburg in early spring 2017. The Hg concentration was below the detection limit in the water and varied from 7.1 to 42.3 ng/g of dry weight in the bottom sediments. Mercury concentration in the hydrobionts increased toward the inner fjord and was higher near the mouth of the Grondalen River, which flows into the fjord. Elevated Hg concentrations at the mouth of the Grondalen River indicate that much of the toxic metal is brought to the inner part of the fjord with riverine runoff, and this Hg source is likely more important than the surface supply of Hg transferred from local surface pollution centers at Barentsburg. The Hg concentration depended on the position of the marine organisms in the trophic chain and was the highest in the detritophage mollusks Thyasira gouldi, Cardium sp., and Macoma calcarea, the specialized predatory sea snail Cryptonatica affinis, and the cod Gadus morhua, which is a benthosophage-secondary predator. The total Hg concentrations in the hydrobionts and their habitat in Gronfjorden were generally relatively low and close to the background one.</t>
  </si>
  <si>
    <t>[Lebedeva, N. V.; Zimina, O. L.; Berchenko, I. V.; Meshcheryakov, N. I.] Russian Acad Sci, Kola Sci Ctr, Murmansk Marine Biol Inst, Murmansk 183010, Russia; [Lebedeva, N. V.] Russian Acad Sci, Southern Sci Ctr, Rostov Na Donu 344006, Russia; [Fateev, N. N.; Nikulina, A. L.] Arctic &amp; Antarctic Res Inst, St Petersburg 199397, Russia</t>
  </si>
  <si>
    <t>Russian Academy of Sciences; Kola Science Centre of the Russian Academy of Sciences; Russian Academy of Sciences; Southern Scientific Center, Russian Academy of Sciences; Arctic &amp; Antarctic Research Institute</t>
  </si>
  <si>
    <t>Lebedeva, NV (corresponding author), Russian Acad Sci, Kola Sci Ctr, Murmansk Marine Biol Inst, Murmansk 183010, Russia.;Lebedeva, NV (corresponding author), Russian Acad Sci, Southern Sci Ctr, Rostov Na Donu 344006, Russia.</t>
  </si>
  <si>
    <t>lebedeva@ssc-ras.ru</t>
  </si>
  <si>
    <t>Meshcheriakov, Nikita/L-1626-2018; Berchenko, Igor V/Q-7166-2017; Lebedeva, Natalia V/A-9138-2012; Zimina, Olga/T-7793-2017</t>
  </si>
  <si>
    <t>Meshcheriakov, Nikita/0000-0002-8955-8611; Lebedeva, Natalia V/0000-0003-3545-753X; Zimina, Olga/0000-0003-0844-6085</t>
  </si>
  <si>
    <t>Murmansk Marine Biological Institute KSC RAS [01201366845, 01201366849, AAAA-A17-117052310083-5, AAAA-A17-117100570010-9]; Barentsburg Analytical Laboratory</t>
  </si>
  <si>
    <t>Murmansk Marine Biological Institute KSC RAS; Barentsburg Analytical Laboratory</t>
  </si>
  <si>
    <t>Help with analyzing Hg concentrations in water samples was provided by specialists of the Typhoon Research and Production Association. The study was supported by the projects of the Murmansk Marine Biological Institute KSC RAS (01201366845; 01201366849; AAAA-A17-117052310083-5; AAAA-A17-117100570010-9). The chemical analyses in Barentsburg Analytical Laboratory were supported via the Inter-agency program for research and monitoring on Spitsbergen Archipelago in 2017.</t>
  </si>
  <si>
    <t>0016-7029</t>
  </si>
  <si>
    <t>1556-1968</t>
  </si>
  <si>
    <t>GEOCHEM INT+</t>
  </si>
  <si>
    <t>Geochem. Int.</t>
  </si>
  <si>
    <t>10.1134/S0016702918040031</t>
  </si>
  <si>
    <t>GB7EH</t>
  </si>
  <si>
    <t>WOS:000429237200005</t>
  </si>
  <si>
    <t>Maharana, AK; Singh, SM</t>
  </si>
  <si>
    <t>Maharana, Abhas K.; Singh, Shiv M.</t>
  </si>
  <si>
    <t>A cold and organic solvent tolerant lipase produced by Antarctic strain Rhodotorula sp Y-23</t>
  </si>
  <si>
    <t>cold adapted; Antarctica; lipase; psychrotolerant; sediment core</t>
  </si>
  <si>
    <t>ACTIVE LIPASE; DETERGENT FORMULATION; JAMMU CITY; YEASTS; ENZYMES; BACTERIA; FUNGI; ENVIRONMENTS; PURIFICATION; PERFORMANCE</t>
  </si>
  <si>
    <t>Psychrotolerant yeast Rhodotorula sp. Y-23 was isolated from the sediment core sub-samples of Nella Lake, East Antarctica. Isolate was screened for lipase production using plate assay method followed by submerged fermentation. Production optimization revealed the maximum lipase production by using palmolein oil (5% v/v), pH 8.0 and inoculum size of 2.5% v/v at 15 degrees C. The potential inducers for lipase were 1% w/v of galactose and KNO3, and MnCl2 (0.1% w/v). Final productions with optimized conditions gave 5.47-fold increase in lipase production. Dialyzed product gave a purification fold of 5.63 with specific activity of 26.83Umg(-1) and 15.67% yields. This lipase was more stable at pH 5.0 and -20 degrees C whereas more activity was found at pH 8.0 and 35 degrees C. Stability was more in 50mM Fe3+, EDTA-Na (20mM), sodium deoxycholate (20mM), H2O2 (1% v/v), and almost all organic solvents (50% v/v). Tolerance capacity at wider range of pH and temperature with having lower K-m value i.e., 0.08mgml(-1) and higher V-max 385.68Umg(-1) at 15 degrees C make the studied lipase useful for industrial applications. Besides this, the lipase was compatible with commercially available detergents, and its addition to them increases lipid degradation performances making it a potential candidate in detergent formulation.</t>
  </si>
  <si>
    <t>[Maharana, Abhas K.; Singh, Shiv M.] Natl Ctr Antarctic &amp; Ocean Res, Polar Biol Lab, Vasco Da Gama 403804, Goa, India; [Singh, Shiv M.] Banaras Hindu Univ, Dept Bot, Inst Sci, Varanasi 221005, Uttar Pradesh, India</t>
  </si>
  <si>
    <t>Ministry of Earth Sciences (MoES) - India; National Centre for Polar and Ocean Research (NCPOR); Banaras Hindu University (BHU)</t>
  </si>
  <si>
    <t>Singh, SM (corresponding author), Natl Ctr Antarctic &amp; Ocean Res, Polar Biol Lab, Vasco Da Gama 403804, Goa, India.</t>
  </si>
  <si>
    <t>drshivmohansingh@gmail.com</t>
  </si>
  <si>
    <t>MAHARANA, ABHAS KUMAR/H-8279-2016</t>
  </si>
  <si>
    <t>MAHARANA, ABHAS KUMAR/0000-0003-2585-3766</t>
  </si>
  <si>
    <t>Ministry of Earth Sciences, National Center for Antarctic and Ocean Research</t>
  </si>
  <si>
    <t>10.1002/jobm.201700638</t>
  </si>
  <si>
    <t>WOS:000429001400007</t>
  </si>
  <si>
    <t>Belt, ST; Brown, TA; Smik, L; Assmy, P; Mundy, CJ</t>
  </si>
  <si>
    <t>Belt, Simon T.; Brown, Thomas A.; Smik, Lukas; Assmy, Philipp; Mundy, C. J.</t>
  </si>
  <si>
    <t>Sterol identification in floating Arctic sea ice algal aggregates and the Antarctic sea ice diatom Berkeleya adeliensis</t>
  </si>
  <si>
    <t>Sterols; Sea ice; Biomarker; Arctic; Antarctic</t>
  </si>
  <si>
    <t>SPRING BLOOM; COMMUNITIES; MARINE</t>
  </si>
  <si>
    <t>A number of common sterols were identified in sea ice diatoms from the Arctic and the Antarctic. The main sterols in floating sea ice algal aggregates collected from Resolute Passage (Canadian Arctic) and Nansen Basin (North Svalbard) in 2012 were 22E-dehydrocholesterol, cholesterol, epi-brassicasterol, 24-methylenecholesterol and 24-ethylcholesterol, although the distribution varied between the two locations, likely reflecting compositional differences in diatom taxa. The three major sterols in cells of Berkeleya adeliensis picked from a melted sea ice core collected from Ryder Bay in the Antarctic Peninsula in 2014, were 24-ethylcholesterol, cholesterol and 22E-dehydrocholesterol. We suggest that certain sea ice diatoms may thus contribute to the sedimentary budget of common sterols in seasonally sea ice-covered locations following ice melt. (C) 2018 Elsevier Ltd. All rights reserved.</t>
  </si>
  <si>
    <t>[Belt, Simon T.; Brown, Thomas A.; Smik, Lukas] Univ Plymouth, Sch Geog Earth &amp; Environm Sci, Biogeochem Res Ctr, Plymouth PL4 8AA, Devon, England; [Brown, Thomas A.] Scottish Assoc Marine Sci, Marine Ecol &amp; Chem, Oban PA37, Argyll, Scotland; [Assmy, Philipp] Fram Ctr, Norwegian Polar Inst, NO-9296 Tromso, Norway; [Mundy, C. J.] Univ Manitoba, CEOS, Winnipeg, MB R3T 2N2, Canada</t>
  </si>
  <si>
    <t>University of Plymouth; Norwegian Polar Institute; University of Manitoba</t>
  </si>
  <si>
    <t>Belt, ST (corresponding author), Univ Plymouth, Sch Geog Earth &amp; Environm Sci, Biogeochem Res Ctr, Plymouth PL4 8AA, Devon, England.</t>
  </si>
  <si>
    <t>sbelt@plymouth.ac.uk</t>
  </si>
  <si>
    <t>Brown, Thomas/0000-0003-0322-474X; Smik, Lukas/0000-0003-2280-7342; Mundy, C.J./0000-0001-5945-8305</t>
  </si>
  <si>
    <t>University of Plymouth; Natural Sciences and Engineering Research Council of Canada; Centre of Ice, Climate and Ecosystems at the Norwegian Polar Institute; Research Council of Norway [244646]</t>
  </si>
  <si>
    <t>University of Plymouth; Natural Sciences and Engineering Research Council of Canada(Natural Sciences and Engineering Research Council of Canada (NSERC)CGIAR); Centre of Ice, Climate and Ecosystems at the Norwegian Polar Institute; Research Council of Norway(Research Council of Norway)</t>
  </si>
  <si>
    <t>We thank the University of Plymouth for funding. Sample collection (Resolute Passage) was supported through a Natural Sciences and Engineering Research Council of Canada grant to C. M. P.A. was supported by the Centre of Ice, Climate and Ecosystems at the Norwegian Polar Institute and the Research Council of Norway (project no. 244646). We thank Mairi Fenton for providing the sea ice sample from Ryder Bay. Finally, we acknowledge John Volkman and Andrew Revill for providing constructive feedback on the original manuscript.</t>
  </si>
  <si>
    <t>10.1016/j.orggeochem.2018.01.008</t>
  </si>
  <si>
    <t>WOS:000428997900001</t>
  </si>
  <si>
    <t>De Robertis, A; Levine, R; Wilson, CD</t>
  </si>
  <si>
    <t>De Robertis, Alex; Levine, Robert; Wilson, Christopher D.</t>
  </si>
  <si>
    <t>Can a bottom-moored echo sounder array provide a survey-comparable index of abundance?</t>
  </si>
  <si>
    <t>CANADIAN JOURNAL OF FISHERIES AND AQUATIC SCIENCES</t>
  </si>
  <si>
    <t>POLLOCK THERAGRA-CHALCOGRAMMA; FISH AGGREGATIONS; INSTRUMENT ARRAY; ACOUSTIC SURVEYS; ANTARCTIC KRILL; OCEAN; ZOOPLANKTON; UNCERTAINTY; CONSISTENT; VESSELS</t>
  </si>
  <si>
    <t>A small number of stationary echo sounders have the potential to produce abundance indices where fish repeatedly occupy localized areas (e.g., spawning grounds). To investigate this possibility, we deployed three trawl-resistant moorings with a newly designed autonomous echo sounder for similar to 85 days during the walleye pollock (Gadus chalcogrammus) spawning season in Shelikof Strait, Alaska. Backscatter observed from the moorings was highly correlated with ship-based acoustic surveys, suggesting that the mooring observations reflect abundance over much larger areas than the observation volume of the acoustic beam. A retrospective analysis of a 19-year time series of prespawning walleye pollock surveys was used to select mooring locations and determine that three to five moorings can produce an index of walleye pollock backscatter comparable to that produced by a ship-based survey covering similar to 18 000 km(2) (mean prediction error of &lt;11% for five moorings). The three moorings deployed in Shelikof Strait yielded a backscatter estimate that was within similar to 15%-20% of that observed during the survey. Thus, it appears feasible to design a relatively sparse mooring array to provide abundance information and other aspects of fish behavior in this environment.</t>
  </si>
  <si>
    <t>[De Robertis, Alex; Levine, Robert; Wilson, Christopher D.] Natl Marine Fisheries Serv, 7600 Sand Point Way NE, Seattle, WA 98115 USA; [Levine, Robert] Univ Washington, Sch Oceanog, 1503 NE Boat St, Seattle, WA 98105 USA</t>
  </si>
  <si>
    <t>National Oceanic Atmospheric Admin (NOAA) - USA; University of Washington; University of Washington Seattle</t>
  </si>
  <si>
    <t>De Robertis, A (corresponding author), Natl Marine Fisheries Serv, 7600 Sand Point Way NE, Seattle, WA 98115 USA.</t>
  </si>
  <si>
    <t>Alex.DeRobertis@noaa.gov</t>
  </si>
  <si>
    <t>Levine, Robert/0000-0002-9499-9809</t>
  </si>
  <si>
    <t>NOAA's Office of Science and Technology and Cooperative Research Programs</t>
  </si>
  <si>
    <t>Ivar Wangen and Lars Andersen designed the WBAT and moved mountains to ensure a successful deployment. The captain and crew of the F/V Mar Del Norte and the NOAA Ship Oscar Dyson and members of the fisheries acoustics program at the Alaska Fisheries Science Center made the field work possible. The work was funded by NOAA's Office of Science and Technology and Cooperative Research Programs. Reference to trade names does not imply endorsement by NOAA.</t>
  </si>
  <si>
    <t>0706-652X</t>
  </si>
  <si>
    <t>1205-7533</t>
  </si>
  <si>
    <t>CAN J FISH AQUAT SCI</t>
  </si>
  <si>
    <t>Can. J. Fish. Aquat. Sci.</t>
  </si>
  <si>
    <t>10.1139/cjfas-2017-0013</t>
  </si>
  <si>
    <t>GA5OL</t>
  </si>
  <si>
    <t>WOS:000428383300014</t>
  </si>
  <si>
    <t>Ying, KT; Frederiksen, CS; Zhao, TB; Zheng, XG; Xiong, Z; Yi, X; Li, CX</t>
  </si>
  <si>
    <t>Ying, Kairan; Frederiksen, Carsten S.; Zhao, Tianbao; Zheng, Xiaogu; Xiong, Zhe; Yi, Xue; Li, Chunxiang</t>
  </si>
  <si>
    <t>Predictable and unpredictable modes of seasonal mean precipitation over Northeast China</t>
  </si>
  <si>
    <t>Predictable signal; Unpredictable noise; Atlantic SST; Indian Ocean SST; ENSO; Atmospheric teleconnection</t>
  </si>
  <si>
    <t>ASIAN SUMMER MONSOON; HEMISPHERE ATMOSPHERIC CIRCULATION; SURFACE AIR-TEMPERATURE; HUAIHE RIVER VALLEY; SEA-LEVEL PRESSURE; INTERANNUAL VARIABILITY; INTERDECADAL VARIATIONS; ANTARCTIC OSCILLATION; TROPICAL PACIFIC; WESTERN PACIFIC</t>
  </si>
  <si>
    <t>This study investigates the patterns of interannual variability that arise from the potentially predictable (slow) and unpredictable (intraseasonal) components of seasonal mean precipitation over Northeast (NE) China, using observations from a network of 162 meteorological stations for the period 1961-2014. A variance decomposition method is applied to identify the sources of predictability, as well as the sources of prediction uncertainty, for January-February-March (JFM), April-May-June (AMJ), July-August-September (JAS) and October-November-December (OND). The averaged potential predictability (ratio of slow to total variance) of NE China precipitation has the highest value of 0.32 during JAS and lowest value of 0.1 in AMJ. Possible sources of seasonal prediction for the leading predictable precipitation EOF modes come from the SST anomalies in the Japan Sea, as well as the North Atlantic during JFM, the Indian Ocean SST in AMJ, and the eastern tropical Pacific SST in JAS and OND. The prolonged linear trend, which is seen in the principal component time series of the leading predictable mode in JFM and OND, may also serve as a source of predictability. The Polar-Eurasia and Northern Annular Mode atmospheric teleconnection patterns are closely connected with the leading and the second predictable mode of JAS, respectively. The Hadley cell circulation is closely related to the leading predictable mode of OND. The leading/second unpredictable precipitation modes for all these four seasons show a similar monopole/dipole structure, and can be largely attributed to the intraseasonal variabilities of the atmosphere.</t>
  </si>
  <si>
    <t>[Ying, Kairan; Zhao, Tianbao; Zheng, Xiaogu; Xiong, Zhe; Li, Chunxiang] Chinese Acad Sci, Inst Atmospher Phys, CAS Key Lab Reg Climate Environm Temperate East A, Beijing, Peoples R China; [Frederiksen, Carsten S.] Bur Meteorol, Melbourne, Vic, Australia; [Frederiksen, Carsten S.] Monash Univ, Sch Earth Atmosphere &amp; Environm, Clayton, Vic, Australia; [Yi, Xue] Reg Climate Ctr Shenyang, Shenyang, Liaoning, Peoples R China</t>
  </si>
  <si>
    <t>Chinese Academy of Sciences; Institute of Atmospheric Physics, CAS; Bureau of Meteorology - Australia; Monash University</t>
  </si>
  <si>
    <t>Xiong, Z (corresponding author), Chinese Acad Sci, Inst Atmospher Phys, CAS Key Lab Reg Climate Environm Temperate East A, Beijing, Peoples R China.;Frederiksen, CS (corresponding author), Bur Meteorol, Melbourne, Vic, Australia.;Frederiksen, CS (corresponding author), Monash Univ, Sch Earth Atmosphere &amp; Environm, Clayton, Vic, Australia.</t>
  </si>
  <si>
    <t>C.Frederiksen@bom.gov.au; xzh@tea.ac.cn</t>
  </si>
  <si>
    <t>Zhao, Tianbao/I-4890-2015; Li, Chun/HKW-1738-2023</t>
  </si>
  <si>
    <t>Zhao, Tianbao/0000-0002-8295-6537;</t>
  </si>
  <si>
    <t>National Key R&amp;D Program of China [2016YFA0600402]; National Natural Science Foundation of China [91325108, 91425304, 41675094, 41605066, 41405090]</t>
  </si>
  <si>
    <t>National Key R&amp;D Program of China; National Natural Science Foundation of China(National Natural Science Foundation of China (NSFC))</t>
  </si>
  <si>
    <t>We gratefully acknowledge the two anonymous reviewers for their constructive comments, which helped greatly in improving the quality of this manuscript. This work was done during the visit of KY in the School of Earth, Atmosphere and Environment, Monash University. The work was supported by the National Key R&amp;D Program of China (2016YFA0600402) and National Natural Science Foundation of China (91325108, 91425304, 41675094, 41605066 and 41405090).</t>
  </si>
  <si>
    <t>7-8</t>
  </si>
  <si>
    <t>10.1007/s00382-017-3795-6</t>
  </si>
  <si>
    <t>GA8OS</t>
  </si>
  <si>
    <t>WOS:000428600200044</t>
  </si>
  <si>
    <t>Lagger, C; Nime, M; Torre, L; Servetto, N; Tatián, M; Sahade, R</t>
  </si>
  <si>
    <t>Lagger, Cristian; Nime, Monica; Torre, Luciana; Servetto, Natalia; Tatian, Marcos; Sahade, Ricardo</t>
  </si>
  <si>
    <t>Climate change, glacier retreat and a new ice-free island offer new insights on Antarctic benthic responses</t>
  </si>
  <si>
    <t>ECOGRAPHY</t>
  </si>
  <si>
    <t>KING GEORGE ISLAND; SOUTH SHETLAND ISLANDS; POTTER COVE; COMMUNITY-DEVELOPMENT; ARTIFICIAL SUBSTRATA; ICEBERG DISTURBANCE; MARINE ECOSYSTEM; ADELAIDE ISLAND; PORT FOSTER; PATTERNS</t>
  </si>
  <si>
    <t>The Antarctic Peninsula is among the places on Earth that registered major warming in the last 60 yr. Massive ice losses, represented by glacier retreat, ice-shelf collapses and sea-ice reduction are among the main impacts of this regional warming. The loss of sea-bed ice coverage, on the one hand has been affecting benthic assemblages, but on the other it is opening up new areas for benthic colonisation. Potter Cove (South Shetland Islands) offered the opportunity of assessing both processes. We recently reported a sudden shift of benthic assemblages related to increased sedimentation rates caused by glacier retreat. This glacier retreat also uncovered a new island that presents a natural experiment to study Antarctic benthic colonisation and succession. We sampled the new island by photo-transects taken up to 30 m depth. Here, we report an unexpected benthic assemblage characterised by high species richness, diversity and structural complexity with a well-developed three-dimensional structure and epibiotic relationships. Filter feeders comprised the largest trophic group at all depths, mainly ascidians, sponges and bryozoans. Densities were also surprising, recording only six ascidian species with a mean of similar to 310 ind. m(-2). These values are at least an order of magnitude higher than previous Antarctic reports on early colonisation. This finding challenges the extended idea of a slow and continuous recruitment in Antarctica. However, it also opens the question of whether these complex assemblages could have been present under the glacier in ice-free refuges that are now exposed to open sea conditions. Under the current scenario of climate change, these results acquire high relevance as they suggest a two-fold effect of the Antarctic Peninsula warming: the environmental shifts that threaten coastal ecosystems, and also the opening up of new areas for colonisation that may occur at a previously unimagined speed.</t>
  </si>
  <si>
    <t>[Lagger, Cristian; Torre, Luciana; Servetto, Natalia; Tatian, Marcos; Sahade, Ricardo] UNC, CONICET, IDEA, Cordoba, Argentina; [Lagger, Cristian; Torre, Luciana; Servetto, Natalia; Tatian, Marcos; Sahade, Ricardo] Univ Nacl Cordoba, Fac Ciencias Exactas Fis &amp; Nat, Cordoba, Argentina; [Nime, Monica] Univ Nacl Cordoba, Ctr Relevamiento &amp; Evaluac Recursos Agr &amp; Nat IMB, Cordoba, Argentina</t>
  </si>
  <si>
    <t>National University of Cordoba; Consejo Nacional de Investigaciones Cientificas y Tecnicas (CONICET); National University of Cordoba; National University of Cordoba</t>
  </si>
  <si>
    <t>Sahade, R (corresponding author), UNC, CONICET, IDEA, Cordoba, Argentina.;Sahade, R (corresponding author), Univ Nacl Cordoba, Fac Ciencias Exactas Fis &amp; Nat, Cordoba, Argentina.</t>
  </si>
  <si>
    <t>rsahade@unc.edu.ar</t>
  </si>
  <si>
    <t>Servetto, Natalia/0000-0002-3713-9116; Torre, Luciana/0000-0002-2090-1258; Tatian, Marcos/0000-0002-9092-9184; Sahade, Ricardo/0000-0001-5650-8135</t>
  </si>
  <si>
    <t>Inst. Antartico Argentino (IAA); Alfred Wegener Inst. (AWI); CONICET; FONCyT; SECyT-UNC; PADI Foundation [11234]; EU via grant PICTO-DNA [119]; EU via grant IMCONet (IRSES) [319718]</t>
  </si>
  <si>
    <t>Inst. Antartico Argentino (IAA); Alfred Wegener Inst. (AWI); CONICET(Consejo Nacional de Investigaciones Cientificas y Tecnicas (CONICET)); FONCyT(FONCyT); SECyT-UNC(Secretaria de Ciencia y Tecnologia (SECYT)); PADI Foundation; EU via grant PICTO-DNA; EU via grant IMCONet (IRSES)</t>
  </si>
  <si>
    <t>Logistic and financial support was provided by Inst. Antartico Argentino (IAA), Alfred Wegener Inst. (AWI), CONICET, FONCyT, SECyT-UNC, PADI Foundation (App no. 11234) and EU via grants PICTO-DNA no. 119 and IMCONet (FP7 IRSES, action no. 319718).</t>
  </si>
  <si>
    <t>0906-7590</t>
  </si>
  <si>
    <t>1600-0587</t>
  </si>
  <si>
    <t>Ecography</t>
  </si>
  <si>
    <t>10.1111/ecog.03018</t>
  </si>
  <si>
    <t>GB1EI</t>
  </si>
  <si>
    <t>WOS:000428793500002</t>
  </si>
  <si>
    <t>Martínez, D; Díaz-Ibarrola, D; Vargas-Lagos, C; Oyarzún, R; Pontigo, JP; Muñoz, JLP; Yáñez, AJ; Vargas-Chacoff, L</t>
  </si>
  <si>
    <t>Martinez, D.; Diaz-Ibarrola, D.; Vargas-Lagos, C.; Oyarzun, R.; Pontigo, J. P.; Munoz, J. L. P.; Yanez, A. J.; Vargas-Chacoff, L.</t>
  </si>
  <si>
    <t>Immunological response of the Sub-Antarctic Notothenioid fish Eleginops maclovinus injected with two strains of Piscirickettsia salmonis</t>
  </si>
  <si>
    <t>FISH &amp; SHELLFISH IMMUNOLOGY</t>
  </si>
  <si>
    <t>Eleginops maclovinus; Immune system; Sub-Antarctic Notothenioid; Gene expression; P. salmonis</t>
  </si>
  <si>
    <t>TOLL-LIKE RECEPTOR-1; RAINBOW-TROUT; IMMUNE-SYSTEM; MOLECULAR CHARACTERIZATION; GENETIC-CHARACTERIZATION; EXPRESSION ANALYSIS; SUBFAMILY MEMBERS; GENOME SEQUENCE; FARMED SALMONID; CUTTING EDGE</t>
  </si>
  <si>
    <t>Eleginops maclovinus is an endemic fish to Chile that lives in proximity to salmonid culture centers, feeding off of uneaten pellet and salmonid feces. Occurring in the natural environment, this interaction between native and farmed fish could result in the horizontal transmission of pathogens affecting the aquaculture industry. The aim of this study was to evaluate the innate and adaptive immune responses of E. maclovinus challenged with P. salmonis. Treatment injections (in duplicate) were as follows: control (100 mu L of culture medium), wild type LF-89 strain (100 mu L, 1 x 10(8) live bacteria), and antibiotic resistant strain Austral-005 (100 mu L, 1 x 10(8) live bacteria). The fish were sampled at various time-points during the 35-day experimental period. The gene expression of TLRs (1, 5, and 8), NLRCs (3 and 5), C3, IL-1 beta, MHCII, and IgMs were significantly modulated during the experimental period in both the spleen and gut (excepting TLR1 and TLR8 spleen expressions), with tissue specific expression profiles and punctual differences between the injected strains. Anti-P. salmonis antibodies increased in E. maclovinus serum from day 14-28 for the LF-89 strain and from day 14-35 for the Austral-005 strain. These results suggest temporal activation of the innate and adaptive immune responses in E. maclovinus tissues when injected by distinct P. salmonis strains. The Austral-005 strain did not always cause the greatest increases/decreases in the number of transcripts, so the magnitude of the observed immune response (mRNA) may not be related to antibiotic resistance. This is the first immunological study to relate a pathogen widely studied in salmonids with a native fish.</t>
  </si>
  <si>
    <t>[Martinez, D.; Diaz-Ibarrola, D.; Vargas-Lagos, C.; Oyarzun, R.; Pontigo, J. P.; Vargas-Chacoff, L.] Univ Austral Chile, Lab Fisiol Peces, Inst Ciencias Marinas &amp; Limnol, Valdivia, Chile; [Martinez, D.; Oyarzun, R.] Univ Austral Chile, Programa Doctorado Ciencias Acuicultura 16a, Escuela Grad, Ave Los Pinos S-N Balneario Peiluco, Puerto Montt, Chile; [Martinez, D.; Oyarzun, R.; Vargas-Chacoff, L.] Univ Austral Chile, Ctr Fondap Invest Altus Latitudes IDEAL, Casilla 567, Valdivia, Chile; [Vargas-Lagos, C.] Univ Austral Chile, Programa Magister Microbiol, Escuela Grad, Valdivia, Chile; [Vargas-Lagos, C.; Yanez, A. J.] Univ Austral Chile, Ctr Fondap Interdisciplinary Ctr Aquaculture Res, Valdivia, Chile; [Munoz, J. L. P.] Univ Lagos, Ctr Invest &amp; Desarrollo &amp; Mar, Casilla 557, Puerto Montt, Chile; [Yanez, A. J.] Univ Austral Chile, Inst Bioquim &amp; Microbiol, Valdivia, Chile</t>
  </si>
  <si>
    <t>Universidad Austral de Chile; Universidad Austral de Chile; Universidad Austral de Chile; Universidad Austral de Chile; Universidad Austral de Chile; Universidad de Los Lagos; Universidad Austral de Chile</t>
  </si>
  <si>
    <t>Martínez, D; Vargas-Chacoff, L (corresponding author), Univ Austral Chile, Lab Fisiol Peces, Inst Ciencias Marinas &amp; Limnol, Valdivia, Chile.</t>
  </si>
  <si>
    <t>danixa.martinez@alumnos.uach.cl; luis.vargas@uach.cl</t>
  </si>
  <si>
    <t>Oyarzún-Salazar, Ricardo/HGU-6035-2022; Pontigo, Juan Pablo/AAS-2367-2021; Vargas-Chacoff, Luis LVCh/A-5855-2012; Perez, Jose Luis JLP munoz Muñoz/D-7774-2013</t>
  </si>
  <si>
    <t>Pontigo, Juan Pablo/0000-0003-0084-0862; Munoz Perez, Jose Luis/0000-0002-4645-0176; Vargas-Chacoff, Luis/0000-0002-0497-2582; Oyarzun-Salazar, Ricardo/0000-0003-3177-399X; MARTINEZ GONZALEZ, DANIXA PAMELA/0000-0002-7363-419X</t>
  </si>
  <si>
    <t>DID UACH, Fondap-Ideal Grant [15150003]; DID UACH, Fondecyt Regular Grant [1160877]; Comision Nacional de Investigacion Cientifica y Tecnologica (CONICYT) [21140451]</t>
  </si>
  <si>
    <t>DID UACH, Fondap-Ideal Grant; DID UACH, Fondecyt Regular Grant; Comision Nacional de Investigacion Cientifica y Tecnologica (CONICYT)(Comision Nacional de Investigacion Cientifica y Tecnologica (CONICYT))</t>
  </si>
  <si>
    <t>This work was financed by DID UACH, Fondap-Ideal Grant No. 15150003 and Fondecyt Regular Grant No. 1160877. We acknowledge Carlos Loncoman (University of Melbourne) for his help handling the sequences and submission process to GenBank. D. Martinez received financial support from a national doctoral scholarship awarded by the Comision Nacional de Investigacion Cientifica y Tecnologica (CONICYT), No. 21140451.</t>
  </si>
  <si>
    <t>1050-4648</t>
  </si>
  <si>
    <t>1095-9947</t>
  </si>
  <si>
    <t>FISH SHELLFISH IMMUN</t>
  </si>
  <si>
    <t>Fish Shellfish Immunol.</t>
  </si>
  <si>
    <t>10.1016/j.fsi.2018.01.012</t>
  </si>
  <si>
    <t>Fisheries; Immunology; Marine &amp; Freshwater Biology; Veterinary Sciences</t>
  </si>
  <si>
    <t>GB1QI</t>
  </si>
  <si>
    <t>WOS:000428824900017</t>
  </si>
  <si>
    <t>García, JL; Hein, AS; Binnie, SA; Gómez, GA; González, MA; Dunai, TJ</t>
  </si>
  <si>
    <t>Garcia, Juan-Luis; Hein, Andrew S.; Binnie, Steven A.; Gomez, Gabriel A.; Gonzalez, Mauricio A.; Dunai, Tibor J.</t>
  </si>
  <si>
    <t>The MIS 3 maximum of the Torres del Paine and Ultima Esperanza ice lobes in Patagonia and the pacing of southern mountain glaciation</t>
  </si>
  <si>
    <t>COSMOGENIC NUCLIDE PRODUCTION; ANTARCTIC COLD REVERSAL; SEA-SURFACE TEMPERATURE; BE-10 PRODUCTION-RATE; LAGO BUENOS-AIRES; NEW-ZEALAND; PRODUCTION-RATES; LAST GLACIATION; RADIOCARBON CHRONOLOGY; LLANQUIHUE GLACIATION</t>
  </si>
  <si>
    <t>. The timing, structure and termination of the last southern mountain glaciation and its forcing remains unclear. Most studies have focused on the global Last Glacial Maximum (LGM; 26.5-19 ka) time period, which is just part of the extensive time-frame within the last glacial period, including Marine isotope Stages 3 and 4. Understanding the glacial fluctuations throughout the glacial period is a prerequisite for uncovering the cause and climate mechanism driving southern glaciation and the interhemispheric linkages of climate change. Here, we present an extensive (n = 65) cosmogenic Be-10 glacier chronology derived from moraine belts marking the pre-global LGM extent of the former Patagonian Ice Sheet in southernmost South America. Our results show the mountain ice sheet reached its maximum extent at 48.0 +/- 1.8 ka during the local LGM, but attained just half this extent at 21.5 +/- 1.8 ka during the global LGM. This finding, supported by nearby glacier chronologies, indicates that at orbital time scales, the southern mid-latitude glaciers fluctuated out-of-phase with northern hemisphere ice sheets. At millennial time-scales, our data suggest that Patagonian and New Zealand glaciers advanced in unison with cold Antarctic stadials and reductions in Southern Ocean sea surface temperatures. This implies a southern middle latitudes-wide millennial rhythm of climate change throughout the last glacial period linked to the north Atlantic by the bipolar seesaw. We suggest that winter insolation, acting alongside other drivers such as the strength and/or position of the southern westerlies, controlled the extents of major southern mountain glaciers such as those in southernmost South America. (C) 2018 Elsevier Ltd. All rights reserved.</t>
  </si>
  <si>
    <t>[Garcia, Juan-Luis; Gomez, Gabriel A.; Gonzalez, Mauricio A.] Pontificia Univ Catolica Chile, Fac Hist Geog &amp; Ciencia Polit, Inst Geog, Ave Vicuna Mackenna 4860, Santiago 7820436, Chile; [Hein, Andrew S.] Univ Edinburgh, Sch GeoSci, Edinburgh EH8 9XP, Midlothian, Scotland; [Binnie, Steven A.; Dunai, Tibor J.] Univ Cologne, Inst Geol &amp; Mineral, Zulpicher Str 49b, D-50674 Cologne, Germany; [Gomez, Gabriel A.] Univ Austral Chile, Inst Ciencias Tierra, Valdivia, Chile</t>
  </si>
  <si>
    <t>Pontificia Universidad Catolica de Chile; University of Edinburgh; University of Cologne; Universidad Austral de Chile</t>
  </si>
  <si>
    <t>García, JL (corresponding author), Pontificia Univ Catolica Chile, Fac Hist Geog &amp; Ciencia Polit, Inst Geog, Ave Vicuna Mackenna 4860, Santiago 7820436, Chile.</t>
  </si>
  <si>
    <t>jgarciab@uc.cl</t>
  </si>
  <si>
    <t>Binnie, Steven/M-7507-2015; Dunai, Tibor J/E-9558-2012; Hein, Andrew/JWO-3756-2024; Garcia-Barriga, Juan-Luis/U-6381-2017</t>
  </si>
  <si>
    <t>Binnie, Steven/0000-0003-0883-0212; Garcia-Barriga, Juan-Luis/0000-0002-9028-7572; Dunai, Tibor Janos/0000-0001-8858-2401</t>
  </si>
  <si>
    <t>FONDECYT [11110381, 1161110]</t>
  </si>
  <si>
    <t>FONDECYT(Comision Nacional de Investigacion Cientifica y Tecnologica (CONICYT)CONICYT FONDECYT)</t>
  </si>
  <si>
    <t>We thank Joerg Schaefer and Michael Kaplan for supporting the preparation of samples RVI-08-01 &amp; RVI-08-02 in LDEO cosmo lab. We thank Juan Jose Ferrada, Francisca Santana for contributing to this study, and Fabrice Lambert Esteban Sagredo, David Sugden for constructive discussion along this work. We are grateful to Patagonian estancias San Antonio, Cerro Guido, El Palenque, Llanuras de Diana, Dorotea, Laguna Salada and Tapi Aike for providing help and support during fieldwork campaigns. This work was supported by FONDECYT (Grants# 11110381 and # 1161110).</t>
  </si>
  <si>
    <t>10.1016/j.quascirev.2018.01.013</t>
  </si>
  <si>
    <t>WOS:000428830400002</t>
  </si>
  <si>
    <t>Fang, W</t>
  </si>
  <si>
    <t>Fang, Wei</t>
  </si>
  <si>
    <t>The case for multiple realization in biology</t>
  </si>
  <si>
    <t>BIOLOGY &amp; PHILOSOPHY</t>
  </si>
  <si>
    <t>Multiple realization; Compositional realization; Neural plasticity; Transformational analogues; Respiration</t>
  </si>
  <si>
    <t>MEMORY CONSOLIDATION; ANTARCTIC ICEFISH; METAPHYSICS; REALIZABILITY; EVOLUTION; SUPERFAMILIES; PHILOSOPHY; BECHTEL; MIND</t>
  </si>
  <si>
    <t>Polger and Shapiro argue that their official recipe, a criterion for judging when the phenomenon of multiple realization (MR) exists, renders MR less widespread than its proponents have assumed. I argue that, although Polger and Shapiro's criterion is a useful contribution, they arrive at their conclusion too hastily. Contrary to Polger and Shapiro, I claim that the phenomenon of multiple realization in the biological world, judged by their criterion, is not as scarce as they suggest. To show this, an updated official recipe, namely a multiple mechanistic realization thesis, integrating Polger and Shapiro's criterion with a compositional conception of realization, is developed. Then, three examples of varied kinds are examined, showing that cases of MR are not so hard to find in the biological world.</t>
  </si>
  <si>
    <t>[Fang, Wei] Tongji Univ, Dept Philosophy, Shanghai 200092, Peoples R China</t>
  </si>
  <si>
    <t>Tongji University</t>
  </si>
  <si>
    <t>Fang, W (corresponding author), Tongji Univ, Dept Philosophy, Shanghai 200092, Peoples R China.</t>
  </si>
  <si>
    <t>wesleyfang@tongji.edu.cn</t>
  </si>
  <si>
    <t>Fang, Wei/AAI-9717-2020</t>
  </si>
  <si>
    <t>Fang, Wei/0000-0001-9856-0599</t>
  </si>
  <si>
    <t>National Social Science Fund of China [14ZDB018]</t>
  </si>
  <si>
    <t>National Social Science Fund of China</t>
  </si>
  <si>
    <t>I am grateful to a number of friends and colleagues for feedback on early drafts of this work, including Pierrick Bourrat, Mischa Davenport, Stefan Gawronski, Paul Griffiths, Kate Lynch, Qiaoying Lu, John Matthewson, Patrick McGivern, Jay Odenbaugh, Wendy Parker, Arnaud Pocheville, Elena Walsh and two anonymous referees. Special thanks is due to Paul Griffiths and Arnaud Pocheville, who gave me extremely useful help and encouragement over the course of developing this work. Also thanks to the National Social Science Fund of China (Grant no.: 14ZDB018).</t>
  </si>
  <si>
    <t>0169-3867</t>
  </si>
  <si>
    <t>1572-8404</t>
  </si>
  <si>
    <t>BIOL PHILOS</t>
  </si>
  <si>
    <t>Biol. Philos.</t>
  </si>
  <si>
    <t>10.1007/s10539-018-9613-7</t>
  </si>
  <si>
    <t>History &amp; Philosophy Of Science</t>
  </si>
  <si>
    <t>Science Citation Index Expanded (SCI-EXPANDED); Social Science Citation Index (SSCI); Arts &amp; Humanities Citation Index (A&amp;HCI)</t>
  </si>
  <si>
    <t>History &amp; Philosophy of Science</t>
  </si>
  <si>
    <t>GA9WC</t>
  </si>
  <si>
    <t>WOS:000428691000004</t>
  </si>
  <si>
    <t>Maguilla, E; Escudero, M; Luceño, M</t>
  </si>
  <si>
    <t>Maguilla, Enrique; Escudero, Marcial; Luceno, Modesto</t>
  </si>
  <si>
    <t>Vicariance versus dispersal across Beringian land bridges to explain circumpolar distribution: A case study in plants with high dispersal potential</t>
  </si>
  <si>
    <t>Beringia; biogeography; bipolar; Carex; climate change; Cyperaceae; glaciations; long-distance dispersal</t>
  </si>
  <si>
    <t>LONG-DISTANCE DISPERSAL; HISTORICAL BIOGEOGRAPHY; DIVERSIFICATION RATES; GEOGRAPHIC RANGE; NORTH-AMERICA; CAREX; EVOLUTION; CYPERACEAE; PHYLOGENY; SPIROSTACHYAE</t>
  </si>
  <si>
    <t>Aim: To disentangle the importance of the Beringian land bridges during the Pliocene and Quaternary periods in order to explain the current distribution of circumpolar plants with potential for long-distance dispersal. Location: Circumpolar (Arctic and Antarctic). Methods: We sampled all extant species in Carex section Glareosae (26 species and 2 subspecies) and analysed 14 DNA regions, including the nrDNA regions ETS and ITS, three nuclear single-copy genes (CATP, G3PDH and GZF), and nine cpDNA regions: 5 ' trnK intron, atpIH, matK, ndhJ-trnF, psbA-trnH, rpl32-trnL, rps16, trnC-ycf6 and ycf6-psbM. After testing for outlier proportions, we used Bayesian inference, maximum likelihood and a species-tree approach to infer phylogenetic relationships between species; divergence times were estimated using BEAST2. We then performed biogeographical analyses using BioGeoBEARS to estimate ancestral areas by means of reticulate models. Finally, lineage through time (LTT) and diversification pattern analyses were performed using BAMM. Results: Carex section Glareosae is a monophyletic group that diverged c. 6.56 Ma (4.54-8.51 Ma at 95% highest posterior density interval). We show that within-area cladogenetic speciation events and anagenetic dispersal (including some vicariance events) play an important role in shaping distribution in species with potential for long-distance dispersal. Diversification patterns show constant diversification rates over time. Main conclusions: The Bering Strait may have played an important role in shaping the current distribution of the species in the section, facilitating dispersal between Asia and North America during glacial periods when the Beringian land bridges were open. Nevertheless, we cannot discount long-distance dispersal as an alternative major force shaping the species distribution in the section.</t>
  </si>
  <si>
    <t>[Maguilla, Enrique; Luceno, Modesto] Univ Pablo de Olavide, Dept Biol Mol &amp; Ingn Bioquim, Seville, Spain; [Escudero, Marcial] Univ Seville, Dept Biol Vegetal &amp; Ecol, Seville, Spain</t>
  </si>
  <si>
    <t>Universidad Pablo de Olavide; University of Sevilla</t>
  </si>
  <si>
    <t>Maguilla, E (corresponding author), Univ Pablo de Olavide, Seville, Spain.</t>
  </si>
  <si>
    <t>emagsal@gmail.com</t>
  </si>
  <si>
    <t>Lirio, Antonio Marcial Escudero/H-2099-2015; Maguilla, Enrique/A-9738-2016</t>
  </si>
  <si>
    <t>Lirio, Antonio Marcial Escudero/0000-0002-2541-5427; Maguilla, Enrique/0000-0002-8245-3024; Luceno Garces, Modesto/0000-0002-0336-4083</t>
  </si>
  <si>
    <t>Spanish Government [CGL2012-38744, CGL2016-77401-P, AP2012-2189]; Junta de Andalucia [RNM2736]; European Community Research Infrastructures Program [GB-TAF-2523]</t>
  </si>
  <si>
    <t>Spanish Government(Spanish Government); Junta de Andalucia(Junta de Andalucia); European Community Research Infrastructures Program</t>
  </si>
  <si>
    <t>Spanish Government, Grant/Award Number: CGL2012-38744, CGL2016-77401-P, AP2012-2189; Junta de Andalucia, Grant/Award Number: RNM2736; European Community Research Infrastructures Program, Grant/Award Number: GB-TAF-2523</t>
  </si>
  <si>
    <t>10.1111/jbi.13157</t>
  </si>
  <si>
    <t>GB1ZA</t>
  </si>
  <si>
    <t>WOS:000428849000005</t>
  </si>
  <si>
    <t>González-Wevar, CA; Segovia, NI; Rosenfeld, S; Ojeda, J; Hüne, M; Naretto, J; Saucède, T; Brickle, P; Morley, S; Féral, JP; Spencer, HG; Poulin, E</t>
  </si>
  <si>
    <t>Gonzalez-Wevar, Claudio A.; Segovia, Nicolas I.; Rosenfeld, Sebastian; Ojeda, Jaime; Hune, Mathias; Naretto, Javier; Saucede, Thomas; Brickle, Paul; Morley, Simon; Feral, Jean-Pierre; Spencer, Hamish G.; Poulin, Elie</t>
  </si>
  <si>
    <t>Unexpected absence of island endemics: Long-distance dispersal in higher latitude sub-Antarctic Siphonaria (Gastropoda: Euthyneura) species</t>
  </si>
  <si>
    <t>Antarctic circumpolar current; direct developers; long-distance dispersal; oceanic biogeography; pulmonate; rafting; Siphonaria; sub-Antarctic</t>
  </si>
  <si>
    <t>SOUTHERN-OCEAN; GENETIC-DIVERGENCE; BIOGEOGRAPHY; DIVERSITY; DNA; CONNECTIVITY; BARRIERS; MAXIMUM; HISTORY; INVERTEBRATES</t>
  </si>
  <si>
    <t>Aim: We assess biogeographical patterns, population structure and the range of species in the pulmonate genus Siphonaria across the sub-Antarctic. We hypothesized that locally endemic cryptic species will be found across the distribution of these direct-developing limpets in the sub-Antarctic. Location: The sub-Antarctic coasts of the Southern Ocean including South America, the Falkland/Malvinas, South Georgia, Kerguelen and Macquarie Islands. Methods: Multi-locus phylogenetic reconstructions, mtDNA time-calibrated divergence time estimations and population-based analyses of Siphonaria populations were used at the scale of the Southern Ocean. Results: We resolve two widely distributed lineages of Siphonaria (S. lateralis and S. fuegiensis) across the sub-Antarctic. MtDNA divergence time estimates suggest that they were separated around 4.0 Ma (3.0 to 8.0 Ma). Subsequently both species followed different evolutionary pathways across their distributions. Low levels of genetic diversity characterize the populations of both species, reflecting the role of Quaternary glacial cycles during their respective demographic histories, suggesting high levels of dispersal among geographically distant localities. Main conclusions: Siphonaria lateralis and S. fuegiensis constitute sister and broadly co-distributed species across the sub-Antarctic. Unexpected transoceanic similarities and low levels of genetic diversity in both these direct-developing species imply recurrent recolonization processes through long-distance dispersal to isolated sub-Antarctic islands. For such groups of Southern Ocean invertebrates, rafting may be more effective for long-distance dispersal than a free-living planktotrophic larval stage. This biogeographical model may explain why many marine species lacking a dispersal phase exhibit broad distributions, low genetic diversity and low population structure over thousands of kilometres.</t>
  </si>
  <si>
    <t>[Gonzalez-Wevar, Claudio A.; Rosenfeld, Sebastian; Ojeda, Jaime] Univ Magallanes, LEMAS, Punta Arenas, Chile; [Gonzalez-Wevar, Claudio A.; Segovia, Nicolas I.; Rosenfeld, Sebastian; Ojeda, Jaime; Hune, Mathias; Naretto, Javier; Poulin, Elie] Univ Chile, IEB, Santiago, Chile; [Saucede, Thomas] Univ Bourgogne Franche Comte, UMR CNRS 6282, Biogeosci, Dijon, France; [Brickle, Paul] SAERI, Stanley, Falkland Island; [Brickle, Paul] Univ Aberdeen, Sch Biol Sci Zool, Aberdeen, Scotland; [Morley, Simon] BAS, Cambridge, England; [Feral, Jean-Pierre] IMBE Inst Mediterraneen Biol &amp; Ecol Marine &amp; Cont, Stn Marine Endoume, UMR 7263, Marseille, France; [Spencer, Hamish G.] Univ Otago, Dept Zool, Dunedin, New Zealand</t>
  </si>
  <si>
    <t>Universidad de Magallanes; Universidad de Chile; Universite de Bourgogne; Centre National de la Recherche Scientifique (CNRS); CNRS - Institute of Ecology &amp; Environment (INEE); University of Aberdeen; UK Research &amp; Innovation (UKRI); Natural Environment Research Council (NERC); NERC British Antarctic Survey; Aix-Marseille Universite; Centre National de la Recherche Scientifique (CNRS); Institut de Recherche pour le Developpement (IRD); CNRS - Institute of Ecology &amp; Environment (INEE); University of Otago</t>
  </si>
  <si>
    <t>González-Wevar, CA (corresponding author), Univ Magallanes, LEMAS, Punta Arenas, Chile.</t>
  </si>
  <si>
    <t>claudio.gonzalez@umag.cl</t>
  </si>
  <si>
    <t>Hüne, Mathias/ABE-6000-2020; FERAL, Jean-Pierre/M-9608-2019; Spencer, Hamish G/B-9637-2008; Ojeda, Jaime/HHN-1455-2022; Poulin, Elie/C-2654-2012; González-Wevar, Claudio Alejandro/AAD-6513-2021</t>
  </si>
  <si>
    <t>FERAL, Jean-Pierre/0000-0001-7627-0160; Spencer, Hamish G/0000-0001-7531-597X; Poulin, Elie/0000-0001-7736-0969; ojeda, jaime/0000-0003-3863-9750; Rosenfeld, Sebastian/0000-0002-4363-8018; Brickle, Paul/0000-0002-9870-3518; Morley, Simon/0000-0002-7761-660X</t>
  </si>
  <si>
    <t>Fondecyt Initiation Project [11140087]; Instituto de Ecologia y Biodiversidad [P05-002 ICM, PFB 023]; Fondecyt Regular Project [1151336]; IPEV program [1044 Proteker]; NERC [bas0100036] Funding Source: UKRI</t>
  </si>
  <si>
    <t>Fondecyt Initiation Project(Comision Nacional de Investigacion Cientifica y Tecnologica (CONICYT)CONICYT FONDECYT); Instituto de Ecologia y Biodiversidad; Fondecyt Regular Project(Comision Nacional de Investigacion Cientifica y Tecnologica (CONICYT)CONICYT FONDECYT); IPEV program; NERC(UK Research &amp; Innovation (UKRI)Natural Environment Research Council (NERC))</t>
  </si>
  <si>
    <t>Fondecyt Initiation Project, Grant/Award Number: 11140087; Instituto de Ecologia y Biodiversidad, Grant/Award Number: P05-002 ICM, PFB 023; Fondecyt Regular Project, Grant/Award Number: 1151336; IPEV program 1044 Proteker</t>
  </si>
  <si>
    <t>10.1111/jbi.13174</t>
  </si>
  <si>
    <t>WOS:000428849000014</t>
  </si>
  <si>
    <t>Nicol, S</t>
  </si>
  <si>
    <t>Nicol, Stephen</t>
  </si>
  <si>
    <t>Oceans of Krill</t>
  </si>
  <si>
    <t>NATURAL HISTORY</t>
  </si>
  <si>
    <t>[Nicol, Stephen] Univ Tasmania, Inst Marine &amp; Antarctic Studies, Hobart, Tas, Australia</t>
  </si>
  <si>
    <t>Nicol, S (corresponding author), Univ Tasmania, Inst Marine &amp; Antarctic Studies, Hobart, Tas, Australia.</t>
  </si>
  <si>
    <t>NATURAL HISTORY MAGAZINE</t>
  </si>
  <si>
    <t>36 WEST 25TH STREET, FIFTH FLOOR, NEW YORK, NY 10010 USA</t>
  </si>
  <si>
    <t>0028-0712</t>
  </si>
  <si>
    <t>NAT HIST</t>
  </si>
  <si>
    <t>Nat. Hist.</t>
  </si>
  <si>
    <t>GA3KR</t>
  </si>
  <si>
    <t>WOS:000428228000016</t>
  </si>
  <si>
    <t>Biersma, EM; Jackson, JA; Bracegirdle, TJ; Griffiths, H; Linse, K; Convey, P</t>
  </si>
  <si>
    <t>Biersma, E. M.; Jackson, J. A.; Bracegirdle, T. J.; Griffiths, H.; Linse, K.; Convey, P.</t>
  </si>
  <si>
    <t>Low genetic variation between South American and Antarctic populations of the bank-forming moss Chorisodontium aciphyllum (Dicranaceae)</t>
  </si>
  <si>
    <t>Bryophyte; LGM; Last glacial maximum; Peat moss; Sub-Antarctic; Wind</t>
  </si>
  <si>
    <t>BRYUM-ARGENTEUM; CLIMATE-CHANGE; AMPLIFICATION; BIOGEOGRAPHY; GLACIATION; PHYLOGENY; HISTORY; PLANTS; ISLAND; BIRDS</t>
  </si>
  <si>
    <t>The Antarctic-South American bank-forming moss Chorisodontium aciphyllum is known for having the oldest sub-fossils of any extant plant in Antarctica as well as extreme survival abilities, making it a candidate species for possible long-term survival in Antarctica. Applying phylogeographic and population genetic methods using the plastid markers trnL-F and rps4 and the nuclear internal transcribed spacer, we investigated the genetic diversity within C. aciphyllum throughout its range. Low genetic variation was found in all loci, both between and within Antarctic and southern South American populations, suggesting a relatively recent (likely within the last million years) colonization of this moss to the Antarctic, as well as a likely severe bottleneck during Pleistocene glaciations in southern South America. We also performed a simple atmospheric transfer modeling approach to study potential colonization rates of small (microscopic/microbial) or spore-dispersed organisms (such as many mosses and lichens). These suggested that the northern Antarctic Peninsula shows potentially regular connectivity from southern South America, with air masses transferring, particularly southbound, between the two regions. We found elevated genetic variation of C. aciphyllum in Elephant Island, also the location of the oldest known moss banks (&gt; 5500 years), suggesting this location to be a genetic hotspot for this species in the Antarctic.</t>
  </si>
  <si>
    <t>[Biersma, E. M.; Jackson, J. A.; Bracegirdle, T. J.; Linse, K.; Convey, P.] British Antarctic Survey, Nat Environm Res Council, Madingley Rd, Cambridge CB3 0ET, England; [Biersma, E. M.; Griffiths, H.] Univ Cambridge, Dept Plant Sci, Downing St, Cambridge CB2 3EA, England; [Convey, P.] Univ Malaya, Inst Grad Studies, Natl Antarctic Res Ctr, Kuala Lumpur 50603, Malaysia</t>
  </si>
  <si>
    <t>UK Research &amp; Innovation (UKRI); Natural Environment Research Council (NERC); NERC British Antarctic Survey; University of Cambridge; Universiti Malaya</t>
  </si>
  <si>
    <t>Biersma, EM (corresponding author), British Antarctic Survey, Nat Environm Res Council, Madingley Rd, Cambridge CB3 0ET, England.;Biersma, EM (corresponding author), Univ Cambridge, Dept Plant Sci, Downing St, Cambridge CB2 3EA, England.</t>
  </si>
  <si>
    <t>elisebiersma@gmail.com</t>
  </si>
  <si>
    <t>Griffiths, Huw J/D-4234-2009; Convey, Peter/AAV-5728-2020; Biersma, Elisabeth Machteld/JKI-1084-2023; Bracegirdle, Tom/AAD-6060-2020; Biersma, Elisabeth Machteld/AAL-9818-2020; Jackson, Jennifer A/E-7997-2013</t>
  </si>
  <si>
    <t>Griffiths, Huw J/0000-0003-1764-223X; Convey, Peter/0000-0001-8497-9903; Biersma, Elisabeth Machteld/0000-0002-9877-2177; Jackson, Jennifer/0000-0003-4158-1924</t>
  </si>
  <si>
    <t>Natural Environment Research Council (NERC) [NE/K50094X/1]; NERC; NERC [bas0100035, bas0100032, NE/K50094X/1, bas0100036] Funding Source: UKRI; Natural Environment Research Council [bas0100036, bas0100035, bas0100032, 1246575] Funding Source: researchfish</t>
  </si>
  <si>
    <t>Natural Environment Research Council (NERC)(UK Research &amp; Innovation (UKRI)Natural Environment Research Council (NERC)); NERC(UK Research &amp; Innovation (UKRI)Natural Environment Research Council (NERC)); NERC(UK Research &amp; Innovation (UKRI)Natural Environment Research Council (NERC)); Natural Environment Research Council(UK Research &amp; Innovation (UKRI)Natural Environment Research Council (NERC))</t>
  </si>
  <si>
    <t>We thank Helen Peat at the AAS herbarium (British Antarctic Survey; BAS) for access to herbarium specimens; Dr. Jessica Royles for providing fresh samples, Instituto Antartico Chileno (INACH) for logistic support; and Laura Gerrish (BAS) for preparing Fig. 2. Thanks to James Fenton for the photographs shown in Fig. 1. This research was funded by a Natural Environment Research Council (NERC) Ph.D. studentship (ref. NE/K50094X/1) to E.M.B. and supported by NERC core funding to the BAS Biodiversity, Evolution and Adaptation Team. This study also contributes to the Scientific Committee on Antarctic Research 'State of the Antarctic Ecosystem' programme.</t>
  </si>
  <si>
    <t>10.1007/s00300-017-2221-1</t>
  </si>
  <si>
    <t>WOS:000428603800001</t>
  </si>
  <si>
    <t>Wu, FX; Zhang, ZW; Miao, X; Dai, YF; Wang, XY; Zhu, Q</t>
  </si>
  <si>
    <t>Wu, Fuxing; Zhang, Zhengwang; Miao, Xing; Dai, Yufei; Wang, Xianyan; Zhu, Qian</t>
  </si>
  <si>
    <t>Three cases of potential twinning in Weddell seals (Leptonychotes weddellii) at Fildes Peninsula, King George Island, Antarctica</t>
  </si>
  <si>
    <t>Adoption; Behavior; Fildes Peninsula; Fostering; Weddell seal; Twinning</t>
  </si>
  <si>
    <t>SOUTHERN ELEPHANT SEALS; HAWAIIAN MONK SEALS; ZEALAND FUR-SEAL; FOSTERING BEHAVIOR; MIROUNGA-LEONINA; PHOCA-VITULINA; GREY SEAL; HARASSMENT; PUP; AGGRESSION</t>
  </si>
  <si>
    <t>An isolated female with two pups in the field has occasionally been documented in pinnipeds; this phenomenon may represent twinning, fostering, or adoption. This study presents three cases of female Weddell seals (Leptonychotes weddellii) that attended two pups on Biyu Beach at Fildes Peninsula, King George Island, Antarctica where 16 mother-pup pairs were observed in total during the 2014 breeding season. Each pup in each case exhibited intense association with the female, despite being separated on occasions from the mother. In each case, both pups, at about 3 weeks of age, showed different growth development, which corresponded to the duration of nursing from their mothers; the bigger pup had more opportunity to suckle. Moreover, both pups in each case were female, were born in a low-density colony, and had strong attachment with their mother, showing similarities to other studies of confirmed twinning in pinnipeds. All individuals were in good condition when last seen, which could be due to the possible suitable rearing environment, e.g., low-density colony and flat beach topography.</t>
  </si>
  <si>
    <t>[Wu, Fuxing; Miao, Xing; Dai, Yufei; Wang, Xianyan] State Ocean Adm, Inst Oceanog 3, Lab Marine Biol &amp; Ecol, Daxue Rd 178, Xiamen 361005, Peoples R China; [Wu, Fuxing; Zhang, Zhengwang] Beijing Normal Univ, Coll Life Sci, Key Lab Biodivers Sci &amp; Ecol Engn, Minist Educ, Beijing 100875, Peoples R China; [Zhu, Qian] Shandong Univ Weihai, Ocean Coll, Wenhua West Rd 180, Weihai 264209, Peoples R China</t>
  </si>
  <si>
    <t>Third Institute of Oceanography, Ministry of Natural Resources; Beijing Normal University; Shandong University</t>
  </si>
  <si>
    <t>Wang, XY (corresponding author), State Ocean Adm, Inst Oceanog 3, Lab Marine Biol &amp; Ecol, Daxue Rd 178, Xiamen 361005, Peoples R China.;Zhu, Q (corresponding author), Shandong Univ Weihai, Ocean Coll, Wenhua West Rd 180, Weihai 264209, Peoples R China.</t>
  </si>
  <si>
    <t>wangxianyan@tio.org.cn; qianzhu@sdu.edu.c</t>
  </si>
  <si>
    <t>Scientific Research Foundation of the Third Institute of Oceanography, State Oceanic Administration of China [TIO2015036]; Chinese Polar Environment Comprehensive Investigation and Assessment Program [CHINARE2012-2015-04-03, CHINARE2012-2015-03-05]; State Oceanic Administration of China (SOA) [2011GW13ZS07019]</t>
  </si>
  <si>
    <t>Scientific Research Foundation of the Third Institute of Oceanography, State Oceanic Administration of China; Chinese Polar Environment Comprehensive Investigation and Assessment Program; State Oceanic Administration of China (SOA)</t>
  </si>
  <si>
    <t>The authors are grateful to the Chinese Arctic and Antarctic Administration of the State Oceanic Administration, and the Polar Research Institute of China for logistical support in the field. We also appreciate the members J. J. Cao, J. Xiong, and R. H. Wang of the 30th Chinese Antarctic scientific expedition for their generous help and assistance during field investigation, and the anonymous reviewers for their comments to improve this paper. This research was funded by the Scientific Research Foundation of the Third Institute of Oceanography, State Oceanic Administration of China (TIO2015036), Chinese Polar Environment Comprehensive Investigation and Assessment Program (CHINARE2012-2015-04-03, CHINARE2012-2015-03-05), and State Oceanic Administration of China (SOA, 2011GW13ZS07019).</t>
  </si>
  <si>
    <t>10.1007/s00300-017-2222-0</t>
  </si>
  <si>
    <t>WOS:000428603800002</t>
  </si>
  <si>
    <t>Steel, D; Anderson, M; Garrigue, C; Olavarría, C; Caballero, S; Childerhouse, S; Clapham, P; Constantine, R; Dawson, S; Donoghue, M; Flórez-González, L; Gibbs, N; Hauser, N; Oremus, M; Paton, D; Poole, MM; Robbins, J; Slooten, L; Thiele, D; Ward, J; Baker, CS</t>
  </si>
  <si>
    <t>Steel, D.; Anderson, M.; Garrigue, C.; Olavarria, C.; Caballero, S.; Childerhouse, S.; Clapham, P.; Constantine, R.; Dawson, S.; Donoghue, M.; Florez-Gonzalez, L.; Gibbs, N.; Hauser, N.; Oremus, M.; Paton, D.; Poole, M. M.; Robbins, J.; Slooten, L.; Thiele, D.; Ward, J.; Baker, C. S.</t>
  </si>
  <si>
    <t>Migratory interchange of humpback whales (Megaptera novaeangliae) among breeding grounds of Oceania and connections to Antarctic feeding areas based on genotype matching</t>
  </si>
  <si>
    <t>Humpback; Megaptera novaeangliae; Migration; Genotyping</t>
  </si>
  <si>
    <t>MICROSATELLITE LOCI; NATURAL-POPULATIONS; SOUTH-PACIFIC; DNA; PHOTOIDENTIFICATION; CONSEQUENCES; CONSERVATION; PHILOPATRY; MOVEMENTS; ATLANTIC</t>
  </si>
  <si>
    <t>Humpback whales (Megaptera novaeangliae) congregate to breed during the austral winter near tropical islands of the South Pacific (Oceania). It has long been assumed that humpback whales from Oceania migrate primarily to Antarctic feeding grounds directly south (International Whaling Commission Management Areas V and VI); however, there are few records of individual movement connecting these seasonal habitats. Based on genetic samples of living whales collected over nearly two decades, we demonstrate interchange between the breeding grounds of Oceania and Antarctic feeding Areas V, VI, and I (i.e., from 130A degrees E to 60A degrees W), as well as with the eastern Pacific (Colombia), and the migratory corridors of eastern Australia and New Zealand. We first compared genotype profiles (up to 16 microsatellite loci) of samples collected from Oceania breeding grounds to each other and to those from the eastern Pacific. The matching profiles documented 47 individuals that were present on more than one breeding ground, including the first record of movement between Oceania and Colombia. We then compared the 1179 genotypes from the breeding grounds to 777 from the migratory corridors of east Australia and New Zealand, confirming the connection of these corridors with New Caledonia. Finally, we compared genotypes from breeding grounds to 166 individuals from Antarctic feeding Areas I-VI. This comparison of genotypes revealed five matches: one between New Caledonia and Area V, one between Tonga and Area VI, two between Tonga and Area I (western edge), and one between Colombia and Area I (Antarctic Peninsula). Despite the relatively small number of samples from the Antarctic, our comparison has doubled the number of recorded connections with Oceania available from previous studies during the era of commercial whaling.</t>
  </si>
  <si>
    <t>[Steel, D.; Baker, C. S.] Oregon State Univ, Marine Mammal Inst, Newport, OR 97365 USA; [Steel, D.; Baker, C. S.] Oregon State Univ, Dept Fisheries &amp; Wildlife, Newport, OR 97365 USA; [Garrigue, C.] Operat Cetaces, BP 12827, Noumea 98802, New Caledonia; [Garrigue, C.] IRD UMR ENTROPIE, BP A5, Noumea 98845, New Caledonia; [Olavarria, C.] CEAZA, Raul Bitran 1305, La Serena, Chile; [Caballero, S.] Univ Los Andes, Dept Biol Sci, LEMVA, Carrera 1 18A-10, Bogota, Colombia; [Childerhouse, S.; Paton, D.] Blue Planet Marine, Jamison Ctr, POB 919, Kingston, ACT 2614, Australia; [Clapham, P.] AFSC Marine Mammal Lab, 7600 Sand Point Way NE,Bldg 4, Seattle, WA 98115 USA; [Constantine, R.; Baker, C. S.] Univ Auckland, Sch Biol Sci, Private Bag 92019, Auckland, New Zealand; [Dawson, S.; Slooten, L.] Univ Otago, POB 56, Dunedin, New Zealand; [Donoghue, M.; Ward, J.] SPREP, POB 240, Apia, Samoa; [Florez-Gonzalez, L.] Fdn Yubarta, Carrera 24F Oeste 3-110, Cali, Colombia; [Gibbs, N.] Cook Strait Whale Survey, POB 23039, Wellington 6140, New Zealand; [Hauser, N.] Cook Isl Whale Res, POB 3069, Avarua, Rarotonga, Cook Islands; [Oremus, M.] WWF France, Parc Forestier Marc Corbasson,BP 692, Noumea 98845, New Caledonia; [Poole, M. M.] Marine Mammal Res Program, BP 698, F-98728 Moorea, French Polynesi, France; [Robbins, J.] Ctr Coastal Studies, 5 Holway Ave, Provincetown, MA 02657 USA; [Thiele, D.] Marequus, 7 East Rd, Capel, WA, Australia; [Steel, D.; Anderson, M.; Garrigue, C.; Olavarria, C.; Caballero, S.; Childerhouse, S.; Clapham, P.; Constantine, R.; Donoghue, M.; Florez-Gonzalez, L.; Gibbs, N.; Hauser, N.; Oremus, M.; Paton, D.; Poole, M. M.; Robbins, J.; Ward, J.; Baker, C. S.] South Pacific Whale Res Consortium, POB 3069, Avarua, Rarotonga, Cook Islands</t>
  </si>
  <si>
    <t>Oregon State University; Oregon State University; Universidad de los Andes (Colombia); University of Auckland; University of Otago; University of the South Pacific</t>
  </si>
  <si>
    <t>Baker, CS (corresponding author), Oregon State Univ, Marine Mammal Inst, Newport, OR 97365 USA.;Baker, CS (corresponding author), Oregon State Univ, Dept Fisheries &amp; Wildlife, Newport, OR 97365 USA.;Baker, CS (corresponding author), Univ Auckland, Sch Biol Sci, Private Bag 92019, Auckland, New Zealand.;Baker, CS (corresponding author), South Pacific Whale Res Consortium, POB 3069, Avarua, Rarotonga, Cook Islands.</t>
  </si>
  <si>
    <t>scott.baker@oregonstate.edu</t>
  </si>
  <si>
    <t>; garrigue, claire/I-4704-2016</t>
  </si>
  <si>
    <t>Robbins, Jooke/0000-0002-6382-722X; garrigue, claire/0000-0002-8117-3370</t>
  </si>
  <si>
    <t>International Fund for Animal Welfare (IFAW); Regional Natural Heritage Program, Department of Environment and Heritage, Government of Australia; Endowment of the Marine Mammal Institute, Oregon State University</t>
  </si>
  <si>
    <t>This survey was made possible through the generous collaboration of members and affiliates of the South Pacific Whale Research Consortium (SPWRC), with support of the International Fund for Animal Welfare (IFAW). Fieldwork in American Samoa was conducted with help from David Mattila, Alden Tagarino, the Department of Marine and Wildlife Resources, and the U.S. National Marine Sanctuary Program. We acknowledge the Universidad de los Andes, proyecto semilla, Facultad de Ciencias. Funding for laboratory analysis was provided by the Regional Natural Heritage Program, Department of Environment and Heritage, Government of Australia and the Endowment of the Marine Mammal Institute, Oregon State University. All biopsy samples were collected with appropriate permits using protocols similar to those approved by the Animal Ethics Committee of the University of Auckland and the Institutional Animal Care and Use Committee of Oregon State University. We thank the International Whaling Commission for permission to use samples collected by Paul Ensor and Hidehiro Kato under the IDCR/SOWER program and the Southwest Fisheries Science Center (NMFS) for archiving the samples. Samples from the Antarctic Peninsula were made available courtesy of Instituto Antartico Chileno (INACH). We thank the Associate Editor and three anonymous reviewers for constructive comments.</t>
  </si>
  <si>
    <t>10.1007/s00300-017-2226-9</t>
  </si>
  <si>
    <t>WOS:000428603800006</t>
  </si>
  <si>
    <t>Spinelli, ML; Franzosi, C; Salinas, HO; Capitanio, FL; Alder, VA</t>
  </si>
  <si>
    <t>Spinelli, Mariela L.; Franzosi, Claudio; Olguin Salinas, Hector; Capitanio, Fabiana L.; Alder, Viviana A.</t>
  </si>
  <si>
    <t>Appendicularians and copepods from Scotia Bay (Laurie island, South Orkney, Antarctica): fluctuations in community structure and diversity in two contrasting, consecutive summers</t>
  </si>
  <si>
    <t>Mesozooplankton; Oithona similis; Fritillaria borealis; Biomass; Community structure; Feeding rates</t>
  </si>
  <si>
    <t>EASTERN WEDDELL SEA; OITHONA-SIMILIS; SIGNY ISLAND; FRITILLARIA-BOREALIS; OIKOPLEURA-DIOICA; SEASONAL CYCLE; CLIMATE-CHANGE; TIME-SERIES; ZOOPLANKTON; ICE</t>
  </si>
  <si>
    <t>Coastal Antarctic waters involve habitats of high primary and secondary production with a remarkable sensitivity to environmental changes on different spatio-temporal scales. The current study is the first comprehensive approach to the spatial distribution and the fluctuations in abundance, biomass, community structure, and diversity of the mesozooplankton from different habitats located in Scotia Bay in summers: 2014 and 2015, characterized by a different timing in seasonal sea ice retreat. Mean seawater temperature and abundances of calanoids, cyclopoids, nauplii, and appendicularians were one order of magnitude higher in summer 2014. Despite these environmental differences, biomass values of these groups proved similar for both summers. A total of ten species of copepods and one of appendicularians (Fritillaria borealis) were identified. Oithonid copepods-O. similis, followed by O. frigida-represented the bulk of mesozooplankton abundances in both summers. The highest total mesozooplankton abundance (2111 ind m(-3)) and biomass (14075 A mu g C m(-3)) were found next to an Ad,lie penguin breeding area (2014), while the highest Shannon index values were found next to a glacier in both summers. Multivariate analyses based on species abundance showed two main groups of sites, one of them encompassing all summer 2014 samplings and the other comprising all summer 2015 samplings. The positive correlation between O. similis and the 2-10 mu m Chl-a fraction suggests that summer 2014 represented optimal conditions-in terms of food-for the growth and development of this species. Experimental studies based on natural prey assemblages revealed that O. similis feeds on flagellates rather than on diatoms.</t>
  </si>
  <si>
    <t>[Spinelli, Mariela L.; Capitanio, Fabiana L.] Univ Buenos Aires, CONICET, IBBEA, Intendente Guiraldes 2160 Ciudad Univ,C1428EGA, Buenos Aires, DF, Argentina; [Spinelli, Mariela L.; Capitanio, Fabiana L.] Fac Ciencias Exactas &amp; Nat Buenos Aires, Lab Zoplancton Marino, Dept Biodiversidad &amp; Biol Expt, Intendente Guiraldes 2160 Ciudad Univ,C1428EGA, Buenos Aires, DF, Argentina; [Franzosi, Claudio; Alder, Viviana A.] Inst Antartico Argentino, Direcc Nacl Antartico, 25 Mayo 1143, Buenos Aires, DF, Argentina; [Olguin Salinas, Hector; Alder, Viviana A.] Univ Buenos Aires, Fac Ciencias Exactas &amp; Nat, Dept Ecol Genet &amp; Evoluc, Intendente Guiraldes 2160,Ciudad Univ,C1428EGA, Buenos Aires, DF, Argentina; [Olguin Salinas, Hector; Alder, Viviana A.] Univ Buenos Aires, CONICET, IEGEBA, Intendente Guiraldes 2160 Ciudad Univ,C1428EGA, Buenos Aires, DF, Argentina</t>
  </si>
  <si>
    <t>University of Buenos Aires; Consejo Nacional de Investigaciones Cientificas y Tecnicas (CONICET); Instituto Antartico Argentino; University of Buenos Aires; Consejo Nacional de Investigaciones Cientificas y Tecnicas (CONICET); University of Buenos Aires</t>
  </si>
  <si>
    <t>Spinelli, ML (corresponding author), Univ Buenos Aires, CONICET, IBBEA, Intendente Guiraldes 2160 Ciudad Univ,C1428EGA, Buenos Aires, DF, Argentina.;Spinelli, ML (corresponding author), Fac Ciencias Exactas &amp; Nat Buenos Aires, Lab Zoplancton Marino, Dept Biodiversidad &amp; Biol Expt, Intendente Guiraldes 2160 Ciudad Univ,C1428EGA, Buenos Aires, DF, Argentina.</t>
  </si>
  <si>
    <t>marielaspinelli@bg.fcen.uba.ar</t>
  </si>
  <si>
    <t>Alder, Viviana A./0000-0002-7375-3279</t>
  </si>
  <si>
    <t>CONICET, Argentina; FONCYT [PICT-O 2010-0128]; Instituto Antartico Argentino [PICT-O 2010-0128]</t>
  </si>
  <si>
    <t>CONICET, Argentina(Consejo Nacional de Investigaciones Cientificas y Tecnicas (CONICET)); FONCYT(FONCyT); Instituto Antartico Argentino</t>
  </si>
  <si>
    <t>We thank M. Yaya, I. Hoermann, S. Gorini, and J. Zocatelli (Direccion Nacional del Antartico) for their assistance during sampling. Thanks are due also to the Instituto Antartico Argentino and Direccion Nacional del Antartico for providing logistic support, to the Orcadas Base personnel for their cooperation, and to the reviewers for helping to improve the manuscript. This study was supported by a fellowship granted to M.S. by CONICET, Argentina, and by funds assigned to V.A.'s project PICT-O 2010-0128 (FONCYT and Instituto Antartico Argentino).</t>
  </si>
  <si>
    <t>10.1007/s00300-017-2227-8</t>
  </si>
  <si>
    <t>WOS:000428603800007</t>
  </si>
  <si>
    <t>Moreno, CM; Lin, YJ; Davies, S; Monbureau, E; Cassar, N; Marchetti, A</t>
  </si>
  <si>
    <t>Moreno, Carly M.; Lin, Yajuan; Davies, Sarah; Monbureau, Elaine; Cassar, Nicolas; Marchetti, Adrian</t>
  </si>
  <si>
    <t>Examination of gene repertoires and physiological responses to iron and light limitation in Southern Ocean diatoms</t>
  </si>
  <si>
    <t>Southern Ocean diatoms; Molecular physiology; Iron limitation; Light limitation; Transcriptomics</t>
  </si>
  <si>
    <t>HALF-SATURATION CONSTANTS; RNA-SEQ DATA; PHAEOCYSTIS-ANTARCTICA; FRAGILARIOPSIS-CYLINDRUS; MARINE-PHYTOPLANKTON; COMMUNITY STRUCTURE; ELECTRON-TRANSPORT; CHAETOCEROS-BREVIS; PSEUDO-NITZSCHIA; COASTAL</t>
  </si>
  <si>
    <t>Diatoms play a fundamental role at the base of the polar marine food web. In the Southern Ocean, low iron concentrations and light levels control diatom abundance and distribution. Diatoms must therefore employ strategies that allow them to cope when iron and/or light availability is growth limiting. Through a combination of physiological and molecular-based approaches, we have investigated the physiological response to variable iron concentrations and light levels along with the expressed gene repertoires of nine newly isolated diatoms from the Western Antarctic Peninsula (WAP) region of the Southern Ocean. The diatoms ranged across five orders of magnitude in biovolume and displayed various degrees of susceptibility to low iron and light availability. Under the performed laboratory culture conditions, the growth rates of most diatoms decreased more due to low light level rather than low iron concentrations. Additionally, most diatoms were not subject to further reductions in growth rates when grown under combined low-light and iron-limiting conditions, indicating they are less likely to be co-limited by an additive effect. By sequencing the transcriptomes of these diatoms, we identified genes that likely facilitate their growth under variable iron and light conditions commonly present in the Southern Ocean. Specifically, we investigated the presence of 20 key genes involved in iron acquisition and homeostasis, iron usage in photosynthesis and nitrogen assimilation, and protection from reactive oxygen species. When comparing gene repertoires of recently sequenced transcriptomes of diatoms isolated from around the globe, the prevalence of certain genes exhibited biogeographical patterns that clearly distinguish Southern Ocean diatoms from those isolated from other regions.</t>
  </si>
  <si>
    <t>[Moreno, Carly M.; Davies, Sarah; Monbureau, Elaine; Marchetti, Adrian] Univ N Carolina, Dept Marine Sci, Campus Box 3300, Chapel Hill, NC 27599 USA; [Lin, Yajuan; Cassar, Nicolas] Duke Univ, Nicholas Sch Environm, Div Earth &amp; Ocean Sci, Durham, NC 27708 USA</t>
  </si>
  <si>
    <t>University of North Carolina; University of North Carolina Chapel Hill; Duke University</t>
  </si>
  <si>
    <t>Marchetti, A (corresponding author), Univ N Carolina, Dept Marine Sci, Campus Box 3300, Chapel Hill, NC 27599 USA.</t>
  </si>
  <si>
    <t>amarchetti@unc.edu</t>
  </si>
  <si>
    <t>Cassar, Nicolas/B-4260-2011; Davies, Sarah/ITT-3963-2023</t>
  </si>
  <si>
    <t>Marchetti, Adrian/0000-0003-4608-4775; Moreno, Carly/0000-0002-3046-1014; Lin, Yajuan/0000-0002-9057-9321</t>
  </si>
  <si>
    <t>National Science Foundation [PLR1341479]; NSF [OPP1043339]; Gordon and Betty Moore Foundation [2637]; Gates Millennium Fellowship</t>
  </si>
  <si>
    <t>National Science Foundation(National Science Foundation (NSF)); NSF(National Science Foundation (NSF)); Gordon and Betty Moore Foundation(Gordon and Betty Moore Foundation); Gates Millennium Fellowship</t>
  </si>
  <si>
    <t>This study was funded by the National Science Foundation Grant PLR1341479 awarded to AM, and NSF Grant OPP1043339 to NC. MMETSP was funded in part by the Gordon and Betty Moore Foundation through Grant 2637 to the National Center for Genome Resources. CMM was primarily supported by a Gates Millennium Fellowship. We thank S. Nelson and J. Benjamin for assistance with diatom culturing, M. Kanke and J. Kim for scripting assistance, and B. MacGregor and W. Sunda for helpful comments on the manuscript.</t>
  </si>
  <si>
    <t>10.1007/s00300-017-2228-7</t>
  </si>
  <si>
    <t>WOS:000428603800008</t>
  </si>
  <si>
    <t>Chertoprud, E; Abramova, E; Korsun, S; Martynov, F; Garlitska, L</t>
  </si>
  <si>
    <t>Chertoprud, E.; Abramova, E.; Korsun, S.; Martynov, F.; Garlitska, L.</t>
  </si>
  <si>
    <t>Composition of Harpacticoida (Crustacea, Copepoda) of the Laptev Sea in comparison with faunas of adjacent Arctic seas</t>
  </si>
  <si>
    <t>Laptev Sea; Harpacticoida; Species richness; Life forms; Ranges; Biogeography</t>
  </si>
  <si>
    <t>SCALE PATTERNS; BOTTOM FAUNA; DEEP-SEA; DIVERSITY; GULF; SARS; ECTINOSOMATIDAE; POPULATIONS; TAXOCENES; SEDIMENTS</t>
  </si>
  <si>
    <t>The invertebrate fauna of the Laptev Sea is one of the least investigated in the Arctic. In particular, little is known about the Harpacticoida (Copepoda, Crustacea)-one of the main components of marine meiofauna. Major objectives of our study were (1) to describe harpacticoid composition obtained from three sublittoral stations, (2) to compile the check-list of the Laptev Sea harpacticoids, and (3) to perform a comparative analysis of the Laptev Sea harpacticoid fauna with faunas of other Arctic seas. Of 38 species found in our material, 25 are new for the sea, and four species are likely new to science. A total list for the Laptev Sea includes 76 species from 18 families. Interstitial and phytal forms are poorly represented, due to the rarity of suitable biotopes and/or undersampling. The majority of the provisional endemics were found in the bathyal and abyssal zones of the sea, while widely distributed species, except for the plankton, belong to the fauna of the soft sediments of the littoral zone. Comparative analysis of harpacticoids from the Arctic region (the Laptev, White, Barents, Kara, East Siberian and Beaufort Seas and the Greenland area) shows the considerable distinction between the Eastern (Siberian) and Western sub-regions. Further investigations are necessary to reveal a more detailed pattern in Harpacticoida distribution and to evaluate possible vectors of dispersal and biogeographic relationships in the high Arctic.</t>
  </si>
  <si>
    <t>[Chertoprud, E.] Moscow MV Lomonosov State Univ, Fac Biol, Moscow 119991, Russia; [Chertoprud, E.] AN Severtsov Inst Ecol &amp; Evolut, Lab Synecol, Leninsky Prospekt 33, Moscow 119071, Russia; [Abramova, E.] Lena Delta Nat Reserve, Ak Fedorova 28, Tiksi 678400, Sakha Republic, Russia; [Korsun, S.] St Petersburg State Univ, Fac Biol, Univ Skaya Nab 7-9, St Petersburg 199034, Russia; [Korsun, S.; Garlitska, L.] Shirshov Inst Oceanol, Nakhimovsky Prospect 36, Moscow 117997, Russia; [Martynov, F.] Otto Schmidt Labor Polar &amp; Marine Sci, Arctic &amp; Antarctic Res Inst, 38 Beringa Str, St Petersburg 199397, Russia</t>
  </si>
  <si>
    <t>Lomonosov Moscow State University; Russian Academy of Sciences; Saratov Scientific Center of the Russian Academy of Sciences; Severtsov Institute of Ecology &amp; Evolution; Saint Petersburg State University; Russian Academy of Sciences; Shirshov Institute of Oceanology; Arctic &amp; Antarctic Research Institute</t>
  </si>
  <si>
    <t>Abramova, E (corresponding author), Lena Delta Nat Reserve, Ak Fedorova 28, Tiksi 678400, Sakha Republic, Russia.</t>
  </si>
  <si>
    <t>abramova-katya@mail.ru</t>
  </si>
  <si>
    <t>Korsun, Sergei/I-4613-2013; Garlitska, Lesya/AAD-3308-2019</t>
  </si>
  <si>
    <t>Garlitska, Lesya/0000-0002-1317-729X</t>
  </si>
  <si>
    <t>BMBF-Project Laptev Sea System [03G0833]; program Scientific bases for the creation of a national depository bank of living systems of the RSF [14-50-00029]; RFBR [17-04-00337-a, 17-04-0027-a, 15-04-02245-a]</t>
  </si>
  <si>
    <t>BMBF-Project Laptev Sea System; program Scientific bases for the creation of a national depository bank of living systems of the RSF; RFBR(Russian Foundation for Basic Research (RFBR))</t>
  </si>
  <si>
    <t>The Transdrift-XXII expedition in the Laptev Sea and the sampling and analysis of the main factors on stations were supported by the BMBF-Project Laptev Sea System (03G0833). The study of the taxonomy of the Harpacticoida was supported by the program Scientific bases for the creation of a national depository bank of living systems of the RSF (No 14-50-00029). The study of the ecology and biogeography of the Harpacticoida and statistical analysis were supported by the RFBR Grant (17-04-00337-a). The study of harpacticoids species in the area around the Lena River Delta were supported by the RFBR Grant (17-04-0027-a). Drafting of the Arctic crustaceans database was supported by the RFBR Grant (15-04-02245-a). The authors are very grateful to three unknown reviewers for their complete and helpful reviews.</t>
  </si>
  <si>
    <t>10.1007/s00300-017-2229-6</t>
  </si>
  <si>
    <t>WOS:000428603800009</t>
  </si>
  <si>
    <t>Enríquez, N; Tejedo, P; Benayas, J; Albertos, B; Luciáñez, MJ</t>
  </si>
  <si>
    <t>Enriquez, Natalia; Tejedo, Pablo; Benayas, Javier; Albertos, Belen; Jose Lucianez, Maria</t>
  </si>
  <si>
    <t>Collembola of Barrientos Island, Antarctica: first census and assessment of environmental factors determining springtail distribution</t>
  </si>
  <si>
    <t>Aitcho Islands; Non-indigenous species; Hypogastruridae; Basic collembolan species set; Inter-annual resampling</t>
  </si>
  <si>
    <t>SOIL MICROBIAL BIOMASS; BIOLOGICAL INVASIONS; FOREST; FAUNA; SIZE; MICROARTHROPOD; COMMUNITIES; RECOVERY</t>
  </si>
  <si>
    <t>Barrientos Island is a small islet in the South Shetland archipelago frequently visited by Antarctic tourists. Collembola were recently used in another study developed in this site to assess the environmental conditions of two paths used by visitors, showing the importance of this soil faunal community. This motivated the realization of the first comprehensive census of Collembola from Barrientos Island. Fifty-six samples were recorded over three seasons, 2011-2013, from eight different substrate types. During the last campaign, 39 soil samples were also taken to analyze different physical, chemical, biological, microbiological, and biochemical variables in order to put into relation all these environmental conditions with abundance and richness of Collembola species. A total of ten species were recorded, all of them previously cited from Antarctica. The native species Cryptopygus antarcticus antarcticus Willem (Collembola: Isotomidae) is the most abundant in the island. Two cosmopolitan species-Hypogastrura viatica (Tullberg) (Hypogastruridae) and Mesaphorura macrochaeta Rusek (Tullbergiidae)-were also identified. Many of the species on this island can be considered as eurytopic, appearing in most of the analyzed substrate types. Collembola distribution was found to be influenced by elevation and, to a lesser extent, by phosphorous content and slope. Other variables that are usually cited in the specialized literature did not significantly influence the Collembola distribution in this island. Our results show that the distribution and abundance of Collembola in Antarctic locations is not directly dependent on a single factor. The environmental characteristics of each studied site will determine what factors are driving the composition and structure of this soil community.</t>
  </si>
  <si>
    <t>[Enriquez, Natalia; Jose Lucianez, Maria] Univ Autonoma Madrid, Dept Biol, C Darwin 2, E-28049 Madrid, Spain; [Tejedo, Pablo; Benayas, Javier] Univ Autonoma Madrid, Dept Ecol, C Darwin 2, E-28049 Madrid, Spain; [Albertos, Belen] Univ Valencia, Dept Bot &amp; Geol, Avda Vicente Andres Estelles S-N, E-46100 Burjassot, Spain</t>
  </si>
  <si>
    <t>Autonomous University of Madrid; Autonomous University of Madrid; University of Valencia</t>
  </si>
  <si>
    <t>Enríquez, N (corresponding author), Univ Autonoma Madrid, Dept Biol, C Darwin 2, E-28049 Madrid, Spain.</t>
  </si>
  <si>
    <t>natalia.enriquez.miranda@gmail.com; pablo.tejedo@uam.es; javier.benayas@uam.es; belen.albertos@uv.es; mjose.luciannez@uam.es</t>
  </si>
  <si>
    <t>Albertos, Belén/ABF-9780-2020; Albertos, Belén/JCO-4227-2023; Benayas Del Alamo, Fco. Javier/E-5663-2017; Tejedo, Pablo/A-7163-2010</t>
  </si>
  <si>
    <t>Benayas Del Alamo, Fco. Javier/0000-0002-5906-9569; Tejedo, Pablo/0000-0002-1865-0445; Lucianez Sanchez, Maria Jose/0000-0001-5679-0951; Albertos, Belen/0000-0002-2116-5600</t>
  </si>
  <si>
    <t>Spanish Government [CTM2009-06604-E, CTM2013-47381-P]; Ecuadorian Government</t>
  </si>
  <si>
    <t>Spanish Government(Spanish Government); Ecuadorian Government</t>
  </si>
  <si>
    <t>Logistical support for this work was provided by the Ecuadorian and the Spanish National Antarctic Programs, and the Spanish Navy. Fieldwork and analysis for this paper were developed under three projects: EVA-ANTARCTICA (CTM2009-06604-E) and ALIENANT (CTM2013-47381-P), which were supported by the Spanish Government, and Proposal for Tourism Management of Barrientos Island and Surroundings (2011-2013), funded by the Ecuadorian Government. The authors would like to thank Jose Olmedo Moran, Executive Director of the Ecuadorian National Antarctic Program, for his advice and support for this work; Daniela Cajiao for her help in the fieldwork during the 2012 and 2013 campaigns; Dr. Luis R. Pertierra for his collaboration in the 2012 campaign; Laura Munoz for her help in the identification of mosses; Dr. Manuela Andres-Abellan and Consuelo Wic for the analysis of soil samples in the laboratories of the Universidad de Castilla-La Mancha; and Dr. Tina Tin for her constructive and helpful comments during the editing process. We also would like to thank the anonymous reviewers and the Editor for their helpful comments, which have improved this work.</t>
  </si>
  <si>
    <t>10.1007/s00300-017-2230-0</t>
  </si>
  <si>
    <t>WOS:000428603800010</t>
  </si>
  <si>
    <t>La Mesa, M; Calì, F; Donato, F; Riginella, E; Mazzoldi, C</t>
  </si>
  <si>
    <t>La Mesa, Mario; Cali, Federico; Donato, Fortunata; Riginella, Emilio; Mazzoldi, Carlotta</t>
  </si>
  <si>
    <t>Aspects of the biology of the Antarctic dragonfish Gerlachea australis (Notothenioidei: Bathydraconidae) in the Weddell Sea, Antarctica</t>
  </si>
  <si>
    <t>Bathydraconids; Age and growth; Reproductive biology; Weddell Sea</t>
  </si>
  <si>
    <t>AGE-DETERMINATION; FISH FAUNA; GROWTH; REPRODUCTION; PRECISION</t>
  </si>
  <si>
    <t>The Antarctic dragonfish Gerlachea australis is one of the most common bathydraconid species within the fish community of the Filchner Depression in the Weddell Sea. Nevertheless, several biological aspects of this species remain poorly known. The aim of this study was to provide new data on its population structure in terms of size, sex and age through sagittal otolith readings, as well as some reproductive traits based on macroscopic and histological analyses of gonads. The sex ratio in the sampled population was 1:1, with males being significantly smaller than females. Both sexes attained maximum age estimates of 14 years. Based on a von Bertalanffy growth model, females showed a higher asymptotic length than males at a comparable growth rate, thus reaching a higher growth performance. The spawning season was spread over a relatively long period, lasting at least from late December through late February. The reproductive effort in terms of fecundity and egg size diameter was similar to that of other bathydraconids, ranging from 739 to 1260 eggs/female and 3.2 mm after hydration, respectively. The fish size at first spawning (TL50) was 18.5 and 22.5 cm in males and females, corresponding to 80% of their maximum size. G. australis exhibited a combination of life history traits found in other high-Antarctic notothenioids, such as long gametogenesis, large eggs associated with low fecundity, relatively rapid body growth until reaching a delayed sexual maturity, moderate longevity and maximum size, and overall low growth performance.</t>
  </si>
  <si>
    <t>[La Mesa, Mario; Donato, Fortunata] CNR, Inst Marine Sci, UOS Ancona, Largo Fiera della Pesca 1, I-60125 Ancona, Italy; [Cali, Federico; Riginella, Emilio; Mazzoldi, Carlotta] Univ Padua, Dept Biol, Via U Bassi 58-B, I-35131 Padua, Italy</t>
  </si>
  <si>
    <t>Consiglio Nazionale delle Ricerche (CNR); Istituto di Scienze Marine (ISMAR-CNR); University of Padua</t>
  </si>
  <si>
    <t>La Mesa, M (corresponding author), CNR, Inst Marine Sci, UOS Ancona, Largo Fiera della Pesca 1, I-60125 Ancona, Italy.</t>
  </si>
  <si>
    <t>m.lamesa@ismar.cnr.it</t>
  </si>
  <si>
    <t>Mazzoldi, Carlotta/AAU-8628-2020; Riginella, Emilio/Q-2987-2019</t>
  </si>
  <si>
    <t>Riginella, Emilio/0000-0002-1442-8310; CALI', FEDERICO/0000-0001-6970-2607; Donato, Fortunata/0009-0000-4836-8216; MAZZOLDI, CARLOTTA/0000-0002-2798-3030</t>
  </si>
  <si>
    <t>[2013/C1.07]</t>
  </si>
  <si>
    <t>Funding was provided by Progetto di Ricerca 2013/C1.07.</t>
  </si>
  <si>
    <t>10.1007/s00300-017-2240-y</t>
  </si>
  <si>
    <t>WOS:000428603800018</t>
  </si>
  <si>
    <t>Northcott, K; Bartlett, S; Sheehan, D; Snape, I; Scales, P; Gray, S</t>
  </si>
  <si>
    <t>Northcott, K.; Bartlett, S.; Sheehan, D.; Snape, I.; Scales, P.; Gray, S.</t>
  </si>
  <si>
    <t>Water quality risk management strategies for remote operations</t>
  </si>
  <si>
    <t>WATER SCIENCE AND TECHNOLOGY-WATER SUPPLY</t>
  </si>
  <si>
    <t>remote operations; risk management; small community; water recycle</t>
  </si>
  <si>
    <t>The delivery of treatment and supply solutions for the management of water infrastructure for small and remote communities presents unique challenges. The identification of water quality hazards, the management of risks and conducting plant performance validation and verification activities can all be problematic. The 'Demonstration of Robust Water Recycling' (Robust Recycling) Project was funded by the Australian Water Recycling Centre of Excellence (AWRCoE) and the Australian Antarctic Division (AAD) as a means of developing strategies for the provision of small scale water treatment schemes from non-traditional water sources. Using the example of the AAD's Davis Station, this project featured an alternative approach to the establishment of a risk management framework for water recycling. This approach may be applicable to both drinking and recycled water schemes in other small and remote communities.</t>
  </si>
  <si>
    <t>[Northcott, K.] Veolia Australia New Zealand, POB 1089, Kangaroo Flat, Vic 3555, Australia; [Bartlett, S.] WaterQPlus, POB 77, Maiden Gully, Vic 3551, Australia; [Sheehan, D.] Coliban Water, 37-45 Bridge St, Bendigo, Vic 3550, Australia; [Snape, I.] Australian Antarctic Div, Dept Environm &amp; Energy, 203 Channel Hwy, Kingston, Tas 7050, Australia; [Scales, P.] Univ Melbourne, Particulate Fluids Proc Ctr, Parkville, Vic 3010, Australia; [Gray, S.] Victoria Univ, Inst Sustainabil &amp; Innovat, Werribee Campus,Hoppers Lane, Werribee, Vic 3030, Australia</t>
  </si>
  <si>
    <t>Veolia; Veolia Australia; Australian Antarctic Division; University of Melbourne; Victoria University</t>
  </si>
  <si>
    <t>Northcott, K (corresponding author), Veolia Australia New Zealand, POB 1089, Kangaroo Flat, Vic 3555, Australia.</t>
  </si>
  <si>
    <t>kathy.northcott@veolia.com</t>
  </si>
  <si>
    <t>Scales, Peter j/I-8103-2013; Gray, Stephen/L-9684-2013</t>
  </si>
  <si>
    <t>Scales, Peter j/0000-0002-8033-3686; Gray, Stephen/0000-0002-8748-2748</t>
  </si>
  <si>
    <t>IWA PUBLISHING</t>
  </si>
  <si>
    <t>ALLIANCE HOUSE, 12 CAXTON ST, LONDON SW1H0QS, ENGLAND</t>
  </si>
  <si>
    <t>1606-9749</t>
  </si>
  <si>
    <t>WATER SCI TECH-W SUP</t>
  </si>
  <si>
    <t>Water Sci. Technol.-Water Supply</t>
  </si>
  <si>
    <t>10.2166/ws.2017.130</t>
  </si>
  <si>
    <t>Engineering, Environmental; Environmental Sciences; Water Resources</t>
  </si>
  <si>
    <t>Engineering; Environmental Sciences &amp; Ecology; Water Resources</t>
  </si>
  <si>
    <t>GA6EX</t>
  </si>
  <si>
    <t>WOS:000428426900012</t>
  </si>
  <si>
    <t>Liu, N; Fu, JN; Zong, W; Wang, LZ; Uddin, SA; Zhang, XB; Zhang, YP; Cang, TQ; Li, G; Yang, Y; Yang, GC; Mould, J; Morrell, N</t>
  </si>
  <si>
    <t>Liu, N.; Fu, J. N.; Zong, W.; Wang, L. Z.; Uddin, S. A.; Zhang, X. B.; Zhang, Y. P.; Cang, T. Q.; Li, G.; Yang, Y.; Yang, G. C.; Mould, J.; Morrell, N.</t>
  </si>
  <si>
    <t>Photometric Solutions of Three Eclipsing Binary Stars Observed from Dome A, Antarctica</t>
  </si>
  <si>
    <t>ASTRONOMICAL JOURNAL</t>
  </si>
  <si>
    <t>binaries: eclipsing; stars: individual (CSTAR 036162, CSTAR 055495, CSTAR 057775)</t>
  </si>
  <si>
    <t>LIMB-DARKENING COEFFICIENTS; SKY AUTOMATED SURVEY; VARIABLE-STARS; DATA REDUCTION; CONTACT; CATALOG; EVOLUTION; LIGHT; QUARTER; SYSTEMS</t>
  </si>
  <si>
    <t>Based on spectroscopic observations for the eclipsing binaries CSTAR 036162 and CSTAR 055495 with the WiFeS/2.3 m telescope at SSO and CSTAR 057775 with the Mage/Magellan I at LCO in 2017, stellar parameters are derived. More than 100 nights of almost-continuous light curves reduced from the time-series photometric observations by CSTAR at Dome A of Antarctic in i in 2008 and in g and r in 2009, respectively, are applied to find photometric solutions for the three binaries with the Wilson-Devinney code. The results show that CSTAR 036162 is a detached configuration with the mass ratio q = 0.354 +/- 0.0009, while CSTAR 055495 is a semi-detached binary system with the unusual q = 0.946 +/- 0.0006, which indicates that CSTAR 055495 may be a rare binary system with mass ratio close to one and the secondary component filling its Roche Lobe. This implies that a mass-ratio reversal has just occurred and CSTAR 055495 is in a rapid mass-transfer stage. Finally, CSTAR 057775 is believed to be an A-type W UMa binary with q = 0.301 +/- 0.0008 and a fill-out factor of f = 0.742(8).</t>
  </si>
  <si>
    <t>[Liu, N.; Fu, J. N.; Zong, W.; Zhang, Y. P.; Cang, T. Q.; Li, G.; Yang, Y.] Beijing Normal Univ, Dept Astron, 19 Xinjiekouwai St, Beijing 100875, Peoples R China; [Wang, L. Z.] Chinese Acad Sci, Natl Astron Observ, Beijing 100012, Peoples R China; [Wang, L. Z.] Chinese Acad Sci, South Amer Ctr Astron, Camino EE Observ 1515, Santiago, Chile; [Uddin, S. A.] Chinese Acad Sci, Purple Mt Observ, Nanjing 210008, Jiangsu, Peoples R China; [Zhang, X. B.] Chinese Acad Sci, Natl Astron Observ, 20A Datun Rd, Beijing 100012, Peoples R China; [Yang, G. C.] Hebei Univ Sci &amp; Technol, Sch Sci, Shijiazhuang 050018, Hebei, Peoples R China; [Mould, J.] Swinburne Univ Technol, Ctr Astrophys &amp; Supercomp, Hawthorn, Vic 3122, Australia; [Morrell, N.] Carnegie Observ, Las Campanas Observ, Casilla 601, La Serena, Chile</t>
  </si>
  <si>
    <t>Beijing Normal University; Chinese Academy of Sciences; National Astronomical Observatory, CAS; Purple Mountain Observatory, CAS; Chinese Academy of Sciences; Nanjing Institute of Astronomical Optics &amp; Technology, NAOC, CAS; Chinese Academy of Sciences; National Astronomical Observatory, CAS; Hebei University of Science &amp; Technology; Swinburne University of Technology; Carnegie Institution for Science</t>
  </si>
  <si>
    <t>Fu, JN (corresponding author), Beijing Normal Univ, Dept Astron, 19 Xinjiekouwai St, Beijing 100875, Peoples R China.</t>
  </si>
  <si>
    <t>jnfu@bnu.edu.cn</t>
  </si>
  <si>
    <t>; Uddin, Syed/C-1539-2018</t>
  </si>
  <si>
    <t>Cang, Tianqi/0000-0003-3816-7335; Mould, Jeremy/0000-0003-3820-1740; Zhang, Xiaobin/0000-0002-5164-3773; Zong, Weikai/0000-0002-7660-9803; Zhang, Yanping/0000-0001-5397-8537; Wang, Lingzhi/0000-0002-1094-3817; Uddin, Syed/0000-0002-9413-4186</t>
  </si>
  <si>
    <t>National Natural Science Foundation of China (NSFC) [10673003, 11373037]; National Basic Research Program of China (973 Program) [2014CB845700, 2013CB834900]; Australian Research Council DP14 grant; Center for Astronomical Mega-Science, Chinese Academy of Science (CAMS)</t>
  </si>
  <si>
    <t>National Natural Science Foundation of China (NSFC)(National Natural Science Foundation of China (NSFC)); National Basic Research Program of China (973 Program)(National Basic Research Program of China); Australian Research Council DP14 grant(Australian Research Council); Center for Astronomical Mega-Science, Chinese Academy of Science (CAMS)</t>
  </si>
  <si>
    <t>The authors are grateful to the anonymous referee for the valuable comments. This work is supported by the National Natural Science Foundation of China (NSFC) through grants 10673003 and 11373037, and the National Basic Research Program of China (973 Program 2014CB845700 and 2013CB834900). W.Z. hosts the LAMOST Fellowship, which is supported by Special Funding for Advanced Users, budgeted and administrated by Center for Astronomical Mega-Science, Chinese Academy of Science (CAMS). J.R.M. acknowledges support from an Australian Research Council DP14 grant.</t>
  </si>
  <si>
    <t>0004-6256</t>
  </si>
  <si>
    <t>1538-3881</t>
  </si>
  <si>
    <t>ASTRON J</t>
  </si>
  <si>
    <t>Astron. J.</t>
  </si>
  <si>
    <t>10.3847/1538-3881/aab266</t>
  </si>
  <si>
    <t>GA5OU</t>
  </si>
  <si>
    <t>WOS:000428384200002</t>
  </si>
  <si>
    <t>Campbell, SJ; Edgar, GJ; Stuart-Smith, RD; Soler, G; Bates, AE</t>
  </si>
  <si>
    <t>Campbell, Stuart J.; Edgar, Graham J.; Stuart-Smith, Rick D.; Soler, German; Bates, Amanda E.</t>
  </si>
  <si>
    <t>Fishing-gear restrictions and biomass gains for coral reef fishes in marine protected areas</t>
  </si>
  <si>
    <t>CONSERVATION BIOLOGY</t>
  </si>
  <si>
    <t>adaptive management; conservation planning; fisheries; global ecology</t>
  </si>
  <si>
    <t>MANAGEMENT; RECOVERY; RESERVES; TARGETS; ROLES; PARK</t>
  </si>
  <si>
    <t>Considerable empirical evidence supports recovery of reef fish populations with fishery closures. In countries where full exclusion of people from fishing may be perceived as inequitable, fishing-gear restrictions on nonselective and destructive gears may offer socially relevant management alternatives to build recovery of fish biomass. Even so, few researchers have statistically compared the responses of tropical reef fisheries to alternative management strategies. We tested for the effects of fishery closures and fishing gear restrictions on tropical reef fish biomass at the community and family level. We conducted 1,396 underwater surveys at 617 unique sites across a spatial hierarchy within 22 global marine ecoregions that represented 5 realms. We compared total biomass across local fish assemblages and among 20 families of reef fishes inside marine protected areas (MPAs) with different fishing restrictions: no-take, hook-and-line fishing only, several fishing gears allowed, and sites open to all fishing gears. We included a further category representing remote sites, where fishing pressure is low. As expected, full fishery closures, (i.e., no-take zones) most benefited community- and family-level fish biomass in comparison with restrictions on fishing gears and openly fished sites. Although biomass responses to fishery closures were highly variable across families, some fishery targets (e.g., Carcharhinidae and Lutjanidae) responded positively to multiple restrictions on fishing gears (i.e., where gears other than hook and line were not permitted). Remoteness also positively affected the response of community-level fish biomass and many fish families. Our findings provide strong support for the role of fishing restrictions in building recovery of fish biomass and indicate important interactions among fishing-gear types that affect biomass of a diverse set of reef fish families.</t>
  </si>
  <si>
    <t>[Campbell, Stuart J.] RARE, J1,Gunung Gede 1 6, Bogor 16151, Indonesia; [Edgar, Graham J.; Stuart-Smith, Rick D.; Soler, German] Univ Tasmania, Inst Marine &amp; Antarctic Studies, Hobart, Tas 7001, Australia; [Bates, Amanda E.] Univ Southampton, Natl Oceanog Ctr, Waterfront Campus, Southampton SO14 3ZH, Hants, England</t>
  </si>
  <si>
    <t>University of Tasmania; NERC National Oceanography Centre; University of Southampton</t>
  </si>
  <si>
    <t>Bates, AE (corresponding author), Univ Southampton, Natl Oceanog Ctr, Waterfront Campus, Southampton SO14 3ZH, Hants, England.</t>
  </si>
  <si>
    <t>bates.amanda@gmail.com</t>
  </si>
  <si>
    <t>Stuart-Smith, Rick/I-5214-2019; Stuart-Smith, Rick D/M-1829-2013; Bates, Amanda E./ABD-6874-2021; Edgar, Graham/AAY-3797-2020</t>
  </si>
  <si>
    <t>Stuart-Smith, Rick/0000-0002-8874-0083; Stuart-Smith, Rick D/0000-0002-8874-0083; Bates, Amanda E./0000-0002-0198-4537; Edgar, Graham/0000-0003-0833-9001; Campbell, Stuart/0000-0002-1158-3200</t>
  </si>
  <si>
    <t>Australian Research Council [LP100200122]; Marine Biodiversity Hub by the Australian Government's National Environmental Science Programme; Ian Potter Foundation; CoastWest; National Geographic Society; Wildlife Conservation Society Indonesia; Winston Churchill Memorial Trust; Australian-American Fulbright Commission; ASSEMBLE Marine; Australian Research Council [LP100200122] Funding Source: Australian Research Council</t>
  </si>
  <si>
    <t>Australian Research Council(Australian Research Council); Marine Biodiversity Hub by the Australian Government's National Environmental Science Programme; Ian Potter Foundation; CoastWest; National Geographic Society(National Geographic Society); Wildlife Conservation Society Indonesia; Winston Churchill Memorial Trust; Australian-American Fulbright Commission; ASSEMBLE Marine; Australian Research Council(Australian Research Council)</t>
  </si>
  <si>
    <t>We thank the many Reef Life Survey (RLS) divers and scientific colleagues who participated in data collection, and University of Tasmania staff, including J. Berkhout, A. Cooper, M. Davey, J. Hulls, E. Oh, and N. Barrett. Development of RLS was supported by the former Commonwealth Environment Research Facilities Program, and analyses were supported by the Australian Research Council (Grant No. LP100200122) and the Marine Biodiversity Hub, a collaborative partnership supported by the Australian Government's National Environmental Science Programme. Additional funding and support for field surveys was provided by grants from the Ian Potter Foundation, CoastWest, National Geographic Society, Wildlife Conservation Society Indonesia, The Winston Churchill Memorial Trust, Australian-American Fulbright Commission, and ASSEMBLE Marine.</t>
  </si>
  <si>
    <t>0888-8892</t>
  </si>
  <si>
    <t>1523-1739</t>
  </si>
  <si>
    <t>CONSERV BIOL</t>
  </si>
  <si>
    <t>Conserv. Biol.</t>
  </si>
  <si>
    <t>10.1111/cobi.12996</t>
  </si>
  <si>
    <t>GA4RV</t>
  </si>
  <si>
    <t>WOS:000428319600015</t>
  </si>
  <si>
    <t>Ma, Y; Stuart, FM</t>
  </si>
  <si>
    <t>Ma, Yan; Stuart, Finlay M.</t>
  </si>
  <si>
    <t>The use of in-situ cosmogenic 21Ne in studies on long-term landscape development</t>
  </si>
  <si>
    <t>Cosmogenic nuclides; Ne-21; Long timescale; Landscape evolution</t>
  </si>
  <si>
    <t>SURFACE EXPOSURE AGES; NUCLIDE PRODUCTION-RATES; ANTARCTIC ICE-SHEET; RAY-PRODUCED NEON; DRY-VALLEYS; EROSION RATES; VICTORIA LAND; TRANSANTARCTIC MOUNTAINS; TERRESTRIAL ROCKS; RADIOACTIVE DECAY</t>
  </si>
  <si>
    <t>Cosmogenic Ne isotopes are stable and are routinely used for constraining the timing of events and the rate of surface change beyond the limit that can be studied with radionuclides Be-10, Al-26, and Cl-36. Cosmogenic Ne analysis can be used in quartz and in a range of other minerals. Analysis typically requires significantly less material than do cosmogenic Be-10 and Al-26, opening up the technique for small samples-individual pebbles in river sediments, for example. Analysis is easier and faster than for radionuclides, not least because Ne measurements do not require significant chemical procedures. However, the presence of other sources of Ne in minerals tends to restrict the use of cosmogenic Ne-21 to old landscapes and long exposure durations. In this review we briefly outline the background of cosmogenic Ne production in rocks and minerals at the Earth's surface, then document the key uses of the technique by highlighting some earlier studies, and finish with a short perspective on the future of the technique.</t>
  </si>
  <si>
    <t>[Ma, Yan] China Earthquake Adm, Inst Geol, State Key Lab Earthquake Dynam, Beijing 100029, Peoples R China; [Ma, Yan; Stuart, Finlay M.] Scottish Univ Environm Res Ctr, Isotope Geosci Unit, Scottish Enterprise Technol Pk, E Kilbride G75 0QF, Lanark, Scotland</t>
  </si>
  <si>
    <t>China Earthquake Administration; Scottish Universities Research &amp; Reactor Center</t>
  </si>
  <si>
    <t>Ma, Y (corresponding author), China Earthquake Adm, Inst Geol, State Key Lab Earthquake Dynam, Beijing 100029, Peoples R China.;Ma, Y (corresponding author), Scottish Univ Environm Res Ctr, Isotope Geosci Unit, Scottish Enterprise Technol Pk, E Kilbride G75 0QF, Lanark, Scotland.</t>
  </si>
  <si>
    <t>mayan82634@hotmail.com</t>
  </si>
  <si>
    <t>Stuart, Finlay M/E-7417-2010</t>
  </si>
  <si>
    <t>10.1007/s11631-017-0216-9</t>
  </si>
  <si>
    <t>FZ3OY</t>
  </si>
  <si>
    <t>WOS:000427500100011</t>
  </si>
  <si>
    <t>Graly, JA; Licht, KJ; Druschel, GK; Kaplan, MR</t>
  </si>
  <si>
    <t>Graly, Joseph A.; Licht, Kathy J.; Druschel, Gregory K.; Kaplan, Michael R.</t>
  </si>
  <si>
    <t>Polar desert chronologies through quantitative measurements of salt accumulation</t>
  </si>
  <si>
    <t>GEOLOGY</t>
  </si>
  <si>
    <t>ANTARCTIC ICE-SHEET; ISOTOPIC COMPOSITION; VALLEY; SOILS; SULFATE; BORON; MOUNTAINS; STABILITY</t>
  </si>
  <si>
    <t>We measured salt concentration and speciation in the top horizons of moraine sediments from the Transantarctic Mountains (Antarctica) and compared the salt data to cosmogenicnuclide exposure ages on the same moraine. Because the salts are primarily of atmospheric origin, and their delivery to the sediment is constant over relevant time scales, a linear rate of accumulation is expected. When salts are measured in a consistent grain-size fraction and at a consistent position within the soil column, a linear correlation between salt concentration and exposure age is evident. This correlation is strongest for boron-containing salts (R-2 = 0.99), but is also strong (R-2 &gt; 0.9) for most other water-extracted salt species. The relative mobility of salts in the soil column does not correspond to species solubility (borate is highly soluble). Instead, the highly consistent behavior of boron within the soil column is best explained by the extremely low vapor pressure of boric acid at cold temperatures. The environment is sufficiently dry that mobility of salt species within the soil column is controlled by vapor phase effects. In other cold desert settings, topsoil salts, specifically boron, may be employed as a proxy for relative sediment exposure age.</t>
  </si>
  <si>
    <t>[Graly, Joseph A.; Licht, Kathy J.; Druschel, Gregory K.] Indiana Univ Purdue Univ, Dept Earth Sci, Indianapolis, IN 46202 USA; [Kaplan, Michael R.] Lamont Doherty Earth Observ, Palisades, NY 10964 USA</t>
  </si>
  <si>
    <t>Indiana University System; Indiana University-Purdue University Indianapolis; Columbia University</t>
  </si>
  <si>
    <t>Graly, JA (corresponding author), Indiana Univ Purdue Univ, Dept Earth Sci, Indianapolis, IN 46202 USA.</t>
  </si>
  <si>
    <t>Kaplan, Michael R/D-4720-2011</t>
  </si>
  <si>
    <t>Graly, Joseph/0000-0002-7939-6022; Licht, Kathy/0000-0002-2233-2853</t>
  </si>
  <si>
    <t>National Science Foundation Office of Polar Programs [1443433, 1043572, 0944475]; Indiana University Collaborative Research Grant; Office of Polar Programs (OPP); Directorate For Geosciences [1443213, 0944475, 1443433] Funding Source: National Science Foundation; Office of Polar Programs (OPP); Directorate For Geosciences [1043572] Funding Source: National Science Foundation</t>
  </si>
  <si>
    <t>National Science Foundation Office of Polar Programs(National Science Foundation (NSF)NSF - Directorate for Geosciences (GEO)); Indiana University Collaborative Research Grant; Office of Polar Programs (OPP); Directorate For Geosciences(National Science Foundation (NSF)NSF - Directorate for Geosciences (GEO)); Office of Polar Programs (OPP); Directorate For Geosciences(National Science Foundation (NSF)NSF - Directorate for Geosciences (GEO))</t>
  </si>
  <si>
    <t>This work would not have been possible without support from National Science Foundation Office of Polar Programs grants 1443433, 1043572, and 0944475; an Indiana University Collaborative Research Grant; and logistical assistance from the Antarctic Support Contract. The 2010 and 2015 field crews, particularly N. Bader, assisted in sample collection. S. Cox assisted with laboratory work. G. Filippelli and J. Mosley assisted with technical aspects of sample analysis. Reviews by D. J. Morgan, B. Lyons, and G. Balco, along with editing by M. Quigley and J. Spotila, greatly improved the manuscript.</t>
  </si>
  <si>
    <t>0091-7613</t>
  </si>
  <si>
    <t>1943-2682</t>
  </si>
  <si>
    <t>10.1130/G39650.1</t>
  </si>
  <si>
    <t>GA0NM</t>
  </si>
  <si>
    <t>WOS:000428011100018</t>
  </si>
  <si>
    <t>Fletcher, MS; Benson, A; Bowman, DMJS; Gadd, PS; Heijnis, H; Mariani, M; Saunders, KM; Wolfe, BB; Zawadzki, A</t>
  </si>
  <si>
    <t>Fletcher, Michael-Shawn; Benson, Alexa; Bowman, David M. J. S.; Gadd, Patricia S.; Heijnis, Hendrik; Mariani, Michela; Saunders, Krystyna M.; Wolfe, Brent B.; Zawadzki, Atun</t>
  </si>
  <si>
    <t>Centennial-scale trends in the Southern Annular Mode revealed by hemisphere-wide fire and hydroclimatic trends over the past 2400 years</t>
  </si>
  <si>
    <t>ATMOSPHERIC CO2; MARINE RECORD; WESTERLIES; OCEAN; CLIMATE; COVARIABILITY; CIRCULATION; IMPACTS; CHILE</t>
  </si>
  <si>
    <t>Millennial-scale latitudinal shifts in the southern westerly winds (SWW) drive changes in Southern Ocean upwelling, leading to changes in atmospheric CO2 levels, thereby affecting the global climate and carbon cycle. Our aim here is to understand whether century-scale shifts in the SWW also drive changes in atmospheric CO2 content. We report new multiproxy lake sediment data from southwest Tasmania, Australia, that show centennial-scale changes in vegetation and fire activity over the past 2400 yr. We compare our results with existing data from southern South America and reveal synchronous and in-phase centennial-scale trends in vegetation and fire activity between southwest Tasmania and southern South America over the past 2400 yr. Interannual to centennial-scale rainfall anomalies and fire activity in both these regions are significantly correlated with shifts in the SWW associated with the Southern Annular Mode (SAM; atmospheric variability of the Southern Hemisphere). Thus, we interpret the centennial-scale trends we have identified as reflecting century-scale SAM-like shifts in the SWW over the past 2400 yr. We identify covariance between our inferred century-scale shifts in the SWW and Antarctic ice core CO2 values, demonstrating that the SWW-CO2 relationship operating at a millennial scale also operates at a centennial scale through the past 2400 yr. Our results indicate a possible westerly-driven modulation of recent increases in global atmospheric CO2 content that could potentially exacerbate current greenhouse gas-related warming.</t>
  </si>
  <si>
    <t>[Fletcher, Michael-Shawn; Benson, Alexa; Mariani, Michela] Univ Melbourne, Sch Geog, Carlton, Vic 3053, Australia; [Fletcher, Michael-Shawn] Australian Natl Univ, Coll Asia &amp; Pacific, Archaeol &amp; Nat Hist, Canberra, ACT 0200, Australia; [Bowman, David M. J. S.] Univ Tasmania, Sch Biol Sci, Hobart, Tas 7001, Australia; [Gadd, Patricia S.; Heijnis, Hendrik; Saunders, Krystyna M.; Zawadzki, Atun] Australian Nucl Sci &amp; Technol Org, Inst Environm Res, Kirrawee Dc, NSW 2232, Australia; [Saunders, Krystyna M.] Univ Bern, Inst Geog, 9a Erlachstr, CH-3012 Bern, Switzerland; [Wolfe, Brent B.] Wilfrid Laurier Univ, Dept Geog &amp; Environm Studies, Waterloo, ON N2L 3C5, Canada</t>
  </si>
  <si>
    <t>University of Melbourne; Australian National University; University of Tasmania; Australian Nuclear Science &amp; Technology Organisation; University of Bern; Wilfrid Laurier University</t>
  </si>
  <si>
    <t>Fletcher, MS (corresponding author), Univ Melbourne, Sch Geog, Carlton, Vic 3053, Australia.;Fletcher, MS (corresponding author), Australian Natl Univ, Coll Asia &amp; Pacific, Archaeol &amp; Nat Hist, Canberra, ACT 0200, Australia.</t>
  </si>
  <si>
    <t>michael.fletcher@Unimelb.edu.au</t>
  </si>
  <si>
    <t>Fletcher, Michael-Shawn/AFR-2451-2022; Heijnis, Hendrik/A-6673-2010; Bowman, David M.J.S./A-2930-2011; Saunders, Krystyna/G-1368-2019</t>
  </si>
  <si>
    <t>Fletcher, Michael-Shawn/0000-0002-1854-5629; Bowman, David M.J.S./0000-0001-8075-124X; Saunders, Krystyna/0000-0002-6800-2630; MARIANI, MICHELA/0000-0003-1996-3694; Heijnis, Hendrik/0000-0002-7601-3452; Gadd, Patricia/0000-0001-6725-1603</t>
  </si>
  <si>
    <t>Australian Research Council (ARC) [DI110100019, IN140100050, IN170100062, DP110101950]; Marie Curie International Incoming Fellowship [237001]; Australian Research Council [IN170100062] Funding Source: Australian Research Council</t>
  </si>
  <si>
    <t>Australian Research Council (ARC)(Australian Research Council); Marie Curie International Incoming Fellowship(European Union (EU)); Australian Research Council(Australian Research Council)</t>
  </si>
  <si>
    <t>We acknowledge Australian Research Council (ARC) grants to Fletcher (DI110100019, IN140100050, and IN170100062) and Bowman (DP110101950) and a Marie Curie International Incoming Fellowship (237001 to Saunders). We thank Scott Nichols, Jared Pedro, Lycy Gayler, and Peter Shimeld for help in the field. We thank J. R. Toggweiler, V. Markgraf, and L. Ely for thoughtful comments on an earlier draft of this manuscript.</t>
  </si>
  <si>
    <t>10.1130/G39661.1</t>
  </si>
  <si>
    <t>WOS:000428011100021</t>
  </si>
  <si>
    <t>Du, GQ; Zhang, ZR; Zhou, M; Zhu, YW; Zhong, YS</t>
  </si>
  <si>
    <t>Du, Guangqian; Zhang, Zhaoru; Zhou, Meng; Zhu, Yiwu; Zhong, Yisen</t>
  </si>
  <si>
    <t>The Upper 1000-m Slope Currents North of the South Shetland Islands and Elephant Island Based on Ship Cruise Observations</t>
  </si>
  <si>
    <t>JOURNAL OF OCEAN UNIVERSITY OF CHINA</t>
  </si>
  <si>
    <t>Antarctic Slope Current; dynamical balance; water masses; South Shetland Islands; Elephant Island</t>
  </si>
  <si>
    <t>KRILL EUPHAUSIA-SUPERBA; ANTARCTIC PENINSULA; DRAKE PASSAGE; DEEP; CIRCULATION; WATERS; DISTRIBUTIONS; TRANSPORT; REGION; OCEAN</t>
  </si>
  <si>
    <t>While the Antarctic Slope Current (ASC) has been intensively studied for the East Antarctica slope area and the Weddell Sea, its fate in the western Antarctic Peninsula (WAP) region remains much less known. Data from two cruises conducted near the South Shetland Islands (SSIs) and the Elephant Island (EI), one in austral summer of 2004 and one in austral winter of 2006, were analyzed to provide a broad picture of the circulation pattern over the continental slope of the surveyed area, and an insight into the dynamical balance of the circulation. The results indicate that southwestward currents are present over the upper slope in the study area, indicating the ASC in the WAP region. Near the Shackleton Gap (SG) north of the EI, the southwestward slope currents near the shelf break are characterized by a water mass colder and fresher than the ambient water, which produces cross-slope density gradients and then vertical shear of the along-slope (or along-isobath) velocity. The vertical shear is associated with a reversal of the along-slope current from northeastward at surface to southwestward in deeper layers, or a depth-intensification of the southwestward slope currents. The water mass with temperature and salinity characteristics similar to the observed cold and fresh water is also revealed on the southern slope of the Scotia Sea, suggesting that this cold and fresh water is originated from the Scotia Sea slope and flows southwestward through the SG. Over the shelf north of the SSIs, the cold and fresh water mass is also observed and originates mainly from the Bransfield Strait. In this area, vertical structure of the southwestward slope currents is associated with the onshore intrusion of the upper Circumpolar Deep Water that creates cross-slope density gradients.</t>
  </si>
  <si>
    <t>[Du, Guangqian; Zhang, Zhaoru; Zhou, Meng; Zhu, Yiwu; Zhong, Yisen] Shanghai Jiao Tong Univ, Inst Oceanog, Shanghai 200240, Peoples R China</t>
  </si>
  <si>
    <t>Shanghai Jiao Tong University</t>
  </si>
  <si>
    <t>Zhang, ZR (corresponding author), Shanghai Jiao Tong Univ, Inst Oceanog, Shanghai 200240, Peoples R China.</t>
  </si>
  <si>
    <t>zrzhang@sjtu.edu.cn</t>
  </si>
  <si>
    <t>LIU, JIALIN/JXN-8034-2024</t>
  </si>
  <si>
    <t>National Natural Science Foundation of China [41406006]; Shanghai Sailling Program [15FY1406400]</t>
  </si>
  <si>
    <t>National Natural Science Foundation of China(National Natural Science Foundation of China (NSFC)); Shanghai Sailling Program</t>
  </si>
  <si>
    <t>This work was funded by the National Natural Science Foundation of China (No. 41406006). Y. Z was sponsored by Shanghai Sailling Program (No. 15FY1406400). We would like to acknowledge the hard work by crews of the A.S.R.V.L.M. Gould and R.V.I.B.N.B. Palmer cruises. We would also like to acknowledge the anonymous reviewers for improving the quality of this manuscript.</t>
  </si>
  <si>
    <t>OCEAN UNIV CHINA</t>
  </si>
  <si>
    <t>QINGDAO</t>
  </si>
  <si>
    <t>5 YUSHAN RD, QINGDAO, 266003, PEOPLES R CHINA</t>
  </si>
  <si>
    <t>1672-5182</t>
  </si>
  <si>
    <t>1993-5021</t>
  </si>
  <si>
    <t>J OCEAN U CHINA</t>
  </si>
  <si>
    <t>J. OCEAN UNIV.</t>
  </si>
  <si>
    <t>10.1007/s11802-018-3353-9</t>
  </si>
  <si>
    <t>FZ9CJ</t>
  </si>
  <si>
    <t>WOS:000427906900023</t>
  </si>
  <si>
    <t>Poulsen, MB; Jochum, M; Nuterman, R</t>
  </si>
  <si>
    <t>Poulsen, Mads B.; Jochum, Markus; Nuterman, Roman</t>
  </si>
  <si>
    <t>Parameterized and resolved Southern Ocean eddy compensation</t>
  </si>
  <si>
    <t>Southern Ocean; Eddy compensation; Parameterized sensitivity</t>
  </si>
  <si>
    <t>ANTARCTIC CIRCUMPOLAR CURRENT; MERIDIONAL OVERTURNING CIRCULATION; RECENT CLIMATE-CHANGE; DRAKE PASSAGE; THICKNESS DIFFUSIVITY; MODEL; TRANSPORT; VARIABILITY; EDDIES; SATURATION</t>
  </si>
  <si>
    <t>The ability to parameterize Southern Ocean eddy effects in a forced coarse resolution ocean general circulation model is assessed. The transient model response to a suite of different Southern Ocean wind stress forcing perturbations is presented and compared to identical experiments performed with the same model in 0.1 degrees eddy-resolving resolution. With forcing of present-day wind stress magnitude and a thickness diffusivity formulated in terms of the local stratification, it is shown that the Southern Ocean residual meridional overturning circulation in the two models is different in structure and magnitude. It is found that the difference in the upper overturning cell is primarily explained by an overly strong subsurface flow in the parameterized eddy-induced circulation while the difference in the lower cell is mainly ascribed to the mean-flow overturning. With a zonally constant decrease of the zonal wind stress by 50% we show that the absolute decrease in the overturning circulation is insensitive to model resolution, and that the meridional isopycnal slope is relaxed in both models. The agreement between the models is not reproduced by a 50% wind stress increase, where the high resolution overturning decreases by 20%, but increases by 100% in the coarse resolution model. It is demonstrated that this difference is explained by changes in surface buoyancy forcing due to a reduced Antarctic sea ice cover, which strongly modulate the overturning response and ocean stratification. We conclude that the parameterized eddies are able to mimic the transient response to altered wind stress in the high resolution model, but partly misrepresent the unperturbed Southern Ocean meridional overturning circulation and associated heat transports.</t>
  </si>
  <si>
    <t>[Poulsen, Mads B.; Jochum, Markus; Nuterman, Roman] Univ Copenhagen, Niels Bohr Inst, Juliane Maries Vej 30, DK-2100 Copenhagen, Denmark</t>
  </si>
  <si>
    <t>University of Copenhagen; Niels Bohr Institute</t>
  </si>
  <si>
    <t>Poulsen, MB (corresponding author), Univ Copenhagen, Niels Bohr Inst, Juliane Maries Vej 30, DK-2100 Copenhagen, Denmark.</t>
  </si>
  <si>
    <t>mads.poulsen@nbi.ku.dk</t>
  </si>
  <si>
    <t>jochum, markus/F-8237-2013; jochum, markus/AAQ-7967-2020</t>
  </si>
  <si>
    <t>jochum, markus/0000-0003-2690-3139</t>
  </si>
  <si>
    <t>European Research Council under the European Community's Seventh Framework Programme (FP7) / ERC grant as part of the ice2ice project [610055]; Danish e-Infrastructure Corporation; Niels Bohr Institute</t>
  </si>
  <si>
    <t>European Research Council under the European Community's Seventh Framework Programme (FP7) / ERC grant as part of the ice2ice project; Danish e-Infrastructure Corporation; Niels Bohr Institute</t>
  </si>
  <si>
    <t>The research leading to these results has received funding from the European Research Council under the European Community's Seventh Framework Programme (FP7/2007-2013) / ERC grant agreement 610055 as part of the ice2ice project. The authors gratefully acknowledge the Gauss Centre for Supercomputing (GCS) for providing computing time through the John von Neumann Institute for Computing (NIC) on the GCS share of the supercomputer JUQUEEN at Julich Supercomputing Centre (JSC). The authors are also grateful for computing resources provided by the Danish Center for Climate Computing, a facility build with support of the Danish e-Infrastructure Corporation and the Niels Bohr Institute, as well as for Alison Baker (NCAR) for her help setting up CESM on JUQUEEN, and ERDA developers and maintainers Jonas Bardino and Klaus Birkelund Jensen for providing the computational infrastructure to analyze the model output. The authors also thank Carsten Eden and Laure Zanna for constructive discussions, as well as the editor and two anonymous reviewers, whose comments greatly improved the manuscript.</t>
  </si>
  <si>
    <t>10.1016/j.ocemod.2018.01.008</t>
  </si>
  <si>
    <t>FZ5LX</t>
  </si>
  <si>
    <t>WOS:000427635500001</t>
  </si>
  <si>
    <t>Turner, J; Nakajima, T</t>
  </si>
  <si>
    <t>Turner, John; Nakajima, Teruyuki</t>
  </si>
  <si>
    <t>Report on IAMAS Activity since 2015 and the IAPSO-IAMAS-IAGA Scientific Assembly-Good Hope For Earth Sciences</t>
  </si>
  <si>
    <t>ADVANCES IN ATMOSPHERIC SCIENCES</t>
  </si>
  <si>
    <t>[Turner, John] British Antarctic Survey, Madingley Rd, Cambridge CB3 0ET, England; [Nakajima, Teruyuki] Japan Aerosp Explorat Agcy, 2-1-1 Sengen, Tsukuba, Ibaraki 3058505, Japan; [Turner, John; Nakajima, Teruyuki] IAMAS, Tsukuba, Ibaraki, Japan</t>
  </si>
  <si>
    <t>UK Research &amp; Innovation (UKRI); Natural Environment Research Council (NERC); NERC British Antarctic Survey; Japan Aerospace Exploration Agency (JAXA)</t>
  </si>
  <si>
    <t>Turner, J (corresponding author), British Antarctic Survey, Madingley Rd, Cambridge CB3 0ET, England.;Turner, J (corresponding author), IAMAS, Tsukuba, Ibaraki, Japan.</t>
  </si>
  <si>
    <t>jtu@bas.ac.uk</t>
  </si>
  <si>
    <t>Nakajima, Teruyuki/H-2370-2013</t>
  </si>
  <si>
    <t>NERC [bas0100032] Funding Source: UKRI</t>
  </si>
  <si>
    <t>NERC(UK Research &amp; Innovation (UKRI)Natural Environment Research Council (NERC))</t>
  </si>
  <si>
    <t>0256-1530</t>
  </si>
  <si>
    <t>1861-9533</t>
  </si>
  <si>
    <t>ADV ATMOS SCI</t>
  </si>
  <si>
    <t>Adv. Atmos. Sci.</t>
  </si>
  <si>
    <t>10.1007/s00376-017-7240-x</t>
  </si>
  <si>
    <t>FW5AG</t>
  </si>
  <si>
    <t>WOS:000425327700001</t>
  </si>
  <si>
    <t>Helping you choose the right journal?</t>
  </si>
  <si>
    <t>10.1017/S0954102018000032</t>
  </si>
  <si>
    <t>FZ0VN</t>
  </si>
  <si>
    <t>WOS:000427291800001</t>
  </si>
  <si>
    <t>Kim, S; Saenz, B; Scanniello, J; Daly, K; Ainley, D</t>
  </si>
  <si>
    <t>Kim, Stacy; Saenz, Ben; Scanniello, Jeff; Daly, Kendra; Ainley, David</t>
  </si>
  <si>
    <t>Local climatology of fast ice in McMurdo Sound, Antarctica</t>
  </si>
  <si>
    <t>coastal food webs; ice-ocean interactions; long-termtrends; Ross Sea; sea ice; Southern Ocean</t>
  </si>
  <si>
    <t>SOUTHERN ROSS SEA; PATTERNS; IMPACTS; ICEBERG; FOOD</t>
  </si>
  <si>
    <t>Fast ice plays important physical and ecological roles: as a barrier to wind, waves and radiation, as both barrier and safe resting place for air-breathing animals, and as substrate for microbial communities. While sea ice has been monitored for decades using satellite imagery, high-resolution imagery sufficient to distinguish fast ice from mobile pack ice extends only back to c. 2000. Fast ice trends may differ from previously identified changes in regional sea ice distributions. To investigate effects of climate and human activities on fast ice dynamics in McMurdo Sound, Ross Sea, the sea and fast ice seasonal events (1978-2015), ice thicknesses and temperatures (1986-2014), wind velocities (1973-2015) and dates that an icebreaker annually opens a channel to McMurdo Station (1956-2015) are reported. A significant relationship exists between sea ice concentration and fast ice extent in the Sound. While fast/sea ice retreat dates have not changed, fast/sea ice reaches a minimum later and begins to advance earlier, in partial agreement with changes in Ross Sea regional pack ice dynamics. Fast ice minimum extent within McMurdo Sound is significantly correlated with icebreaker arrival date as well as wind velocity. The potential impacts of changes in fast ice climatology on the local marine ecosystem are discussed.</t>
  </si>
  <si>
    <t>[Kim, Stacy] Moss Landing Marine Labs, 8272 Moss Landing Rd, Moss Landing, CA 95039 USA; [Saenz, Ben] Resource Management Associates, 756 Picasso Ave G, Davis, CA 95618 USA; [Scanniello, Jeff] US Antarctic Program, 7400 S Tucson Way, Centennial, CO 80112 USA; [Daly, Kendra] Univ South Florida St Petersburg, 140 7th Ave S,MSL 220C, St Petersburg, FL 33701 USA; [Ainley, David] HT Harvey &amp; Associates, 983 Univ Ave, Los Gatos, CA 95032 USA</t>
  </si>
  <si>
    <t>Moss Landing Marine Laboratories; State University System of Florida; University of South Florida</t>
  </si>
  <si>
    <t>Kim, S (corresponding author), Moss Landing Marine Labs, 8272 Moss Landing Rd, Moss Landing, CA 95039 USA.</t>
  </si>
  <si>
    <t>skim@mlml.calstate.edu</t>
  </si>
  <si>
    <t>National Science Foundation (NSF) [ANT-0944747, ANT-9044511, ANT-0944694]; NSF [ANT-1245663]; NASA/HQ; Directorate For Geosciences; Office of Polar Programs (OPP) [1543541] Funding Source: National Science Foundation</t>
  </si>
  <si>
    <t>National Science Foundation (NSF)(National Science Foundation (NSF)National Research Foundation of Korea); NSF(National Science Foundation (NSF)); NASA/HQ; Directorate For Geosciences; Office of Polar Programs (OPP)(National Science Foundation (NSF)NSF - Directorate for Geosciences (GEO))</t>
  </si>
  <si>
    <t>This material is based upon work supported by the National Science Foundation (NSF) under grant numbers ANT-0944747 to Kim, ANT-9044511 to Daly and ANT-0944694 to Ainley. Any opinions, findings and conclusions or recommendations expressed in this material are those of the authors and do not necessarily reflect the views of the NSF. The authors appreciate the support of the University of Wisconsin-Madison Automatic Weather Station Program for the dataset, data display and information, NSF grant number ANT-1245663. We acknowledge the use of data products and imagery from the Land, Atmosphere Near real-time Capability for EOS (LANCE) system operated by the NASA/GSFC/ESDIS with funding provided by NASA/HQ. We are grateful to George Blaisdell for contributing important icebreaker information. We also greatly appreciate support in all forms provided by Martin Hynes, Laughlin Barker, Rob Robbins and Steven Rupp. Many others contributed to data collection and analysis including Kamille Hammerstrom, Clint Collins, Bob Pitman, John Durban, Peggy Malloy, Eric Stackpole, Heather Broadbent, Dan Mahon, Dorota Szuta, Philip Chung and Andrea Sartorius. Inspirational thanks are always due to Paul Dayton and John Oliver. We are very grateful to several anonymous reviewers for helpful comments.</t>
  </si>
  <si>
    <t>10.1017/S0954102017000578</t>
  </si>
  <si>
    <t>WOS:000427291800006</t>
  </si>
  <si>
    <t>Silva, LJ; Souza, DT; Genuario, DB; Hoyos, HAV; Santos, SN; Rosa, LH; Zucchi, TD; Melo, IS</t>
  </si>
  <si>
    <t>Silva, Leonardo Jose; Souza, Danilo Tosta; Genuario, Diego Bonaldo; Vargas Hoyos, Harold Alexander; Santos, Suikinai Nobre; Rosa, Luiz Henrique; Zucchi, Tiago Domingues; Melo, Itamar Soares</t>
  </si>
  <si>
    <t>Rhodococcus psychrotolerans sp nov., isolated from rhizosphere of Deschampsia antarctica</t>
  </si>
  <si>
    <t>ANTONIE VAN LEEUWENHOEK INTERNATIONAL JOURNAL OF GENERAL AND MOLECULAR MICROBIOLOGY</t>
  </si>
  <si>
    <t>Antarctic actinomycetes; CMAA 1533(T); Polyphasic approach; Taxonomy</t>
  </si>
  <si>
    <t>THIN-LAYER-CHROMATOGRAPHY; ISOPRENOID QUINONES; BACTERIA; PROPOSAL; ACTINOBACTERIA; CLASSIFICATION; IDENTIFICATION; SEQUENCES; DATABASE; TREES</t>
  </si>
  <si>
    <t>A novel actinobacterium, designated strain CMAA 1533(T), was isolated from the rhizosphere of Deschampsia antarctica collected at King George Island, Antarctic Peninsula. Strain CMAA 1533(T) was found to grow over a wide range of temperatures (4-28 A degrees C) and pH (4-10). Macroscopically, the colonies were observed to be circular shaped, smooth, brittle and opaque-cream on most of the culture media tested. Phylogenetic analysis based on 16S rRNA gene sequences revealed that strain CMAA 1533(T) belongs to the family Nocardiaceae and forms a distinct phyletic line within the genus Rhodococcus. Sequence similarity calculations indicated that the novel strain is closely related to Rhodococcus degradans CCM 4446(T), Rhodococcus erythropolis NBRC 15567(T) and Rhodococcus triatomae DSM 44892(T) (ae 96.9%). The organism was found to contain meso-diaminopimelic acid, galactose and arabinose in whole cell hydrolysates. Its predominant isoprenologue was identified as MK-8(H-2) and the polar lipids as diphosphatidylglycerol, phosphatidylglycerol, phosphatidylethanolamine, phosphatidylinositol and phosphatidylinositol mannosides. The major fatty acids were identified as Summed feature (C-16:1 omega 6c and/or C-16:1 omega 7c), C-16:0, C-18:1 omega 9c and 10-methyl C-18:0. The G+C content of genomic DNA was determined to be 65.5 mol%. Unlike the closely related type strains, CMAA 1533(T) can grow at 4 A degrees C but not at 37 A degrees C and was able to utilise adonitol and galactose as sole carbon sources. Based on phylogenetic, chemotaxonomic and physiological data, it is concluded that strain CMAA 1533(T) (= NRRL B-65465(T) = DSM 104532(T)) represents a new species of the genus Rhodococcus, for which the name Rhodococcus psychrotolerans sp. nov. is proposed.</t>
  </si>
  <si>
    <t>[Silva, Leonardo Jose; Vargas Hoyos, Harold Alexander] Univ Sao Paulo, Coll Agr Luiz de Queiroz, Padua Dias Ave 11, BR-13418900 Sao Paulo, Brazil; [Silva, Leonardo Jose; Souza, Danilo Tosta; Genuario, Diego Bonaldo; Vargas Hoyos, Harold Alexander; Santos, Suikinai Nobre; Melo, Itamar Soares] EMBRAPA Environm, Lab Environm Microbiol, Brazilian Agr Res Corp, SP 340 Highway,Km 127-5, BR-13820000 Sao Paulo, Brazil; [Rosa, Luiz Henrique] Univ Fed Minas Gerais, Inst Biol Sci, Dept Microbiol, Presidente Antonio Carlos Ave 6627, BR-31270901 Belo Horizonte, MG, Brazil; [Zucchi, Tiago Domingues] Agrivalle, Agr Biotechnol, Tranquillo Giannini Ave 1090, BR-13329600 Sao Paulo, Brazil</t>
  </si>
  <si>
    <t>Universidade de Sao Paulo; Empresa Brasileira de Pesquisa Agropecuaria (EMBRAPA); Universidade Federal de Minas Gerais</t>
  </si>
  <si>
    <t>Melo, IS (corresponding author), EMBRAPA Environm, Lab Environm Microbiol, Brazilian Agr Res Corp, SP 340 Highway,Km 127-5, BR-13820000 Sao Paulo, Brazil.</t>
  </si>
  <si>
    <t>itamar.melo@embrapa.br</t>
  </si>
  <si>
    <t>Hoyos, Harold Alexander Vargas/AAH-4873-2020; Santos, Suikina Nobre/S-3587-2019; Silva, Leonardo/N-7787-2019; Zucchi, Tiago/D-2557-2009; Genuario, Diego/C-5891-2015; Tosta Souza, Danilo/E-5864-2013</t>
  </si>
  <si>
    <t>Hoyos, Harold Alexander Vargas/0000-0002-0669-6032; Santos, Suikina Nobre/0000-0002-2253-8835; Silva, Leonardo/0000-0002-7625-9460; Genuario, Diego/0000-0001-6884-331X; Tosta Souza, Danilo/0000-0002-8093-6663</t>
  </si>
  <si>
    <t>National Council for Scientific and Technological Development [CNPq 141705/2014-0, CNPq PROANTAR 407230/2013-0]; FAPESP [2014/26131-7, 2013/25505-8]; Fundacao de Amparo a Pesquisa do Estado de Sao Paulo (FAPESP) [13/25505-8, 14/26131-7] Funding Source: FAPESP</t>
  </si>
  <si>
    <t>National Council for Scientific and Technological Development(Conselho Nacional de Desenvolvimento Cientifico e Tecnologico (CNPQ)); FAPESP(Fundacao de Amparo a Pesquisa do Estado de Sao Paulo (FAPESP)); Fundacao de Amparo a Pesquisa do Estado de Sao Paulo (FAPESP)(Fundacao de Amparo a Pesquisa do Estado de Sao Paulo (FAPESP))</t>
  </si>
  <si>
    <t>Silva, L.J. thanks the support from National Council for Scientific and Technological Development [CNPq 141705/2014-0] and [CNPq PROANTAR 407230/2013-0, INCT Criosfera]. Genuario, D. B. and Souza, D.T were supported by FAPESP graduate scholarships 2014/26131-7 and 2013/25505-8, respectively. The authors are grateful to Marcia Maria Parma Leme, Joao Luiz da Silva, Renato Barbosa Salaroli and Roseli dos Santos Nascimento by their contributions with the laboratory techniques. Finally, thanks are due to the PROANTAR Research Program and Brazilian Navy for logistical support during the OPERANTAR EXPEDITION.</t>
  </si>
  <si>
    <t>0003-6072</t>
  </si>
  <si>
    <t>1572-9699</t>
  </si>
  <si>
    <t>ANTON LEEUW INT J G</t>
  </si>
  <si>
    <t>Antonie Van Leeuwenhoek</t>
  </si>
  <si>
    <t>10.1007/s10482-017-0983-7</t>
  </si>
  <si>
    <t>FY9EE</t>
  </si>
  <si>
    <t>WOS:000427167600014</t>
  </si>
  <si>
    <t>Angulo-Preckler, C; Figuerola, B; Núñez-Pons, L; Moles, J; Martín-Martín, R; Rull-Lluch, J; Gómez-Garreta, A; Avila, C</t>
  </si>
  <si>
    <t>Angulo-Preckler, Carlos; Figuerola, Blanca; Nunez-Pons, Laura; Moles, Juan; Martin-Martin, Rafael; Rull-Lluch, Jordi; Gomez-Garreta, Amelia; Avila, Conxita</t>
  </si>
  <si>
    <t>Macrobenthic patterns at the shallow marine waters in the caldera of the active volcano of Deception Island, Antarctica</t>
  </si>
  <si>
    <t>Invertebrates; Macroalgae; South Shetland Islands; Soft-bottoms; Hard-bottoms; Benthic assemblages</t>
  </si>
  <si>
    <t>SOUTH SHETLAND ISLANDS; KING GEORGE ISLAND; BENTHIC COMMUNITIES; BRANSFIELD STRAIT; PORT FOSTER; FAUNA; OCEAN; MACROALGAE; MEGAFAUNA; ECOSYSTEM</t>
  </si>
  <si>
    <t>Deception Island is an active volcano located at the southern end of the South Shetland Archipelago, in the Antarctic Ocean. After the last eruption in 1970, benthic recolonization took place within the bay, with echinoderms being the dominant epifauna (e.g., the ophiuroid Ophionotus victoriae, the echinoid Sorechinus neumayert and the sea star Odontaster vaildus), together with dense infaunal communities (mostly composed by oligochaetes, polychaetes, and bivalves). Here, we aim to describe the actual status of the marine benthic ecosystems inhabiting the shallow subtidal areas of this volcanic island. Benthic species were qualitatively scored as presence versus absence, considering the different sampling effort between localities done over the years. A total of 139 species of macroorganisms, belonging to 16 phyla were found, including fauna and flora, increasing the species richness values previously reported in all sites surveyed within the volcano caldera. Moreover, a dramatic increase in biodiversity was found towards the entrance of the bay. We suggest, however, that recolonization from external waters may not be the only reason for this pattern. In fact, sediment flux rates and substrate instability are common disturbances within the bay, probably being among the major factors determining benthic community assemblages. These processes probably favour deposit feeding communities at the innermost locations of the bay. This study provides a remarkably increased and updated species inventory from previous reports, altogether with a description of the main communities inhabiting the bay and the abiotic factors regulating this, mainly the bottom type.</t>
  </si>
  <si>
    <t>[Angulo-Preckler, Carlos; Moles, Juan; Avila, Conxita] Univ Barcelona, Dept Evolutionary Biol Ecol &amp; Environm Sci, Ave Diagonal 643, E-08028 Barcelona, Spain; [Figuerola, Blanca; Nunez-Pons, Laura] Smithsonian Trop Res Inst, Balboa, Panama; [Nunez-Pons, Laura] Stn Zool Anton Dohrn, Dept Biol &amp; Evolut Marine Organisms BEOM, I-80121 Naples, Italy; [Martin-Martin, Rafael; Rull-Lluch, Jordi; Gomez-Garreta, Amelia] Univ Barcelona, Fac Pharm &amp; Food Sci, Lab Bot, Ave Joan 23 27-31, E-08028 Barcelona, Catalonia, Spain; [Angulo-Preckler, Carlos; Figuerola, Blanca; Martin-Martin, Rafael; Rull-Lluch, Jordi; Gomez-Garreta, Amelia; Avila, Conxita] Biodivers Res Inst IrBIO, Campus Sud,Ave Diagonal 643, Barcelona 08028, Catalonia, Spain</t>
  </si>
  <si>
    <t>University of Barcelona; Smithsonian Institution; Smithsonian Tropical Research Institute; Stazione Zoologica Anton Dohrn di Napoli; University of Barcelona</t>
  </si>
  <si>
    <t>Angulo-Preckler, C (corresponding author), Univ Barcelona, Dept Evolutionary Biol Ecol &amp; Environm Sci, Ave Diagonal 643, E-08028 Barcelona, Spain.</t>
  </si>
  <si>
    <t>carlospreckler@hotmail.com</t>
  </si>
  <si>
    <t>Moles, Juan/H-4786-2018; Figuerola, Blanca/C-6252-2015; Angulo_Preckler, Carlos/A-6456-2011; Avila, Conxita/B-9466-2008</t>
  </si>
  <si>
    <t>Moles, Juan/0000-0003-4511-4055; Figuerola, Blanca/0000-0003-4731-9337; Angulo_Preckler, Carlos/0000-0001-9028-274X; Avila, Conxita/0000-0002-5489-8376; Martin-Martin, Rafael P./0000-0002-6650-6771</t>
  </si>
  <si>
    <t>ACTIQUIM-I research project [CGL2007-65453/ANT]; ACTIQUIM-11 research project [CTM2010-17415]; DISTANTCOM research project [CTM2013-42667/ANT]; FPU Program from the Spanish Government [AP2009-2081]</t>
  </si>
  <si>
    <t>ACTIQUIM-I research project; ACTIQUIM-11 research project; DISTANTCOM research project; FPU Program from the Spanish Government</t>
  </si>
  <si>
    <t>Thanks are due to Dr F.J. Cristobo, Dr S. Taboada, Dr A. Riesgo, and M. Bas for their help during the fieldwork and species identification. Special thanks are due to Dr. Tuya for statistical advice. Thanks are also due to the crew of BAE Gabriel de Castilla for their logistic support during diving. This work was developed within the frames of the ACTIQUIM-I (CGL2007-65453/ANT), ACTIQUIM-11 (CTM2010-17415), and DISTANTCOM (CTM2013-42667/ANT) research projects. Dr C. Angulo-Preclder was funded by the FPU Program (AP2009-2081) from the Spanish Government. This is a contribution to the AntEco (State of the Antarctic Ecosystem) SCAR Programme.</t>
  </si>
  <si>
    <t>10.1016/j.csr.2018.02.005</t>
  </si>
  <si>
    <t>WOS:000430768800003</t>
  </si>
  <si>
    <t>Vance, TDR; Graham, LA; Davies, PL</t>
  </si>
  <si>
    <t>Vance, Tyler D. R.; Graham, Laurie A.; Davies, Peter L.</t>
  </si>
  <si>
    <t>An ice-binding and tandem beta-sandwich domain-containing protein in Shewanella frigidimarina is a potential new type of ice adhesin</t>
  </si>
  <si>
    <t>adhesion; Antarctic bacteria; antifreeze; ice-binding protein; Shewanella frigidimarina</t>
  </si>
  <si>
    <t>HYPERACTIVE ANTIFREEZE PROTEIN; GRAM-NEGATIVE BACTERIA; SNOW MOLD FUNGUS; SEA-ICE; STRUCTURE REFINEMENT; PREDICTION; FISH; SITE; IDENTIFICATION; LIPOPROTEINS</t>
  </si>
  <si>
    <t>Out of the dozen different ice-binding protein (IBP) structures known, the DUF3494 domain is the most widespread, having been passed many times between prokaryotic and eukaryotic microorganisms by horizontal gene transfer. This similar to 25-kDa -solenoid domain with an adjacent parallel -helix is most commonly associated with an N-terminal secretory signal peptide. However, examples of the DUF3494 domain preceded by tandem Bacterial Immunoglobulin-like (BIg) domains are sometimes found, though uncharacterized. Here, we present one such protein (SfIBP_1) from the Antarctic bacterium Shewanella frigidimarina. We have confirmed and characterized the ice-binding activity of its ice-binding domain using thermal hysteresis measurements, fluorescent ice plane affinity analysis, and ice recrystallization inhibition assays. X-ray crystallography was used to solve the structure of the SfIBP_1 ice-binding domain, to further characterize its ice-binding surface and unique method of stabilizing or capping' the ends of the solenoid structure. The latter is formed from the interaction of two loops mediated by a combination of tandem prolines and electrostatic interactions. Furthermore, given their domain architecture and membrane association, we propose that these BIg-containing DUF3494 IBPs serve as ice-binding adhesion proteins that are capable of adsorbing their host bacterium onto ice. DatabaseSubmitted new structure to the Protein Data Bank (PDB: 6BG8).</t>
  </si>
  <si>
    <t>[Vance, Tyler D. R.; Graham, Laurie A.; Davies, Peter L.] Queens Univ, Dept Biomed &amp; Mol Sci, 18 Stuart St, Kingston, ON K7L 3N6, Canada</t>
  </si>
  <si>
    <t>Queens University - Canada</t>
  </si>
  <si>
    <t>Davies, PL (corresponding author), Queens Univ, Dept Biomed &amp; Mol Sci, 18 Stuart St, Kingston, ON K7L 3N6, Canada.</t>
  </si>
  <si>
    <t>Canadian Institutes for Health Resources (CIHR) [353755]; National Science and Engineering Research Council (NSERC)</t>
  </si>
  <si>
    <t>Canadian Institutes for Health Resources (CIHR)(Canadian Institutes of Health Research (CIHR)); National Science and Engineering Research Council (NSERC)(Natural Sciences and Engineering Research Council of Canada (NSERC))</t>
  </si>
  <si>
    <t>This project was funded by the Canadian Institutes for Health Resources (CIHR), through Foundation grant 353755. PLD holds the Canadian Research Chair in Protein Engineering, and TDRV holds a Canadian Graduate Scholarships from the National Science and Engineering Research Council (NSERC). X-ray diffraction data were collected at the Canadian Light Source (CLS) with help from Sean Phippen, using the 08ID-1 Beamline. The authors wish to acknowledge Juan A. Asenjo for providing the S. frigidimarina strain used in the immunoblotting experiments; Kim Munro of the Protein Function Discovery facility at Queen's University for assisting with the CD spectroscopy; Xiaohu Yan for assisting with the Scanning Electron Microscopy; Sherry Gauthier for her expertise in molecular cloning; Qilu Ye for her expertise in crystallography; and Koli Basu for her assistance with FIPA.</t>
  </si>
  <si>
    <t>10.1111/febs.14424</t>
  </si>
  <si>
    <t>GD7KO</t>
  </si>
  <si>
    <t>WOS:000430691000010</t>
  </si>
  <si>
    <t>Rippin, M; Lange, S; Sausen, N; Becker, B</t>
  </si>
  <si>
    <t>Rippin, Martin; Lange, Sebastian; Sausen, Nicole; Becker, Burkhard</t>
  </si>
  <si>
    <t>Biodiversity of biological soil crusts from the Polar Regions revealed by metabarcoding</t>
  </si>
  <si>
    <t>biological soil crusts; terrestrial algae; terrestrial Cyanobacteria; Bryophyta; Svalbard; Livingston Island</t>
  </si>
  <si>
    <t>SULFATE-REDUCING BACTERIA; RIBOSOMAL-RNA; HIGHLY DIVERSE; COMMUNITY; ALGAE; HABITATS; PRECIPITATION; ESTABLISHMENT; LIMITATIONS; SUCCESSION</t>
  </si>
  <si>
    <t>Biological soil crusts (BSCs) are amalgamations of autotrophic, heterotrophic and saprotrophic organisms. In the Polar Regions, these unique communities occupy essential ecological functions such as primary production, nitrogen fixation and ecosystem engineering. Here, we present the first molecular survey of BSCs from the Arctic and Antarctica focused on both eukaryotes and prokaryotes as well as passive and active biodiversity. Considering sequence abundance, Bryophyta is among the most abundant taxa in all analyzed BSCs suggesting that they were in a late successional stage. In terms of algal and cyanobacterial biodiversity, the genera Chloromonas, Coccomyxa, Elliptochloris and Nostoc were identified in all samples regardless of origin confirming their ubiquitous distribution. For the first time, we found the chrysophyte Spumella to be common in polar BSCs as it was present in all analyzed samples. Co-occurrence analysis revealed the presence of sulfur metabolizing microbes indicating that BSCs also play an important role for the sulfur cycle. In general, phototrophs were most abundant within the BSCs but there was also a diverse community of heterotrophs and saprotrophs. Our results show that BSCs are unique microecosystems in polar environments with an unexpectedly high biodiversity.</t>
  </si>
  <si>
    <t>[Rippin, Martin; Lange, Sebastian; Sausen, Nicole; Becker, Burkhard] Univ Cologne, Bot Inst, Zulpicher Str 47B, D-50674 Cologne, Germany</t>
  </si>
  <si>
    <t>University of Cologne</t>
  </si>
  <si>
    <t>Becker, B (corresponding author), Univ Cologne, Bot Inst, Zulpicher Str 47B, D-50674 Cologne, Germany.</t>
  </si>
  <si>
    <t>b.becker@uni-koeln.de</t>
  </si>
  <si>
    <t>Becker, Burkhard/I-4022-2012</t>
  </si>
  <si>
    <t>Becker, Burkhard/0000-0002-7965-1396; Rippin, Martin/0000-0003-4362-0122</t>
  </si>
  <si>
    <t>Deutsche Forschungsgemeinschaft (DFG) within the project 'Polarcrust' [BE1779/18-1, 1158]</t>
  </si>
  <si>
    <t>Deutsche Forschungsgemeinschaft (DFG) within the project 'Polarcrust'(German Research Foundation (DFG))</t>
  </si>
  <si>
    <t>This study was funded by the Deutsche Forschungsgemeinschaft (DFG) within the project 'Polarcrust' (BE1779/18-1) which is part of the Priority Program 1158 'Antarctic Research'.</t>
  </si>
  <si>
    <t>fiy036</t>
  </si>
  <si>
    <t>10.1093/femsec/fiy036</t>
  </si>
  <si>
    <t>WOS:000429481200016</t>
  </si>
  <si>
    <t>Harris, RMB; Remenyi, T; Fox-Hughes, P; Love, P; Bindoff, NL</t>
  </si>
  <si>
    <t>Harris, Rebecca Mary Bernadette; Remenyi, Tomas; Fox-Hughes, Paul; Love, Peter; Bindoff, Nathaniel L.</t>
  </si>
  <si>
    <t>Exploring the Future of Fuel Loads in Tasmania, Australia: Shifts in Vegetation in Response to Changing Fire Weather, Productivity, and Fire Frequency</t>
  </si>
  <si>
    <t>FORESTS</t>
  </si>
  <si>
    <t>climate change; prescribed burning; vegetation change; climate adaptation</t>
  </si>
  <si>
    <t>SEVERITY; FOREST; SMOKE</t>
  </si>
  <si>
    <t>Changes to the frequency of fire due to management decisions and climate change have the potential to affect the flammability of vegetation, with long-term effects on the vegetation structure and composition. Frequent fire in some vegetation types can lead to transformational change beyond which the vegetation type is radically altered. Such feedbacks limit our ability to project fuel loads under future climatic conditions or to consider the ecological tradeoffs associated with management burns. We present a  pathway modelling approach to consider multiple transitional pathways that may occur under different fire frequencies. The model combines spatial layers representing current and future fire danger, biomass, flammability, and sensitivity to fire to assess potential future fire activity. The layers are derived from a dynamically downscaled regional climate model, attributes from a regional vegetation map, and information about fuel characteristics. Fire frequency is demonstrated to be an important factor influencing flammability and availability to burn and therefore an important determinant of future fire activity. Regional shifts in vegetation type occur in response to frequent fire, as the rate of change differs across vegetation type. Fire-sensitive vegetation types move towards drier, more fire-adapted vegetation quickly, as they may be irreversibly impacted by even a single fire, and require very long recovery times. Understanding the interaction between climate change and fire is important to identify appropriate management regimes to sustain fire-sensitive communities and maintain the distribution of broad vegetation types across the landscape.</t>
  </si>
  <si>
    <t>[Harris, Rebecca Mary Bernadette; Remenyi, Tomas; Love, Peter; Bindoff, Nathaniel L.] Univ Tasmania, Antarctic Climate &amp; Ecosyst Cooperat Res Ctr ACE, Hobart, Tas 7001, Australia; [Fox-Hughes, Paul] Bur Meteorol, Hobart, Tas 7001, Australia; [Bindoff, Nathaniel L.] Univ Tasmania, IMAS, Hobart, Tas 7001, Australia; [Bindoff, Nathaniel L.] Univ Tasmania, ARC Ctr Excellence Climate Syst Sci, Hobart, Tas 7001, Australia; [Bindoff, Nathaniel L.] Commonwealth Sci &amp; Ind Res Org CSIRO Marine &amp; Ato, CAWCR, Hobart, Tas 7001, Australia</t>
  </si>
  <si>
    <t>Antarctic Climate &amp; Ecosystems Cooperative Research Centre (ACE CRC); University of Tasmania; Bureau of Meteorology - Australia; University of Tasmania; ARC Centre of Excellence for Climate System Science; University of Tasmania; Commonwealth Scientific &amp; Industrial Research Organisation (CSIRO)</t>
  </si>
  <si>
    <t>Harris, RMB (corresponding author), Univ Tasmania, Antarctic Climate &amp; Ecosyst Cooperat Res Ctr ACE, Hobart, Tas 7001, Australia.</t>
  </si>
  <si>
    <t>rmharris@utas.edu.au; tom.remenyi@utas.edu.au; paul.fox-hughes@bom.gov.au; p.t.love@utas.edu.au; N.Bindoff@utas.edu.au</t>
  </si>
  <si>
    <t>Bindoff, Nathaniel Lee/IVV-0333-2023; Love, Peter/O-6421-2017; Bindoff, Nathaniel Lee/C-8050-2011; Fox-Hughes, Paul D/G-8731-2013; Harris, Rebecca/N-2790-2013</t>
  </si>
  <si>
    <t>Bindoff, Nathaniel Lee/0000-0001-5662-9519; Love, Peter/0000-0001-7840-0467; Bindoff, Nathaniel Lee/0000-0001-5662-9519; Remenyi, Tomas/0000-0002-4145-9323; Harris, Rebecca/0000-0002-6426-2179</t>
  </si>
  <si>
    <t>National Bushfire Mitigation-Tasmanian Grants Program (NBMP); Humboldt Research Fellowship</t>
  </si>
  <si>
    <t>National Bushfire Mitigation-Tasmanian Grants Program (NBMP); Humboldt Research Fellowship(Alexander von Humboldt Foundation)</t>
  </si>
  <si>
    <t>This work was funded by the National Bushfire Mitigation-Tasmanian Grants Program (NBMP). Rebecca Harris was supported in part by a Humboldt Research Fellowship. Jon Marsden-Smedley and Dave Taylor provided guidance and data for fuel accumulation curves and vegetation attributes. Sandra Whight and Paul Black supported the concept and gave valuable insights into the operational implications of prescribed burning regimes in Tasmania. Jayne Balmer (Department of Primary Industries, Parks, Water and Environment) gave ecological advice that helped in translating the TASVEG types into the model.</t>
  </si>
  <si>
    <t>1999-4907</t>
  </si>
  <si>
    <t>Forests</t>
  </si>
  <si>
    <t>10.3390/f9040210</t>
  </si>
  <si>
    <t>Forestry</t>
  </si>
  <si>
    <t>GI9PH</t>
  </si>
  <si>
    <t>WOS:000434856800054</t>
  </si>
  <si>
    <t>Wang, Y; Xiang, P; Kang, JH; Ye, YY; Lin, GM; Yang, QL; Lin, M</t>
  </si>
  <si>
    <t>Wang, Yu; Xiang, Peng; Kang, Jian-hua; Ye, You-yin; Lin, Geng-ming; Yang, Qing-liang; Lin, Mao</t>
  </si>
  <si>
    <t>Microphytoplankton community structure in the western Arctic Ocean: surface layer variability of geographic and temporal considerations in summer</t>
  </si>
  <si>
    <t>HYDROBIOLOGIA</t>
  </si>
  <si>
    <t>Western Arctic Ocean; Microphytoplankton; Community structure; Chl a; Surface layer variability; Geographic and temporal zonation; Ice retreat</t>
  </si>
  <si>
    <t>PHYTOPLANKTON COMMUNITY; SEA-ICE; CHUKCHI SEAS; BARENTS SEA; BERING-SEA; ASSEMBLAGES; DYNAMICS; BLOOMS; ALGAL; CHLOROPHYLL</t>
  </si>
  <si>
    <t>Arctic ocean environments are receiving increasing attention, due to the rapid thinning and recession of marine sea ice caused by climate change. The present study characterizes the structure and chlorophyll a (Chl a) of summer microphytoplankton communities in western Arctic Ocean surface layers, in terms of species composition, periodical succession, geographic distribution, community types, abundance, and Chl a variation during the Fourth Chinese National Arctic Research Expedition (CHINARE, July-September, 2010). Possible effects of environmental forces on microphytoplankton communities were analyzed, and associations with water masses and sea-ice retreat were assessed. Results show high species diversity in surface microphytoplankton communities, with significant geographic and temporal zonation relative to taxonomic composition, species abundance, and Chl a. A total of 153 taxa were identified, distributed among 68 genera of 9 phyla, and cluster analysis and multi-dimensional scaling showed a continual distribution of a distinct shelf assemblage and deep basin assemblage. Average abundance (892.7 x 10(2) cells/l), Chl a (1.63 mg/m(3)), species diversity (2.54), and species richness (19) were established for the shelf assemblage, with dominant species ranked as Navicula pelagica Cleve, Thalassiosira nordenskioeldii Cleve, Chaetoceros diadema (Ehrenberg) Gran, Leptocylindrus danicus Cleve, Pseudo-nitzschia seriata (Cleve) H. Peragallo, Cylindrotheca closterium (Ehrenberg) Reimann &amp; Lewin, Nitzschia longissima (Br,bisson) Ralfs, and Navicula vanhoeffenii Gran. It is of note that a succession from pennate to centric diatom was accompanied by a significantly decreased amplitude of abundance and Chl a, between the inbound and the return voyage across the Chukchi shelf. Comparatively, deep basin assemblage displayed lower values of abundance (27.7 x 10(2) cells/l), Chl a (0.12 mg/m(3)), species diversity (2.49), and species richness (11), and the community was dominated by Thalassionema nitzschioides Grunow and Navicula pelagica Cleve. Silicate and nitrate concentrations were major factors that affected abundance and Chl a variability in both Pearson correlation analysis and canonical correspondence analysis, while the dynamics of oceanic circulation and sea-ice retreat affected summer microphytoplankton community assembly and fluctuations in the surface layer of the western Arctic Ocean.</t>
  </si>
  <si>
    <t>[Wang, Yu; Xiang, Peng; Kang, Jian-hua; Ye, You-yin; Lin, Geng-ming; Yang, Qing-liang; Lin, Mao] State Ocean Adm, Inst Oceanog 3, Lab Marine Biol &amp; Ecol, Xiamen 361005, Peoples R China</t>
  </si>
  <si>
    <t>Third Institute of Oceanography, Ministry of Natural Resources</t>
  </si>
  <si>
    <t>Kang, JH; Lin, M (corresponding author), State Ocean Adm, Inst Oceanog 3, Lab Marine Biol &amp; Ecol, Xiamen 361005, Peoples R China.</t>
  </si>
  <si>
    <t>kangjianhua@tio.org.cn; linmao@tio.org.cn</t>
  </si>
  <si>
    <t>Kang, Jianhua/HJY-4662-2023; Yang, Qingliang/GRY-1981-2022; Wang, Yu/HLP-6716-2023</t>
  </si>
  <si>
    <t>Kang, Jianhua/0000-0001-8105-3195;</t>
  </si>
  <si>
    <t>Ministry of Science and Technology [GASI-01-02-04]; National Natural Science Foundation of China [41506217, 41306115]; Chinese Arctic and Antarctic Administration</t>
  </si>
  <si>
    <t>Ministry of Science and Technology(Spanish Government); National Natural Science Foundation of China(National Natural Science Foundation of China (NSFC)); Chinese Arctic and Antarctic Administration</t>
  </si>
  <si>
    <t>The authors wish to thank Dr. Tang Sen- ming from Hongkong University for fruitful discussion and for helping to revise the manuscript, Prof. Zhao Jinping and Professor Shi Jiuxin of Ocean University of China for temperature and salinity data, Mr. Li Hongliang of Second Institute of Oceanography, SOA for nutrient measurement and Mr. Sun Xiuwu of Third Institute of Oceanography, SOA for DO data. This study was partially supported by the National Natural Science Foundation of China (Project nos. 41506217 and 41306115), the Ministry of Science and Technology (Project nos. GASI-01-02-04). This work was also supported by Chinese Arctic and Antarctic Administration and the crews of the fourth Chinese National Arctic Research Expedition in 2010.</t>
  </si>
  <si>
    <t>0018-8158</t>
  </si>
  <si>
    <t>1573-5117</t>
  </si>
  <si>
    <t>Hydrobiologia</t>
  </si>
  <si>
    <t>10.1007/s10750-017-3500-0</t>
  </si>
  <si>
    <t>FY7YZ</t>
  </si>
  <si>
    <t>WOS:000427080900022</t>
  </si>
  <si>
    <t>Po-Chedley, S; Armour, KC; Bitz, CM; Zelinka, MD; Santer, BD; Fu, Q</t>
  </si>
  <si>
    <t>Po-Chedley, Stephen; Armour, Kyle C.; Bitz, Cecilia M.; Zelinka, Mark D.; Santer, Benjamin D.; Fu, Qiang</t>
  </si>
  <si>
    <t>Sources of Intermodel Spread in the Lapse Rate and Water Vapor Feedbacks</t>
  </si>
  <si>
    <t>Climate change; Climate sensitivity; Climate models</t>
  </si>
  <si>
    <t>GENERAL-CIRCULATION MODELS; HIGH-LATITUDE CLIMATE; ARCTIC SEA-ICE; POLAR AMPLIFICATION; TROPOSPHERIC TEMPERATURE; RADIATIVE FEEDBACKS; RELATIVE-HUMIDITY; EVOLVING PATTERNS; CO2 CONCENTRATION; ATMOSPHERIC CO2</t>
  </si>
  <si>
    <t>Sources of intermodel differences in the global lapse rate (LR) and water vapor (WV) feedbacks are assessed using CO2 forcing simulations from 28 general circulation models. Tropical surface warming leads to significant warming and moistening in the tropical and extratropical upper troposphere, signifying a nonlocal, tropical influence on extratropical radiation and feedbacks. Model spread in the locally defined LR and WV feedbacks is pronounced in the Southern Ocean because of large-scale ocean upwelling, which reduces surface warming and decouples the surface from the tropospheric response. The magnitude of local extratropical feedbacks across models and over time is well characterized using the ratio of tropical to extratropical surface warming. It is shown that model differences in locally defined LR and WV feedbacks, particularly over the southern extratropics, drive model variability in the global feedbacks. The cross-model correlation between the global LR and WV feedbacks therefore does not arise from their covariation in the tropics, but rather from the pattern of warming exerting a common control on extratropical feedback responses. Because local feedbacks over the Southern Hemisphere are an important contributor to the global feedback, the partitioning of surface warming between the tropics and the southern extratropics is a key determinant of the spread in the global LR and WV feedbacks. It is also shown that model Antarctic sea ice climatology influences sea ice area changes and southern extratropical surface warming. As a result, model discrepancies in climatological Antarctic sea ice area have a significant impact on the intermodel spread of the global LR and WV feedbacks.</t>
  </si>
  <si>
    <t>[Po-Chedley, Stephen; Zelinka, Mark D.; Santer, Benjamin D.] Lawrence Livermore Natl Lab, Livermore, CA 94550 USA; [Armour, Kyle C.; Bitz, Cecilia M.; Fu, Qiang] Univ Washington, Dept Atmospher Sci, Seattle, WA 98195 USA; [Armour, Kyle C.] Univ Washington, Sch Oceanog, Seattle, WA 98195 USA</t>
  </si>
  <si>
    <t>United States Department of Energy (DOE); Lawrence Livermore National Laboratory; University of Washington; University of Washington Seattle; University of Washington; University of Washington Seattle</t>
  </si>
  <si>
    <t>Po-Chedley, S (corresponding author), Lawrence Livermore Natl Lab, Livermore, CA 94550 USA.</t>
  </si>
  <si>
    <t>pochedley1@llnl.gov</t>
  </si>
  <si>
    <t>Zelinka, Mark/C-4627-2011; Bitz, Cecilia M/S-8423-2016; Santer, Benjamin D/F-9781-2011; Santer, Ben/ABA-1099-2021; Fu, Qiang/W-5836-2019; Po-Chedley, Stephen/O-3450-2019; Po-Chedley, Stephen/E-9706-2013</t>
  </si>
  <si>
    <t>Zelinka, Mark/0000-0002-6570-5445; Po-Chedley, Stephen/0000-0002-0390-238X; Bitz, Cecilia/0000-0002-9477-7499</t>
  </si>
  <si>
    <t>National Science Foundation [AGS-1624881]; UW IGERT Program on Ocean Change (NSF) [1068839]; NASA [NNX13AN49G]; NSF [PLR-1341497]; U. S. Department of Energy (DOE) by LLNL [DE-AC52-07NA27344]; LLNL-LDRD Program [18-ERD-054]; Regional and Global Climate Modeling Program of the DOE Office of Science; Division Of Graduate Education; Direct For Education and Human Resources [1068839] Funding Source: National Science Foundation; Office of Polar Programs (OPP); Directorate For Geosciences [1341497] Funding Source: National Science Foundation</t>
  </si>
  <si>
    <t>National Science Foundation(National Science Foundation (NSF)); UW IGERT Program on Ocean Change (NSF); NASA(National Aeronautics &amp; Space Administration (NASA)); NSF(National Science Foundation (NSF)); U. S. Department of Energy (DOE) by LLNL(United States Department of Energy (DOE)); LLNL-LDRD Program; Regional and Global Climate Modeling Program of the DOE Office of Science; Division Of Graduate Education; Direct For Education and Human Resources(National Science Foundation (NSF)NSF - Directorate for STEM Education (EDU)); Office of Polar Programs (OPP); Directorate For Geosciences(National Science Foundation (NSF)NSF - Directorate for Geosciences (GEO))</t>
  </si>
  <si>
    <t>S. P. was supported by the National Science Foundation (AGS-1624881) and the UW IGERT Program on Ocean Change (NSF Award 1068839). S. P. and Q. F. are also supported by the NASA Grant NNX13AN49G. C. M. B was supported by NSF PLR-1341497. The work of S. P., B. D. S., and M. D. Z. was performed under the auspices of the U. S. Department of Energy (DOE) by LLNL under Contract DE-AC52-07NA27344. Additional support was provided by the LLNL-LDRD Program under Project 18-ERD-054. M. D. Z. and B. D. S. are supported by the Regional and Global Climate Modeling Program of the DOE Office of Science. We acknowledge the World Climate Research Programme's Working Group on Coupled Modelling, which is responsible for CMIP, and we thank the climate modeling groups [see Caldwell et al. (2016) for a complete list] for producing and making available their model output. For CMIP, the U. S. Department of Energy's Program for Climate Model Diagnosis and Intercomparison provides coordinating support and led development of software infrastructure in partnership with the Global Organization for Earth System Science Portals. We thank Karl Taylor, Timothy Cronin, and two anonymous reviewers for providing helpful feedback on the manuscript.</t>
  </si>
  <si>
    <t>10.1175/JCLI-D-17-0674.1</t>
  </si>
  <si>
    <t>WOS:000428694000013</t>
  </si>
  <si>
    <t>Knight, K</t>
  </si>
  <si>
    <t>Knight, Kathryn</t>
  </si>
  <si>
    <t>Gigantic Antarctic sea spiders need pores to breathe</t>
  </si>
  <si>
    <t>kathryn.knight@biologists.com</t>
  </si>
  <si>
    <t>jeb181859</t>
  </si>
  <si>
    <t>10.1242/jeb.181859</t>
  </si>
  <si>
    <t>WOS:000438909900025</t>
  </si>
  <si>
    <t>Lei, RB; Cheng, B; Heil, P; Vihma, T; Wang, J; Ji, Q; Zhang, ZH</t>
  </si>
  <si>
    <t>Lei, Ruibo; Cheng, Bin; Heil, Petra; Vihma, Timo; Wang, Jia; Ji, Qing; Zhang, Zhanhai</t>
  </si>
  <si>
    <t>Seasonal and Interannual Variations of Sea Ice Mass Balance From the Central Arctic to the Greenland Sea</t>
  </si>
  <si>
    <t>sea ice; snow; mass balance; oceanic heat flux; Arctic outflow region; Fram Strait</t>
  </si>
  <si>
    <t>OCEANIC HEAT-FLUX; SURFACE CONDITIONS; BUOY; MELT; SUMMER; SYSTEM; GROWTH; COVER</t>
  </si>
  <si>
    <t>The seasonal evolution of sea ice mass balance between the Central Arctic and Fram Strait, as well as the underlying driving forces, remain largely unknown because of a lack of observations. In this study, two and three buoys were deployed in the Central Arctic during the summers of 2010 and 2012, respectively. It was established that basal ice growth commenced between mid-October and early December. Annual basal ice growth, ranging from 0.21 to 1.14 m, was determined mainly by initial ice thickness, air temperature, and oceanic heat flux during winter. An analytic thermodynamic model indicated that climate warming reduces the winter growth rate of thin ice more than for thick ice because of the weak thermal inertia of the former. Oceanic heat flux during the freezing season was 2-4 W m(-2), which accounted for 18-31% of the basal ice energy balance. We identified two mechanisms that modified the oceanic heat flux, i.e., solar energy absorbed by the upper ocean during summer, and interaction with warm waters south of Fram Strait; the latter resulted in basal ice melt, even in winter. In summer 2010, ice loss in the Central Arctic was considerable, which led to increased oceanic heat flux into winter and delayed ice growth. The Transpolar Drift Stream was relatively weak in summer 2013. This reduced sea ice advection out of the Arctic Ocean, and it restrained ice melt because of the cool atmospheric conditions, weakened albedo feedback, and relatively small oceanic heat flux in the north.</t>
  </si>
  <si>
    <t>[Lei, Ruibo; Zhang, Zhanhai] Polar Res Inst China, SOA Key Lab Polar Sci, Shanghai, Peoples R China; [Cheng, Bin; Vihma, Timo] Finnish Meteorol Inst, Helsinki, Finland; [Heil, Petra] Australian Antarctic Div, Hobart, Tas, Australia; [Heil, Petra] Univ Tasmania, Antarctic Climate &amp; Ecosyst Cooperat Res Ctr, Hobart, Tas, Australia; [Wang, Jia] NOAA, Great Lakes Environm Res Lab, 2205 Commonwealth Blvd, Ann Arbor, MI 48105 USA; [Ji, Qing] Wuhan Univ, Chinese Antarctic Ctr Surveying &amp; Mapping, Wuhan, Hubei, Peoples R China</t>
  </si>
  <si>
    <t>Polar Research Institute of China; Finnish Meteorological Institute; Australian Antarctic Division; Antarctic Climate &amp; Ecosystems Cooperative Research Centre (ACE CRC); University of Tasmania; National Oceanic Atmospheric Admin (NOAA) - USA; Wuhan University</t>
  </si>
  <si>
    <t>Lei, RB (corresponding author), Polar Res Inst China, SOA Key Lab Polar Sci, Shanghai, Peoples R China.</t>
  </si>
  <si>
    <t>leiruibo@pric.org.cn</t>
  </si>
  <si>
    <t>Vihma, Timo/ABC-9771-2020</t>
  </si>
  <si>
    <t>Heil, Petra/0000-0003-2078-0342; Wang, Jia/0000-0003-4154-9721</t>
  </si>
  <si>
    <t>National Key Research and Development Program [2016YFC14003]; National Natural Science Foundation of China [41476170/41722605]; Academy of Finland [283101]; Antarctic Climate and Ecosystems CRC Program; AAS [4301]; NOAA CPO Office of Arctic Research; Academy of Finland (AKA) [283101] Funding Source: Academy of Finland (AKA)</t>
  </si>
  <si>
    <t>National Key Research and Development Program; National Natural Science Foundation of China(National Natural Science Foundation of China (NSFC)); Academy of Finland(Research Council of Finland); Antarctic Climate and Ecosystems CRC Program(Australian GovernmentDepartment of Industry, Innovation and ScienceCooperative Research Centres (CRC) Programme); AAS; NOAA CPO Office of Arctic Research(National Oceanic Atmospheric Admin (NOAA) - USA); Academy of Finland (AKA)</t>
  </si>
  <si>
    <t>Passive microwave ice concentrations were provided by the University of Bremen. The T2M data from the ERA-Interim reanalysis have been obtained from the ECMWF. The IABP is acknowledged for providing data for buoy I2418 (http://iabp.apl.washington.edu), and the DAMOCLES project is recognized for supplying data for IMB 2006D (https://imb.erdc.dren.mil). This work was supported by grants from the National Key Research and Development Program (2016YFC14003) and National Natural Science Foundation of China (41476170/41722605). B.C. and T.V. were funded by the Academy of Finland (283101). P.H. was supported by the Antarctic Climate and Ecosystems CRC Program and AAS grant 4301. J.W. was supported by the NOAA CPO Office of Arctic Research. Buoy data are available at the Chinese National Arctic and Antarctic Data Center (http://www.chinare.org.cn/difDetailPublic/?id58721).</t>
  </si>
  <si>
    <t>10.1002/2017JC013548</t>
  </si>
  <si>
    <t>WOS:000434131900007</t>
  </si>
  <si>
    <t>Knox, HA; Chaput, JA; Aster, RC; Kyle, PR</t>
  </si>
  <si>
    <t>Knox, H. A.; Chaput, J. A.; Aster, R. C.; Kyle, P. R.</t>
  </si>
  <si>
    <t>Multiyear Shallow Conduit Changes Observed With Lava Lake Eruption Seismograms at Erebus Volcano, Antarctica</t>
  </si>
  <si>
    <t>JOURNAL OF GEOPHYSICAL RESEARCH-SOLID EARTH</t>
  </si>
  <si>
    <t>volcano seismology</t>
  </si>
  <si>
    <t>PERIOD SEISMIC SIGNALS; STROMBOLIAN ERUPTIONS; ACOUSTIC OBSERVATIONS; ROSS ISLAND; SLOW WAVES; MAGMAS; FLUID; INVERSIONS; EXPLOSIONS; FRACTURES</t>
  </si>
  <si>
    <t>We analyze near-repeating broadband seismograms from nearly 3,000 eruptions (2003-2011) from the Erebus volcano lava lake to investigate temporal changes in the shallow eruptive dynamics of an open conduit volcano. Cross-correlation analysis reveals progressive variable time lags between correlation-aligned short period (SP) and very long period (VLP) seismogram components ranging over approximately 1s and evolving over weeks to months. Lava lake eruptions both excite an SP explosion seismic signal and gravitationally unload the conduit. After a delay of several seconds, this unloading excites a posteruptive, minute-long VLP seismic signal that persist for several minutes until the lava lake is refilled. VLP-SP lag variations are consistent across multiple seismic stations and are independent of eruption size, spectral characteristics, eruption frequency, and lava lake morphology changes. Lag changes are interpreted in terms of variable communication time between eruptions and the subsequent elastic and gravitational response of a tomographically imaged near-summit magma storage and VLP source region several hundred meters below the lava lake. Tomographic and VLP moment tensor studies, combined with modeling, suggest that the elastodynamic communication time between the distinct SP and VLP source regions is mediated by conduit-guided Stoneley waves within the uppermost magma-filled conduit system that are sensitive to small shallow conduit geometry changes. Conduit geometry changes may be driven by internal or external processes, including conduit wall melting and refreezing, repeated eruptive slug erosion, and deformation from inner crater inflation or collapse. Plain Language Summary We observed 8years of eruptions from the lava lake of Mount Erebus, Antarctica, with near-summit seismographs. Analysis of these generally similar seismograms reveals progressive changes that reflect changes within the near-summit volcano magma system and conduit. We model these changes to show how subtle evolution in the conduit geometry can explain the observed observations. This methodology shows how near-repeating seismic signals can be used to monitor progressive structural evolution within the interior of an active volcano.</t>
  </si>
  <si>
    <t>[Knox, H. A.] Sandia Natl Labs, Geophys &amp; Atmospher Sci, POB 5800, Albuquerque, NM 87185 USA; [Chaput, J. A.] Colorado State Univ, Dept Math, Ft Collins, CO 80523 USA; [Aster, R. C.] Colorado State Univ, Dept Geosci, Ft Collins, CO 80523 USA; [Aster, R. C.] Colorado State Univ, Warner Coll Nat Resources, Ft Collins, CO 80523 USA; [Kyle, P. R.] New Mexico Inst Min &amp; Technol, Dept Earth &amp; Environm Sci, Socorro, NM 87801 USA</t>
  </si>
  <si>
    <t>United States Department of Energy (DOE); Sandia National Laboratories; Colorado State University; Colorado State University; Colorado State University; New Mexico Institute of Mining Technology</t>
  </si>
  <si>
    <t>Aster, RC (corresponding author), Colorado State Univ, Dept Geosci, Ft Collins, CO 80523 USA.;Aster, RC (corresponding author), Colorado State Univ, Warner Coll Nat Resources, Ft Collins, CO 80523 USA.</t>
  </si>
  <si>
    <t>Rick.Aster@colostate.edu</t>
  </si>
  <si>
    <t>Aster, Richard/E-5067-2013</t>
  </si>
  <si>
    <t>Aster, Richard/0000-0002-0821-4906</t>
  </si>
  <si>
    <t>National Science Foundation [EAR-1261681, OPP-0229305, ANT-0538414, ANT-0838817, ANT-1142083]; NSF Office of Polar Programs; DOE National Nuclear Security Administration; U.S. Antarctic Program; New Mexico Institute of Mining and Technology Research and Economic Development; U.S. Department of EnergyOs National Nuclear Security Administration [DE-NA0003525]</t>
  </si>
  <si>
    <t>National Science Foundation(National Science Foundation (NSF)); NSF Office of Polar Programs(National Science Foundation (NSF)); DOE National Nuclear Security Administration(National Nuclear Security AdministrationUnited States Department of Energy (DOE)); U.S. Antarctic Program; New Mexico Institute of Mining and Technology Research and Economic Development; U.S. Department of EnergyOs National Nuclear Security Administration</t>
  </si>
  <si>
    <t>We thank UNAVCO and the IRIS PASSCAL Instrument Center at New Mexico Tech for facility support and field assistance on Mount Erebus. Data are archived and available at the IRIS Consortium Data Management Center. The facilities of the IRIS Consortium are supported by the National Science Foundation under Cooperative Agreement EAR-1261681, the NSF Office of Polar Programs and the DOE National Nuclear Security Administration. We thank the many Raytheon Polar Services Company individuals and groups at McMurdo and within USAP who made this field effort possible. This research was supported by National Science Foundation awards OPP-0229305, ANT-0538414, ANT-0838817, and ANT-1142083, by the U.S. Antarctic Program and its support contractors, and by New Mexico Institute of Mining and Technology Research and Economic Development. Sandia National Laboratories is a multimission laboratory managed and operated by National Technology and Engineering Solutions of Sandia LLC, a wholly owned subsidiary of Honeywell International Inc. for the U.S. Department of EnergyOs National Nuclear Security Administration under contract DE-NA0003525.</t>
  </si>
  <si>
    <t>2169-9313</t>
  </si>
  <si>
    <t>2169-9356</t>
  </si>
  <si>
    <t>J GEOPHYS RES-SOL EA</t>
  </si>
  <si>
    <t>J. Geophys. Res.-Solid Earth</t>
  </si>
  <si>
    <t>10.1002/2017JB015045</t>
  </si>
  <si>
    <t>GI1MD</t>
  </si>
  <si>
    <t>WOS:000434133700036</t>
  </si>
  <si>
    <t>Graly, JA; Licht, KJ; Kassab, CM; Bird, BW; Kaplan, MR</t>
  </si>
  <si>
    <t>Graly, Joseph A.; Licht, Kathy J.; Kassab, Christine M.; Bird, Broxton W.; Kaplan, Michael R.</t>
  </si>
  <si>
    <t>Warm-based basal sediment entrainment and far-field Pleistocene origin evidenced in central Transantarctic blue ice through stable isotopes and internal structures</t>
  </si>
  <si>
    <t>blue ice; ice core; subglacial processes; subglacial sediments</t>
  </si>
  <si>
    <t>SUBGLACIAL SEDIMENT; DEBRIS ENTRAINMENT; OXYGEN-ISOTOPE; OLD ICE; DELTA-D; ANTARCTICA; SHEET; GLACIERS; CORE; RECORDS</t>
  </si>
  <si>
    <t>Stable isotopes of water (delta O-18 and delta H-2) were measured in the debris-laden ice underlying an Antarctic blue ice moraine, and in adjoining Law Glacier in the central Transantarctic Mountains. Air bubble content and morphology were assessed in shallow ice core samples. Stable isotope measurements plot either on the meteoric waterline or are enriched from it. The data cluster in two groups: the ice underlying the moraine has a delta H-2:delta O-18 slope of 5.35 +/- 0.92; ice from adjoining portions of Law Glacier has a slope of 6.69 +/- 1.39. This enrichment pattern suggests the moraine's underlying blue ice entrained sediment through refreezing processes acting in an open system. Glaciological conditions favorable to warm-based sediment entrainment occur 30-50 km upstream. Basal melting and refreezing are further evidenced by abundant vapor figures formed from internal melting of the ice crystals. Both the moraine ice and Law Glacier are sufficiently depleted of heavy isotopes that their ice cannot be sourced locally, but instead must be derived from far-field interior regions of the higher polar plateau. Modeled ice flow speeds suggest the ice must be at least 80 ka old, with Law Glacier's ice possibly dating to OIS 5 and moraine ice older still.</t>
  </si>
  <si>
    <t>[Graly, Joseph A.; Licht, Kathy J.; Kassab, Christine M.; Bird, Broxton W.] Indiana Univ Purdue Univ, Dept Earth Sci, Indianapolis, IN 46202 USA; [Kaplan, Michael R.] Lamont Doherty Earth Observ, Palisades, NY USA</t>
  </si>
  <si>
    <t>jgraly@iupui.edu</t>
  </si>
  <si>
    <t>National Science Foundation Antarctic [PLR-1443433, PLR-1443213]; LDEO [8190]; Directorate For Geosciences; Office of Polar Programs (OPP) [1443213] Funding Source: National Science Foundation</t>
  </si>
  <si>
    <t>National Science Foundation Antarctic; LDEO; Directorate For Geosciences; Office of Polar Programs (OPP)(National Science Foundation (NSF)NSF - Directorate for Geosciences (GEO))</t>
  </si>
  <si>
    <t>This work was supported by National Science Foundation Antarctic grants PLR-1443433 and PLR-1443213. The US Antarctic Program, Kenn Borek Air, Ltd., and field team members P. Braddock and K. Lindback are gratefully acknowledged for field and laboratory support. W. Propes performed the stable isotope analyses. K. Joy and C. Schrader collected and prepared the ANSMET ice water samples from 2012. Three thoughtful reviews and editorial handling by Michelle Koutnik and Hester Jiskoot improved the manuscript. This is LDEO contribution #8190.</t>
  </si>
  <si>
    <t>10.1017/jog.2018.4</t>
  </si>
  <si>
    <t>gold, Green Published, Green Accepted</t>
  </si>
  <si>
    <t>WOS:000430422000002</t>
  </si>
  <si>
    <t>Parker, RWR; Blanchard, JL; Gardner, C; Green, BS; Hartmann, K; Tyedmers, PH; Watson, RA</t>
  </si>
  <si>
    <t>Parker, Robert W. R.; Blanchard, Julia L.; Gardner, Caleb; Green, Bridget S.; Hartmann, Klaas; Tyedmers, Peter H.; Watson, Reg A.</t>
  </si>
  <si>
    <t>Fuel use and greenhouse gas emissions of world fisheries</t>
  </si>
  <si>
    <t>LIFE-CYCLE ASSESSMENT; GLOBAL FISHERIES; CARBON FOOTPRINT; EFFICIENCY; FISH; OIL; PRODUCTS; IMPACTS; PRICE</t>
  </si>
  <si>
    <t>Food production is responsible for a quarter of anthropogenic greenhouse gas (GHG) emissions globally. Marine fisheries are typically excluded from global assessments of GHGs or are generalized based on a limited number of case studies. Here we quantify fuel inputs and GHG emissions for the global fishing fleet from 1990-2011 and compare emissions from fisheries to those from agriculture and livestock production. We estimate that fisheries consumed 40 billion litres of fuel in 2011 and generated a total of 179 million tonnes of CO2-equivalent GHGs (4% of global food production). Emissions from the global fishing industry grew by 28% between 1990 and 2011, with little coinciding increase in production (average emissions per tonne landed grew by 21%). Growth in emissions was driven primarily by increased harvests from fuel-intensive crustacean fisheries. The environmental benefit of low-carbon fisheries could be further realized if a greater proportion of landings were directed to human consumption rather than industrial uses.</t>
  </si>
  <si>
    <t>[Parker, Robert W. R.; Blanchard, Julia L.; Gardner, Caleb; Green, Bridget S.; Hartmann, Klaas; Watson, Reg A.] Univ Tasmania, Inst Marine &amp; Antarctic Studies, Hobart, Tas, Australia; [Parker, Robert W. R.] Univ British Columbia, Inst Oceans &amp; Fisheries, Vancouver, BC, Canada; [Blanchard, Julia L.; Watson, Reg A.] Univ Tasmania, Ctr Marine Socioecol, Hobart, Tas, Australia; [Tyedmers, Peter H.] Dalhousie Univ, Sch Resource &amp; Environm Studies, Halifax, NS, Canada; [Tyedmers, Peter H.] Dalhousie Univ, Coll Sustainabil, Halifax, NS, Canada</t>
  </si>
  <si>
    <t>University of Tasmania; University of British Columbia; University of Tasmania; Dalhousie University; Dalhousie University</t>
  </si>
  <si>
    <t>Parker, RWR (corresponding author), Univ Tasmania, Inst Marine &amp; Antarctic Studies, Hobart, Tas, Australia.;Parker, RWR (corresponding author), Univ British Columbia, Inst Oceans &amp; Fisheries, Vancouver, BC, Canada.</t>
  </si>
  <si>
    <t>r.parker@oceans.ubc.ca</t>
  </si>
  <si>
    <t>Watson, Reg A/F-4850-2012; Hartmann, Klaas/B-3991-2008; Tyedmers, Peter/N-1334-2019; Blanchard, Julia L/E-4919-2010; Gardner, Caleb/I-7086-2013</t>
  </si>
  <si>
    <t>Watson, Reg A/0000-0001-7201-8865; Tyedmers, Peter/0000-0002-5150-0756; Blanchard, Julia/0000-0003-0532-4824; Gardner, Caleb/0000-0003-0324-4337</t>
  </si>
  <si>
    <t>Australian Seafood Cooperative Research Centre [100596]; Natural Sciences and Engineering Research Council of Canada [PDF-487958-2016]; Australian Research Council [DP140101377]</t>
  </si>
  <si>
    <t>Australian Seafood Cooperative Research Centre(Australian GovernmentDepartment of Industry, Innovation and ScienceCooperative Research Centres (CRC) Programme); Natural Sciences and Engineering Research Council of Canada(Natural Sciences and Engineering Research Council of Canada (NSERC)CGIAR); Australian Research Council(Australian Research Council)</t>
  </si>
  <si>
    <t>Research funding was provided by the Australian Seafood Cooperative Research Centre (Project 100596). R.W.R.P. acknowledges support from the Natural Sciences and Engineering Research Council of Canada (PDF-487958-2016). R.A.W. acknowledges support from the Australian Research Council (Discovery project DP140101377).</t>
  </si>
  <si>
    <t>10.1038/s41558-018-0117-x</t>
  </si>
  <si>
    <t>WOS:000429194600021</t>
  </si>
  <si>
    <t>Stocchi, P; Vacchi, M; Lorscheid, T; de Boer, B; Simms, AR; van de Wal, RSW; Vermeersen, BLA; Pappalardo, M; Rovere, A</t>
  </si>
  <si>
    <t>Stocchi, Paolo; Vacchi, Matteo; Lorscheid, Thomas; de Boer, Bas; Simms, Alexander R.; van de Wal, Roderik S. W.; Vermeersen, Bert L. A.; Pappalardo, Marta; Rovere, Alessio</t>
  </si>
  <si>
    <t>MIS 5e relative sea-level changes in the Mediterranean Sea: Contribution of isostatic disequilibrium</t>
  </si>
  <si>
    <t>Pleistocene; Sea level changes; Mediterranean Sea; Geomorphology; Coastal</t>
  </si>
  <si>
    <t>ICE-SHEET; CLIMATE CHANGES; ATLANTIC COASTS; HIGH STAND; OIS 5E; INDICATORS; QUATERNARY; MODEL; RISE; PERSPECTIVES</t>
  </si>
  <si>
    <t>Sea-level indicators dated to the Last Interglacial, or Marine Isotope Stage (MIS) 5e, have a twofold value. First, they can be used to constrain the melting of Greenland and Antarctic Ice Sheets in response to global warming scenarios. Second, they can be used to calculate the vertical crustal rates at active margins. For both applications, the contribution of glacio- and hydro-isostatic adjustment (GIA) to vertical displacement of sea-level indicators must be calculated. In this paper, we re-assess MIS 5e sea-level indicators at 11 Mediterranean sites that have been generally considered tectonically stable or affected by mild tectonics. These are found within a range of elevations of 2-10 m above modern mean sea level. Four sites are characterized by two separate sea-level stands, which suggest a two-step sea-level highstand during MIS 5e. Comparing field data with numerical modeling we show that (i) GIA is an important contributor to the spatial and temporal variability of the sea-level highstand during MIS 5e, (ii) the isostatic imbalance from the melting of the MIS 6 ice sheet can produce a &gt;2.0 m sea-level highstand, and (iii) a two-step melting phase for the Greenland and Antarctic Ice Sheets reduces the differences between observations and predictions. Our results show that assumptions of tectonic stability on the basis of the MIS 5e records carry intrinsically large uncertainties, stemming either from uncertainties in field data and GIA models. The latter are propagated to either Holocene or Pleistocene sea-level reconstructions if tectonic rates are considered linear through time. (C) 2018 Elsevier Ltd. All rights reserved.</t>
  </si>
  <si>
    <t>[Stocchi, Paolo] NIOZ Royal Netherlands Inst Sea Res, Coastal Syst TX, POB 59, NL-1790 AB Den Burg, Texel, Netherlands; [Stocchi, Paolo] Univ Utrecht, POB 59, NL-1790 AB Den Burg, Texel, Netherlands; [Vacchi, Matteo] Univ Exeter, Coll Life &amp; Environm Sci, Geog, Exeter EX4 4RJ, Devon, England; [Lorscheid, Thomas; Rovere, Alessio] Univ Bremen, MARUM Ctr Marine Environm Sci, Leobener Str 8, D-28359 Bremen, Germany; [Lorscheid, Thomas; Rovere, Alessio] ZMT Leibniz Ctr Trop Marine Res, Fahrenheitstr 6, D-28359 Bremen, Germany; [de Boer, Bas; van de Wal, Roderik S. W.] Univ Utrecht, IMAU Inst Marine &amp; Atmospher Res Utrecht, Utrecht, Netherlands; [Simms, Alexander R.] Univ Calif Santa Barbara, Santa Barbara, CA 93106 USA; [Vermeersen, Bert L. A.] Univ Utrecht, NIOZ Royal Netherlands Inst Sea Res Estuarine &amp; D, Korringaweg 7, NL-4401 NT Yerseke, Netherlands; [Vermeersen, Bert L. A.] Delft Univ Technol, Fac Aerosp Engn, Delft, Netherlands; [Pappalardo, Marta] Univ Pisa, Dipartimento Sci Terra, Pisa, Italy</t>
  </si>
  <si>
    <t>Utrecht University; Royal Netherlands Institute for Sea Research (NIOZ); Utrecht University; University of Exeter; University of Bremen; Leibniz Zentrum fur Marine Tropenforschung (ZMT); Utrecht University; University of California System; University of California Santa Barbara; Utrecht University; Delft University of Technology; University of Pisa</t>
  </si>
  <si>
    <t>Stocchi, P (corresponding author), NIOZ Royal Netherlands Inst Sea Res, Coastal Syst TX, POB 59, NL-1790 AB Den Burg, Texel, Netherlands.;Stocchi, P (corresponding author), Univ Utrecht, POB 59, NL-1790 AB Den Burg, Texel, Netherlands.</t>
  </si>
  <si>
    <t>Paolo.Stocchi@nioz.nl</t>
  </si>
  <si>
    <t>IPO, PAGES/JXY-7546-2024; Simms, Alexander R/E-5609-2012; van de wal, roderik/D-1705-2011; Rovere, Alessio/C-4262-2011; Vacchi, Matteo/E-1622-2011; Lorscheid, Thomas/C-9427-2017</t>
  </si>
  <si>
    <t>van de wal, roderik/0000-0003-2543-3892; Simms, Alexander/0000-0001-5034-2189; de Boer, Bas/0000-0002-3696-6654; Rovere, Alessio/0000-0001-5575-1168; Stocchi, Paolo/0000-0002-1377-3817; Vacchi, Matteo/0000-0002-1569-7862; Lorscheid, Thomas/0000-0002-4796-3053</t>
  </si>
  <si>
    <t>Institutional Strategy of the University of Bremen - German Excellence Initiative the ZMT, the Leibniz Centre for Tropical Marine Research [ABPZuK-03/2014]; NWO Earth and Life Sciences (ALW) [863.15.019]; PLIOMAX (NSF grant) [OCE-1202632]; MOPP-MEDFLOOD - Modeling Paleo Processes (INQUA CMP project) [1203P, 1603P]; Division Of Earth Sciences; Directorate For Geosciences [1440015] Funding Source: National Science Foundation</t>
  </si>
  <si>
    <t>Institutional Strategy of the University of Bremen - German Excellence Initiative the ZMT, the Leibniz Centre for Tropical Marine Research; NWO Earth and Life Sciences (ALW); PLIOMAX (NSF grant); MOPP-MEDFLOOD - Modeling Paleo Processes (INQUA CMP project); Division Of Earth Sciences; Directorate For Geosciences(National Science Foundation (NSF)NSF - Directorate for Geosciences (GEO))</t>
  </si>
  <si>
    <t>AR and TL's research is financially supported by the Institutional Strategy of the University of Bremen, funded by the German Excellence Initiative [ABPZuK-03/2014] the ZMT, the Leibniz Centre for Tropical Marine Research. BdB is funded by NWO Earth and Life Sciences (ALW), project 863.15.019. The authors acknowledge USSP Urbino Summer School in Paleoclimatology (Urbino, Italy), MOPP-MEDFLOOD - Modeling Paleo Processes (INQUA CMP projects 1203P and 1603P), PALSEA (PAGES/INQUA working group) and PAIS 2017 (Trieste, Italy), for the useful discussions. The field visit of A. Rovere to Pianosa was sponsored by PLIOMAX (NSF grant OCE-1202632). We are grateful to E Antonioli, M. Firpo, J.J. Fornos, E. Galili, L Gomez-Pujol, Ej. Hearty, D. Sivan, L Foresi and G. Comamusini for field visits, useful discussions and insights on some of the sites mentioned in this text.</t>
  </si>
  <si>
    <t>10.1016/j.quascirev.2018.01.004</t>
  </si>
  <si>
    <t>WOS:000428830400009</t>
  </si>
  <si>
    <t>Shprits, YY; Zhelavskaya, IS; Green, JC; Pulkkinen, AA; Horne, RB; Pitchford, D; O'Brien, TP; Glover, A</t>
  </si>
  <si>
    <t>Shprits, Yuri Y.; Zhelavskaya, Irina S.; Green, Janet C.; Pulkkinen, Antti A.; Horne, Richard B.; Pitchford, David; O'Brien, T. Paul; Glover, Alexi</t>
  </si>
  <si>
    <t>Discussions on Stakeholder Requirements for Space Weather-Related ModelsTaxonomyNumbers</t>
  </si>
  <si>
    <t>SPACE WEATHER-THE INTERNATIONAL JOURNAL OF RESEARCH AND APPLICATIONS</t>
  </si>
  <si>
    <t>7924; 7934; 7959</t>
  </si>
  <si>
    <t>Participants of the 2017 European Space Weather Week in Ostend, Belgium, discussed the stakeholder requirements for space weather-related models. It was emphasized that stakeholders show an increased interest in space weather-related models. Participants of the meeting discussed particular prediction indicators that can provide first-order estimates of the impact of space weather on engineering systems.</t>
  </si>
  <si>
    <t>[Shprits, Yuri Y.; Zhelavskaya, Irina S.] Helmholtz Ctr Potsdam, GFZ German Res Ctr Geosci, Potsdam, Germany; [Shprits, Yuri Y.] Univ Potsdam, Inst Phys &amp; Astron, Potsdam, Germany; [Green, Janet C.] Space Hazards Applicat LLC, Golden, CO USA; [Pulkkinen, Antti A.] NASA, Goddard Space Flight Ctr, Greenbelt, MD USA; [Horne, Richard B.] British Antarctic Survey, Cambridge, England; [Pitchford, David] SES Engn, Betzdorf, Luxembourg; [O'Brien, T. Paul] Aerosp Corp, El Segundo, CA 90245 USA; [Glover, Alexi] European Space Agcy, Darmstadt, Germany</t>
  </si>
  <si>
    <t>Helmholtz Association; Helmholtz-Center Potsdam GFZ German Research Center for Geosciences; University of Potsdam; National Aeronautics &amp; Space Administration (NASA); NASA Goddard Space Flight Center; UK Research &amp; Innovation (UKRI); Natural Environment Research Council (NERC); NERC British Antarctic Survey; Aerospace Corporation - USA; European Space Agency</t>
  </si>
  <si>
    <t>Shprits, YY (corresponding author), Helmholtz Ctr Potsdam, GFZ German Res Ctr Geosci, Potsdam, Germany.;Shprits, YY (corresponding author), Univ Potsdam, Inst Phys &amp; Astron, Potsdam, Germany.</t>
  </si>
  <si>
    <t>yshprits@gfz-potsdam.de</t>
  </si>
  <si>
    <t>Horne, Richard B/U-3764-2019; Shprits, Yuri Y/I-2174-2014</t>
  </si>
  <si>
    <t>Horne, Richard B/0000-0002-0412-6407; Shprits, Yuri/0000-0002-9625-0834; Green, Janet/0000-0002-1895-1264; Zhelavskaya, Irina/0000-0002-7029-5372</t>
  </si>
  <si>
    <t>NERC [NE/P01738X/1, bas0100031, NE/R016445/1] Funding Source: UKRI</t>
  </si>
  <si>
    <t>1542-7390</t>
  </si>
  <si>
    <t>SPACE WEATHER</t>
  </si>
  <si>
    <t>Space Weather</t>
  </si>
  <si>
    <t>10.1002/2018SW001864</t>
  </si>
  <si>
    <t>Astronomy &amp; Astrophysics; Geochemistry &amp; Geophysics; Meteorology &amp; Atmospheric Sciences</t>
  </si>
  <si>
    <t>GF5UU</t>
  </si>
  <si>
    <t>Bronze, Green Published, Green Accepted, Green Submitted</t>
  </si>
  <si>
    <t>WOS:000432034100002</t>
  </si>
  <si>
    <t>Stowe, MJ; Harris, C; Hedding, D; Eckardt, F; Nel, W</t>
  </si>
  <si>
    <t>Stowe, M-J.; Harris, Chris; Hedding, David; Eckardt, Frank; Nel, Werner</t>
  </si>
  <si>
    <t>Hydrogen and oxygen isotope composition of precipitation and stream water on sub-Antarctic Marion Island</t>
  </si>
  <si>
    <t>amount effect; isotope hydrology; local meteoric water line; maritime island</t>
  </si>
  <si>
    <t>STABLE-ISOTOPES; SOUTHERN-HEMISPHERE; GNIP DATA; DELTA-O-18; CLIMATE; GEOCHEMISTRY; VARIABILITY; PATTERNS; RAINFALL; AFRICA</t>
  </si>
  <si>
    <t>We measured the hydrogen and oxygen isotope composition (delta H-2 and delta O-18) of precipitation and stream water from the Soft Plume River at multiple spatiotemporal scales on sub-Antarctic Marion Island, Indian sector of the Southern Ocean. Monthly precipitation delta H-2 and delta O-18 values ranged from -43.7% to -14.7% and from -7.0% to -3.3% (n = 13), respectively. Stream water values ranged from -48.0% to -25.4% for delta H-2 and from -7.6% to -4.0% for delta O-18 (n = 92). The monthly precipitation data yielded a local meteoric water line with the equation delta H-2 = 8.4 delta O-18 + 11.4. There was no clear seasonality in isotope composition present in precipitation and stream water. Along the stream, no significant difference was observed between sites. However, delta H-2 and delta O-18 values were lower and more variable at the highest site. This is probably the result of the 'amount effect', where more precipitation fell at a higher elevation compared with a downstream site in the catchment. The findings illustrate spatiotemporal patterns in precipitation and stream water isotopes and provide insight into mechanisms affecting their composition on sub-Antarctic Marion Island.</t>
  </si>
  <si>
    <t>[Stowe, M-J.; Eckardt, Frank] Univ Cape Town, Dept Environm &amp; Geog Sci, ZA-7701 Rondebosch, South Africa; [Harris, Chris] Univ Cape Town, Dept Geol Sci, ZA-7701 Rondebosch, South Africa; [Hedding, David] Univ South Africa, Dept Geog, ZA-1710 Florida, South Africa; [Nel, Werner] Univ Ft Hare, Dept Geog &amp; Environm Sci, ZA-5700 Alice, South Africa</t>
  </si>
  <si>
    <t>University of Cape Town; University of Cape Town; University of South Africa; University of Fort Hare</t>
  </si>
  <si>
    <t>Stowe, MJ (corresponding author), Univ Cape Town, Dept Environm &amp; Geog Sci, ZA-7701 Rondebosch, South Africa.</t>
  </si>
  <si>
    <t>Harris, Chris/H-8720-2012; Eckardt, Frank D/N-3682-2015; Hedding, David William/F-3044-2011</t>
  </si>
  <si>
    <t>Harris, Chris/0000-0003-0340-6674; Eckardt, Frank D/0000-0003-0200-7110; Hedding, David William/0000-0002-9748-4499; Nel, Werner/0000-0002-3769-4937; Stowe, M-J/0000-0002-8640-6532</t>
  </si>
  <si>
    <t>project Landscape and Climate Interactions in a Changing Sub-Antarctic Environment [93075]; National Research Foundation by the South African Department of Science and Technology under South African National Antarctic Program</t>
  </si>
  <si>
    <t>project Landscape and Climate Interactions in a Changing Sub-Antarctic Environment; National Research Foundation by the South African Department of Science and Technology under South African National Antarctic Program</t>
  </si>
  <si>
    <t>The research presented here is part of the project Landscape and Climate Interactions in a Changing Sub-Antarctic Environment (grant no. 93075). This research received logistical support from the South African Department of Environmental Affairs. Funding was provided through the National Research Foundation by the South African Department of Science and Technology under the auspices of the South African National Antarctic Program. Climate data from the research station on Marion Island was provided by the SAWS. Abuyiselwe Nguna (University of Fort Hare) assisted with sample collection in the field. Sherissa Roopnarain of the Department of Geological Science at the University of Cape Town provided the precipitation and stream water isotope analysis. We thank two anonymous reviewers for their inputs which improved the quality of the manuscript.</t>
  </si>
  <si>
    <t>10.1017/S0954102017000475</t>
  </si>
  <si>
    <t>WOS:000427291800002</t>
  </si>
  <si>
    <t>Dilley, BJ; Schoombie, S; Stevens, K; Davies, D; Perold, V; Osborne, A; Schoombie, J; Brink, CW; Carpenter-Kling, T; Ryan, PG</t>
  </si>
  <si>
    <t>Dilley, Ben J.; Schoombie, Stefan; Stevens, Kim; Davies, Delia; Perold, Vonica; Osborne, Alexis; Schoombie, Janine; Brink, Christiaan W.; Carpenter-Kling, Tegan; Ryan, Peter G.</t>
  </si>
  <si>
    <t>Mouse predation affects breeding success of burrow-nesting petrels at sub-Antarctic Marion Island</t>
  </si>
  <si>
    <t>islands; Mus musculus; nest survival; Procellaria; Pterodroma</t>
  </si>
  <si>
    <t>PRINCE-EDWARD-ISLANDS; MICE MUS-MUSCULUS; HOUSE MICE; PROCELLARIA-AEQUINOCTIALIS; HALOBAENA-CAERULEA; GOUGH ISLAND; PTERODROMA-MACROPTERA; SOUTH GEORGIA; FELIS-CATUS; FERAL CATS</t>
  </si>
  <si>
    <t>We report the breeding success of four species of burrow-nesting petrels at sub-Antarctic Marion Island where house mice Mus musculus are the sole introduced mammal. Feral cats Felis catus were present on Marion for four decades from 1949, killing millions of seabirds and greatly reducing petrel populations. Cats were eradicated by 1991, but petrel populations have shown only marginal recoveries. We hypothesize that mice are suppressing their recovery through depredation of petrel eggs and chicks. Breeding success for winter breeders (grey petrels Procellaria cinerea (34 +/- 21%) and great-winged petrels Pterodroma macroptera (52 +/- 7%)) were lower than for summer breeders (blue petrels Halobaena caerulea (61 +/- 6%) and white-chinned petrels Procellaria aequinoctialis (59 +/- 6%)) and among winter breeders most chick fatalities were of small chicks up to 14 days old. We assessed the extent of mouse predation by monitoring the inside of 55 burrow chambers with video surveillance cameras (4024 film days from 2012-16) and recorded fatal attacks on grey (3/18 nests filmed, 17%) and great-winged petrel chicks (1/19, 5%). Our results show that burrow-nesting petrels are at risk from mouse predation, providing further motivation for the eradication of mice from Marion Island.</t>
  </si>
  <si>
    <t>[Dilley, Ben J.; Schoombie, Stefan; Stevens, Kim; Davies, Delia; Perold, Vonica; Osborne, Alexis; Schoombie, Janine; Brink, Christiaan W.; Carpenter-Kling, Tegan; Ryan, Peter G.] Univ Cape Town, FitzPatrick Inst Africa Ornithol, DST NRF Ctr Excellence, ZA-7701 Rondebosch, South Africa</t>
  </si>
  <si>
    <t>University of Cape Town; National Research Foundation - South Africa</t>
  </si>
  <si>
    <t>Dilley, BJ (corresponding author), Univ Cape Town, FitzPatrick Inst Africa Ornithol, DST NRF Ctr Excellence, ZA-7701 Rondebosch, South Africa.</t>
  </si>
  <si>
    <t>dilleyben@gmail.com</t>
  </si>
  <si>
    <t>Brink, Christiaan Willem/AAG-7253-2020</t>
  </si>
  <si>
    <t>Brink, Christiaan Willem/0000-0001-8488-5560; Schoombie, Janine/0000-0001-5085-9516; Carpenter-Kling, Tegan/0000-0001-8449-2409; Schoombie, Stefan/0000-0002-6566-0443</t>
  </si>
  <si>
    <t>University of Cape Town; National Research Foundation (SANAP)</t>
  </si>
  <si>
    <t>The Department of Environmental Affairs provided logistical support through the South African National Antarctic Programme (SANAP). Financial support was received from the University of Cape Town and the National Research Foundation (SANAP). We thank Innocent Mthembu, the late Nompilo Radebe, Rory Meyer, Fred Fourie, Makabongwe Sigqala and Mariette Wheeler for technical and field support; and Nigel Butcher for developing the MemoCams. We thank Graham Parker and an anonymous referee for constructive suggestions on an earlier draft.</t>
  </si>
  <si>
    <t>10.1017/S0954102017000487</t>
  </si>
  <si>
    <t>WOS:000427291800003</t>
  </si>
  <si>
    <t>Van Vuuren, BJ; Lee, JE; Convey, P; Chown, SL</t>
  </si>
  <si>
    <t>Van Vuuren, Bettine Jansen; Lee, Jennifer E.; Convey, Peter; Chown, Steven L.</t>
  </si>
  <si>
    <t>Conservation implications of spatial genetic structure in two species of oribatid mites from the Antarctic Peninsula and the Scotia Arc</t>
  </si>
  <si>
    <t>arthropoda; biogeography; biosecurity; dispersal; glaciation; refugia</t>
  </si>
  <si>
    <t>SPRINGTAIL GOMPHIOCEPHALUS-HODGSONI; VICTORIA LAND; GRESSITTACANTHA-TERRANOVA; PHYLOGENETIC ANALYSIS; COLLEMBOLA; VARIABILITY; DIVERSITY; EXPANSION; SEQUENCES; HEXAPODA</t>
  </si>
  <si>
    <t>Mitochondrial and nuclear sequence data from two Antarctic ameronothroid mites, Halozetes belgicae and Alaskozetes antarcticus, were used to address three key questions important for understanding both the evolution of biodiversity and its future conservation in the Antarctic Peninsula Region: i) Do populations of mites across the Antarctic Peninsula and Scotia Arc constitute distinct genetic lineages? ii) What implications does the spatial genetic structure in these species have for current understanding of the region's glacial history? iii) What are the conservation implications of these findings? Our results indicate that both mite species have been present in the Antarctic since at least the Pliocene. At the regional scale, both species are comprised of a number of divergent, but sympatric, lineages that are genetically as distinct as some species within the genera Halozetes and Alaskozetes. At the local scale, complex structure suggests limited and stochastic post-Holocene dispersal. For both species, considerable spatial genetic structure exists across the region, similar to that found in other terrestrial invertebrates. These results support the implementation of stringent biosecurity measures for moving between the Scotia Arc islands and the Antarctic Peninsula, and throughout the latter, to conserve both evolutionary history and future evolutionary trajectories.</t>
  </si>
  <si>
    <t>[Van Vuuren, Bettine Jansen] Univ Johannesburg, Dept Zool, Ctr Ecol Genom &amp; Wildlife Conservat, ZA-2006 Auckland Pk, South Africa; [Lee, Jennifer E.; Convey, Peter] British Antarctic Survey, NERC, Madingley Rd, Cambridge CB3 0ET, England; [Lee, Jennifer E.] Stellenbosch Univ, Ctr Invas Biol, ZA-7602 Stellenbosch, South Africa; [Lee, Jennifer E.] Govt South Georgia &amp; South Sandwich Isl, Govt House, Stanley, Falkland Island; [Chown, Steven L.] Monash Univ, Sch Biol Sci, Clayton, Vic 3800, Australia</t>
  </si>
  <si>
    <t>University of Johannesburg; UK Research &amp; Innovation (UKRI); Natural Environment Research Council (NERC); NERC British Antarctic Survey; Stellenbosch University; Monash University</t>
  </si>
  <si>
    <t>Van Vuuren, BJ (corresponding author), Univ Johannesburg, Dept Zool, Ctr Ecol Genom &amp; Wildlife Conservat, ZA-2006 Auckland Pk, South Africa.</t>
  </si>
  <si>
    <t>bettinevv@uj.ac.za</t>
  </si>
  <si>
    <t>Jansen van Vuuren, Bettine/E-6227-2013; Convey, Peter/AAV-5728-2020; Chown, Steven/ABD-7646-2021; Chown, Steven/H-3347-2011</t>
  </si>
  <si>
    <t>Jansen van Vuuren, Bettine/0000-0002-5334-5358; Convey, Peter/0000-0001-8497-9903; Chown, Steven/0000-0001-6069-5105</t>
  </si>
  <si>
    <t>Scientific Committee on Antarctic Research (SCAR) fellowship; National Research Foundation [SNA14071475789, SNA14071575859]; NERC core funding; NERC [bas0100036] Funding Source: UKRI</t>
  </si>
  <si>
    <t>Scientific Committee on Antarctic Research (SCAR) fellowship; National Research Foundation; NERC core funding; NERC(UK Research &amp; Innovation (UKRI)Natural Environment Research Council (NERC))</t>
  </si>
  <si>
    <t>Gayle Pederson is thanked for assistance in the laboratory and Louise Coetzee provided taxonomic assistance. This work was supported by a Scientific Committee on Antarctic Research (SCAR) fellowship to JEL. The work falls under the State of the Antarctic Ecosystem (AntEco) SCAR research programme. SLC was partly supported by National Research Foundation Grant SNA14071475789 and BvV by National Research Foundation Grant SNA14071575859. PC is supported by NERC core funding to the BAS Environmental Change and Evolution Programme. Fieldwork to generate the collections used in this study was supported by the British Antarctic Survey and HMS Endurance. We thank the anonymous reviewers for their input into drafts of our manuscript.</t>
  </si>
  <si>
    <t>10.1017/S0954102017000529</t>
  </si>
  <si>
    <t>WOS:000427291800004</t>
  </si>
  <si>
    <t>Figueiredo, D; Dos Santos, A; Mateus, M; Pinto, L</t>
  </si>
  <si>
    <t>Figueiredo, Daniel; Dos Santos, Aires; Mateus, Marcos; Pinto, Ligia</t>
  </si>
  <si>
    <t>Hydrodynamic modelling of Port Foster, Deception Island, Antarctica</t>
  </si>
  <si>
    <t>circulation; internal waves; mercury; Neptune's Bellows; stratification; tidal model</t>
  </si>
  <si>
    <t>SOUTH SHETLAND ISLANDS; TIDES; MERCURY; ESTUARY; SEA; GENERATION; PENINSULA; ECOSYSTEM; PATTERNS; WEDDELL</t>
  </si>
  <si>
    <t>Over the last decade, the Antarctic continent has been the object of intensive scientific programmes. However, the emphasis of these studies rarely focuses on the Antarctic as a source of potential elements such as mercury. The release of mercury to the environment is known to occur at Deception Island, associated with volcanic activity. In this study, a 3D hydrodynamic model was used to assess the role of water circulation on the dispersion of released mercury. Sea level variation and tidal circulation data were obtained. Residence time was calculated using two different approaches. Internal tide generation in summer and winter were recognized and the barotropic tidal components obtained. Lagrangian tracers were used to depict particle circulation (simulating particulate mercury) in a three month summer simulation for barotropic and baroclinic conditions. The results show that particles accumulate in the northern and western parts of the bay. It is acknowledged that the results of the 3D model are associated with a non-negligible uncertainty, which can only be reduced with an ongoing commitment to monitoring. The findings of this study indicate that mercury accumulation is occurring in Port Foster (Deception Island), which is a potential threat to the local ecosystem.</t>
  </si>
  <si>
    <t>[Figueiredo, Daniel; Dos Santos, Aires; Mateus, Marcos; Pinto, Ligia] Univ Lisbon, Inst Super Tecn, MARETEC, P-1049001 Lisbon, Portugal</t>
  </si>
  <si>
    <t>Universidade de Lisboa</t>
  </si>
  <si>
    <t>Figueiredo, D (corresponding author), Univ Lisbon, Inst Super Tecn, MARETEC, P-1049001 Lisbon, Portugal.</t>
  </si>
  <si>
    <t>d.m.figueiredo@uu.nl</t>
  </si>
  <si>
    <t>Pinto, Ligia/B-5216-2016; Mateus, Marcos Duarte/C-3083-2012; Santos, Aires/M-5683-2013</t>
  </si>
  <si>
    <t>Pinto, Ligia/0000-0002-3421-0167; Mateus, Marcos Duarte/0000-0003-4916-6821; Martins Figueiredo, Daniel/0000-0001-6080-0956; Santos, Aires/0000-0002-4109-6761</t>
  </si>
  <si>
    <t>10.1017/S0954102017000463</t>
  </si>
  <si>
    <t>WOS:000427291800005</t>
  </si>
  <si>
    <t>Nittler, LR; Alexander, CMO; Davidson, J; Riebe, MEI; Stroud, RM; Wang, JH</t>
  </si>
  <si>
    <t>Nittler, Larry R.; Alexander, Conel M. O'D.; Davidson, Jemma; Riebe, My E. I.; Stroud, Rhonda M.; Wang, Jianhua</t>
  </si>
  <si>
    <t>High abundances of presolar grains and 15N-rich organic matter in CO3.0 chondrite Dominion Range 08006</t>
  </si>
  <si>
    <t>Carbonaceous chondrites; Early solar system history; NanoSIMS; Nebular processes; Organic matter; Isotopic anomalies; Pre-solar grains Stardust; Solar Nebula</t>
  </si>
  <si>
    <t>ASYMPTOTIC GIANT BRANCH; INTERPLANETARY DUST PARTICLES; MOLECULAR-CLOUD MATERIAL; SILICON-CARBIDE GRAINS; ISOTOPIC COMPOSITIONS; AQUEOUS ALTERATION; AGB STARS; CARBONACEOUS CHONDRITES; DEUTERIUM ENRICHMENT; PRIMITIVE METEORITES</t>
  </si>
  <si>
    <t>NanoSIMS C-, N-, and O-isotopic mapping of matrix in CO3.0 chondrite Dominion Range (DOM) 08006 revealed it to have in its matrix the highest abundance of presolar O-rich grains (257 + 76/-96 ppm, 2 sigma) of any meteorite. It also has a matrix abundance of presolar SiC of 35 (+ 25/-17, 2 sigma) ppm, similar to that seen across primitive chondrite classes. This provides additional support to bulk isotopic and petrologic evidence that DOM 08006 is the most primitive known CO meteorite. Transmission electron microscopy of five presolar silicate grains revealed one to have a composite mineralogy similar to larger amoeboid olivine aggregates and consistent with equilibrium condensation, two non-stoichiometric amorphous grains, and two olivine grains, though one is identified as such solely based on its composition. We also found insoluble organic matter (IOM) to be present primarily as sub-micron inclusions with ranges of C-and N-isotopic anomalies similar to those seen in primitive CR chondrites and interplanetary dust particles. In contrast to other primitive extraterrestrial materials, H isotopic imaging showed normal and homogeneous D/H. Most likely, DOM 08006 and other CO chondrites accreted a similar complement of primitive and isotopically anomalous organic matter to that found in other chondrite classes and IDPs, but the very limited amount of thermal metamorphism experienced by DOM 08006 has caused loss of D-rich organic moieties, while not substantially affecting either the molecular carriers of C- and N anomalies or most inorganic phases in the meteorite. One C-rich grain that was highly depleted in C-13 and N-15 was identified; we propose it originated in the Sun's parental molecular cloud. (C) 2018 Elsevier Ltd. All rights reserved.</t>
  </si>
  <si>
    <t>[Nittler, Larry R.; Alexander, Conel M. O'D.; Davidson, Jemma; Riebe, My E. I.; Wang, Jianhua] Carnegie Inst Sci, Dept Terr Magnetism, Washington, DC 20015 USA; [Stroud, Rhonda M.] US Naval Res Lab, Mat Sci &amp; Technol Div, Code 6366, Washington, DC 20375 USA</t>
  </si>
  <si>
    <t>Carnegie Institution for Science; United States Department of Defense; United States Navy; Naval Research Laboratory</t>
  </si>
  <si>
    <t>Nittler, LR (corresponding author), Carnegie Inst Sci, Dept Terr Magnetism, Washington, DC 20015 USA.</t>
  </si>
  <si>
    <t>lnittler@ciw.edu</t>
  </si>
  <si>
    <t>Alexander, Conel M. O'D./N-7533-2013; Davidson, Jemma/G-5760-2018; Davidson, Jemma/ABB-2655-2021; Stroud, Rhonda M./C-5503-2008; Stroud, Rhonda/GQZ-0151-2022; Wang, Jianhua/D-6500-2011; Stroud, Rhonda M/S-4584-2018</t>
  </si>
  <si>
    <t>Alexander, Conel M. O'D./0000-0002-8558-1427; Davidson, Jemma/0000-0002-3725-2960; Davidson, Jemma/0000-0002-3725-2960; Stroud, Rhonda/0000-0001-5242-8015; Wang, Jianhua/0000-0002-7671-2413; Stroud, Rhonda M/0000-0001-5242-8015</t>
  </si>
  <si>
    <t>NSF; NASA; NASA [NNX10AI63G, NNX11AB40G, NNH15AZ841, NNH16AC42I]; NASA [150036, NNX11AB40G] Funding Source: Federal RePORTER</t>
  </si>
  <si>
    <t>NSF(National Science Foundation (NSF)); NASA(National Aeronautics &amp; Space Administration (NASA)); NASA(National Aeronautics &amp; Space Administration (NASA)); NASA(National Aeronautics &amp; Space Administration (NASA))</t>
  </si>
  <si>
    <t>The authors would like to thank Cecilia Satterwhite and Kevin Righter (NASA, Johnson Space Center) for supplying the section of DOM 08006. US Antarctic meteorite samples are recovered by the Antarctic Search for Meteorites (ANSMET) program, which has been funded by NSF and NASA, and characterized and curated by the Department of Mineral Sciences of the Smithsonian Institution and the Astromaterials Curation Office at NASA Johnson Space Center. We thank the Associate Editor, Eric Quirico, and the referees, Christine Floss and Henner Busemann for constructive and helpful comments. We also acknowledge Ryan Ogliore for inspiring the Monte Carlo error estimation method used in this paper. This work was supported in part by NASA grants NNX10AI63G, NNX11AB40G, NNH15AZ841, and NNH16AC42I.</t>
  </si>
  <si>
    <t>10.1016/j.gca.2018.01.038</t>
  </si>
  <si>
    <t>FZ2EK</t>
  </si>
  <si>
    <t>Green Accepted, Green Submitted, hybrid</t>
  </si>
  <si>
    <t>WOS:000427389300007</t>
  </si>
  <si>
    <t>Rosciano, NG; Pütz, K; Polito, MJ; Rey, AR</t>
  </si>
  <si>
    <t>Rosciano, Natalia G.; Puetz, Klemens; Polito, Michael J.; Raya Rey, Andrea</t>
  </si>
  <si>
    <t>Foraging behaviour of Magellanic Penguins during the early chick-rearing period at Isla de los Estados, Argentina</t>
  </si>
  <si>
    <t>IBIS</t>
  </si>
  <si>
    <t>at-sea distribution; diving behaviour; Isla de los Estados; Spheniscus magellanicus; stable isotope; trophic ecology</t>
  </si>
  <si>
    <t>STABLE-ISOTOPE SIGNATURES; SPHENISCUS-MAGELLANICUS; BREEDING-SEASON; DIVING BEHAVIOR; INTERANNUAL VARIATION; REPRODUCTIVE SUCCESS; DELTA-N-15 VALUES; PYGOSCELIS-PAPUA; DIET COMPOSITION; BEAGLE CHANNEL</t>
  </si>
  <si>
    <t>Studies of the at-sea distribution and trophic ecology of penguins are essential to understand their role in the broader marine food web. Magellanic Penguins Spheniscus magellanicus have a wide distribution and their foraging behaviour varies across breeding sites and between sexes, among others. In this study, we characterized the at-sea areas, the diving strategies and the relative trophic level of Magellanic Penguins breeding at Isla de los Estados, Argentina, during the early chick-rearing period. In addition, we quantified the interannual, sexual and individual variability in those parameters during three breeding seasons (2011-2013) using devices recording position and dive depth, and obtained blood samples for stable isotope analysis. During the early chick-rearing period, Magellanic Penguins showed small differences between the sexes in their foraging behaviour and large overlap in the at-sea areas used, suggesting no intraspecific variation between sexes. Although there was interannual variability in the foraging behaviour and the trophic level of the penguins, most of the studied nests managed successfully to raise both chicks during the first stage of the breeding cycle (guard stage). The foraging ecology of Magellanic Penguins from this colony was comparable with results of past studies at other breeding colonies. This study contributes to the identification of important at-sea areas for Magellanic Penguins at the southern edge of their distribution and also to the identification of possible threats in the study area such as interaction with fisheries.</t>
  </si>
  <si>
    <t>[Rosciano, Natalia G.; Raya Rey, Andrea] Consejo Nacl Invest Cient &amp; Tecn, Ctr Austral Invest Cient, Ecol &amp; Conservac Vida Silvestre, Bernardo A Houssay 200,V9410CAB, Ushuaia, Tierra Del Fueg, Argentina; [Puetz, Klemens] Antarctic Res Trust, Oste Hamme Kanal 10, D-27432 Bremervorde, Germany; [Polito, Michael J.] Louisiana State Univ, Dept Oceanog &amp; Coastal Sci, Baton Rouge, LA 70803 USA; [Raya Rey, Andrea] Univ Nacl Tierra del Fuego, Inst Ciencias Polares Ambiente &amp; Recursos Nat, Olegario Andrade 421, Ushuaia, Tierra Del Fueg, Argentina</t>
  </si>
  <si>
    <t>Consejo Nacional de Investigaciones Cientificas y Tecnicas (CONICET); Louisiana State University System; Louisiana State University</t>
  </si>
  <si>
    <t>Rosciano, NG (corresponding author), Consejo Nacl Invest Cient &amp; Tecn, Ctr Austral Invest Cient, Ecol &amp; Conservac Vida Silvestre, Bernardo A Houssay 200,V9410CAB, Ushuaia, Tierra Del Fueg, Argentina.</t>
  </si>
  <si>
    <t>natirosciano@yahoo.com</t>
  </si>
  <si>
    <t>Rosciano, Natalia/Z-5302-2019; Polito, Michael/G-9118-2012</t>
  </si>
  <si>
    <t>Rosciano, Natalia/0000-0002-6341-3086; Polito, Michael/0000-0001-8639-4431; Puetz, Klemens/0000-0003-1375-2669; Raya Rey, Andrea/0000-0003-0127-6650</t>
  </si>
  <si>
    <t>Agencia Nacional de Promocion Cientifica y Tecnologica (PICT) [1520, 1832]; Wildlife Conservation Society; Consejo Nacional de Investigaciones Cientificas y Tecnicas (Rosciano PhD fellowship); Antarctic Research Trust; BEC; AR-Fulbright Program; Argentine Presidential Fellowship in Science and Technology (Rosciano fellowship)</t>
  </si>
  <si>
    <t>Agencia Nacional de Promocion Cientifica y Tecnologica (PICT)(ANPCyT); Wildlife Conservation Society; Consejo Nacional de Investigaciones Cientificas y Tecnicas (Rosciano PhD fellowship); Antarctic Research Trust; BEC; AR-Fulbright Program; Argentine Presidential Fellowship in Science and Technology (Rosciano fellowship)</t>
  </si>
  <si>
    <t>This study was financially supported by Agencia Nacional de Promocion Cientifica y Tecnologica (PICT 2010 No. 1520 and PICT 2012 No. 1832), Wildlife Conservation Society, Consejo Nacional de Investigaciones Cientificas y Tecnicas (Rosciano PhD fellowship), Antarctic Research Trust and the BEC. AR-Fulbright Program, Argentine Presidential Fellowship in Science and Technology (Rosciano fellowship). The authors thank R. Saenz Samaniego for logistical support and fieldwork assistance; and Juan Romanelli, Sabrina Harris, Valeria Bruno and Mariel Guala for fieldwork assistance. Thanks also to K. Duernberger, S. Emslie and C. Lane for helpful assistance with stable isotope analysis. Special thanks go to the Argentine Navy and to Henk Boersma for transportation to Isla de los Estados. We especially thank four anonymous reviewers and the associate editor who helped to improve previous versions of the manuscript.</t>
  </si>
  <si>
    <t>0019-1019</t>
  </si>
  <si>
    <t>1474-919X</t>
  </si>
  <si>
    <t>Ibis</t>
  </si>
  <si>
    <t>10.1111/ibi.12547</t>
  </si>
  <si>
    <t>Ornithology</t>
  </si>
  <si>
    <t>FY3NZ</t>
  </si>
  <si>
    <t>WOS:000426728200007</t>
  </si>
  <si>
    <t>Tobin, TS; Flannery, D; Sousa, FJ</t>
  </si>
  <si>
    <t>Tobin, Thomas S.; Flannery, David; Sousa, Francis J.</t>
  </si>
  <si>
    <t>Stratigraphy, sedimentology and paleontology of Upper Cretaceous deposits of Day Nunatak, Snow Hill Island, Antarctica</t>
  </si>
  <si>
    <t>Day Nunatak; Snow Hill Island; James Ross; Antarctica; Paleontology; Sedimentology; Stratigraphy</t>
  </si>
  <si>
    <t>JAMES-ROSS-BASIN; SEYMOUR ISLAND; MARAMBIO GROUP; AMMONITES; EXTINCTION; EVOLUTION; PENINSULA; PATTERNS; SECTION; RECORD</t>
  </si>
  <si>
    <t>Day Nunatak exposes an actively emergent stratigraphic section located on Snow Hill Island to the east of the Antarctic Peninsula. Strata exposed on Snow Hill Island were deposited in the James Ross Basin, which includes marine units of Cretaceous Paleogene (K-Pg) age. Here we provide the first report of the sedirnentology and paleontology of Day Nunatak, and place it into the broader stratigraphic context of the basin. Day Nunatak was previously unexplored due to difficulties accessing the site, and the historically poor exposure which has recently improved due to warming of the Antarctic Peninsula. Deposits exposed at Day Nunatak are assigned to the Karisen Cliffs Member (KCM) of the Snow Hill Island Formation, and are better preserved than deposits at the type section of the KCM at Karlsen Cliffs, which has been altered by cross-cutting basaltic dikes. Correlation of lithostratigraphic and biostratigraphic data from Day Nunatak with other outcrops in the basin allows the section to be placed within a previously developed stratigraphic framework, and assigned an early Maastrichtian age. Our observations, and previous descriptions of the KCM, are consistent with a middle- to inner-shelf depositional environment below storm-wave base. Ammonites of the genus Gunnarites are very common, with other ammonite genera and benthic mollusks an order of magnitude less common. Stable carbon and oxygen isotope values obtained from bivalve shells are similar to values previously reported from Seymour Island, and suggest seawater temperatures of similar to 7 degrees C . Measured bedding orientations suggest the presence of a structural offset between Day Nunatak and other sections exposed further north on Snow Hill Island. Day Nunatak preserves a similar depositional environment to deposits reported from the uppermost Maastrichtian on Seymour Island, and is the deeper-water equivalent of contemporaneous proximal sections reported from Vega Island. (C) 2017 Elsevier Ltd. All rights reserved.</t>
  </si>
  <si>
    <t>[Tobin, Thomas S.] Univ Alabama, Dept Geol Sci, Tuscaloosa, AL 35487 USA; [Flannery, David] CALTECH, Jet Prop Lab, Pasadena, CA USA; [Sousa, Francis J.] Oregon State Univ, Coll Earth Ocean &amp; Atmospher Sci, Corvallis, OR 97331 USA</t>
  </si>
  <si>
    <t>University of Alabama System; University of Alabama Tuscaloosa; California Institute of Technology; National Aeronautics &amp; Space Administration (NASA); NASA Jet Propulsion Laboratory (JPL); Oregon State University</t>
  </si>
  <si>
    <t>Tobin, TS (corresponding author), Univ Alabama, Dept Geol Sci, Tuscaloosa, AL 35487 USA.</t>
  </si>
  <si>
    <t>ttobin@ua.edu</t>
  </si>
  <si>
    <t>Sousa, Francis/O-4295-2019</t>
  </si>
  <si>
    <t>Sousa, Francis/0000-0003-1623-4023; Flannery, David/0000-0001-8982-496X; Tobin, Thomas/0000-0003-0992-7809</t>
  </si>
  <si>
    <t>[NSF-OPP-1341729]; Directorate For Geosciences; Office of Polar Programs (OPP) [1341729] Funding Source: National Science Foundation</t>
  </si>
  <si>
    <t>; Directorate For Geosciences; Office of Polar Programs (OPP)(National Science Foundation (NSF)NSF - Directorate for Geosciences (GEO))</t>
  </si>
  <si>
    <t>We are grateful for funding support via NSF-OPP-1341729 that funded field research in 2016. A portion of this research was carried out at the Jet Propulsion Laboratory, California Institute of Technology, under a contract with the National Aeronautics and Space Administration. We would like to thank the captain and crew of the R/V Nathaniel B. Palmer, as well as the NSF support staff on board, and the crew from Air Center Helicopters for their support and assistance in the field. We thank Bill Abbey at the Jet Propulsion Laboratory for assisting with XRD analyses, Joe Lambert of the Alabama Stable Isotope Laboratory for analyses, and Jennifer Buz and Steven Skinner for expert assistance with structure from motion computations. Contributions from Dr. Joseph Kirschvink and the rest of his scientific team were also valuable in support of this project. Fossil samples are currently housed at the University of Alabama, but their intended final repository is the Burke Museum of Natural History and Culture in Seattle, WA, USA. We are thankful for manuscript reviews by Dr. James Witts and an anonymous reviewer that greatly improved the manuscript.</t>
  </si>
  <si>
    <t>10.1016/j.cretres.2017.12.006</t>
  </si>
  <si>
    <t>FX9IW</t>
  </si>
  <si>
    <t>WOS:000426412900031</t>
  </si>
  <si>
    <t>Nash, SMB; Castrillon, J; Eisenmann, P; Fry, B; Shuker, JD; Cropp, RA; Dawson, A; Bignert, A; Bohlin-Nizzetto, P; Waugh, CA; Polkinghorne, BJ; Dalle Luche, G; McLagan, D</t>
  </si>
  <si>
    <t>Nash, Susan M. Bengtson; Castrillon, Juliana; Eisenmann, Pascale; Fry, Brian; Shuker, Jon D.; Cropp, Roger A.; Dawson, Amanda; Bignert, Anders; Bohlin-Nizzetto, Pernilla; Waugh, Courtney A.; Polkinghorne, Bradley J.; Dalle Luche, Greta; McLagan, David</t>
  </si>
  <si>
    <t>Signals from the south; humpback whales carry messages of Antarctic sea-ice ecosystem variability</t>
  </si>
  <si>
    <t>adiposity; Antarctic sea-ice ecosystem; biomonitoring; diet; humpback whales; persistent organic pollutants; sentinel; Southern Ocean</t>
  </si>
  <si>
    <t>KRILL EUPHAUSIA-SUPERBA; WEIGHT-LOSS; MEGAPTERA-NOVAEANGLIAE; STABLE-CARBON; BLUBBER; OCEAN; PLASMA; BALEEN; POLLUTANTS; PATTERNS</t>
  </si>
  <si>
    <t>Southern hemisphere humpback whales (Megaptera novaeangliae) rely on summer prey abundance of Antarctic krill (Euphausia superba) to fuel one of the longest-known mammalian migrations on the planet. It is hypothesized that this species, already adapted to endure metabolic extremes, will be one of the first Antarctic consumers to show measurable physiological change in response to fluctuating prey availability in a changing climate; and as such, a powerful sentinel candidate for the Antarctic sea-ice ecosystem. Here, we targeted the sentinel parameters of humpback whale adiposity and diet, using novel, as well as established, chemical and biochemical markers, and assembled a time trend spanning 8 years. We show the synchronous, inter-annual oscillation of two measures of humpback whale adiposity with Southern Ocean environmental variables and climate indices. Furthermore, bulk stable isotope signatures provide clear indication of dietary compensation strategies, or a lower trophic level isotopic change, following years indicated as leaner years for the whales. The observed synchronicity of humpback whale adiposity and dietary markers, with climate patterns in the Southern Ocean, lends strength to the role of humpback whales as powerful Antarctic sea-ice ecosystem sentinels. The work carries significant potential to reform current ecosystem surveillance in the Antarctic region.</t>
  </si>
  <si>
    <t>[Nash, Susan M. Bengtson; Castrillon, Juliana; Eisenmann, Pascale; Dawson, Amanda; Waugh, Courtney A.; Dalle Luche, Greta; McLagan, David] Griffith Univ, Environm Futures Res Inst, Southern Ocean Persistent Organ Pollutants Progra, Brisbane, Qld, Australia; [Fry, Brian] Griffith Univ, Australian Rivers Inst, Brisbane, Qld, Australia; [Shuker, Jon D.] Griffith Univ, eRes Serv, Brisbane, Qld, Australia; [Cropp, Roger A.] Griffith Univ, Sch Environm, Brisbane, Qld, Australia; [Bignert, Anders] Swedish Museum Nat Hist, Stockholm, Sweden; [Bohlin-Nizzetto, Pernilla] Norwegian Inst Air Res, NILU, Kjeller, Norway; [Waugh, Courtney A.] Norwegian Univ Sci &amp; Technol, Trondheim, Norway; [Polkinghorne, Bradley J.] Avanade Inc, Brisbane, Qld, Australia; [McLagan, David] Univ Toronto, Toronto, ON, Canada</t>
  </si>
  <si>
    <t>Griffith University; Griffith University; Griffith University; Griffith University; Swedish Museum of Natural History; NILU; Norwegian University of Science &amp; Technology (NTNU); University of Toronto</t>
  </si>
  <si>
    <t>Nash, SMB (corresponding author), Griffith Univ, Environm Futures Res Inst, Southern Ocean Persistent Organ Pollutants Progra, Brisbane, Qld, Australia.</t>
  </si>
  <si>
    <t>s.bengtsonnash@griffith.edu.au</t>
  </si>
  <si>
    <t>McLagan, David/ABD-5397-2021; Bengtson Nash, Susan/GMX-4611-2022; Bengtson Nash, Susan/I-3942-2015; Bohlin-Nizzetto, Pernilla/C-3345-2019; Cropp, Roger/C-1019-2008</t>
  </si>
  <si>
    <t>McLagan, David/0000-0003-2586-625X; Bengtson Nash, Susan/0000-0001-5928-0850; Bengtson Nash, Susan/0000-0001-5928-0850; Castrillon, Juliana/0000-0002-1905-7344; Bohlin-Nizzetto, Pernilla/0000-0003-2835-8509; Shuker, Jon/0000-0002-0813-7402; Waugh, Courtney/0000-0001-5234-4137</t>
  </si>
  <si>
    <t>Pacific Life Ocean Foundation Grant</t>
  </si>
  <si>
    <t>10.1111/gcb.14035</t>
  </si>
  <si>
    <t>FY0MB</t>
  </si>
  <si>
    <t>WOS:000426504400007</t>
  </si>
  <si>
    <t>Campbell, S; Affleck, RT; Sinclair, S</t>
  </si>
  <si>
    <t>Campbell, Seth; Affleck, Rosa T.; Sinclair, Samantha</t>
  </si>
  <si>
    <t>Ground-penetrating radar studies of permafrost, periglacial, and near-surface geology at McMurdo Station, Antarctica</t>
  </si>
  <si>
    <t>COLD REGIONS SCIENCE AND TECHNOLOGY</t>
  </si>
  <si>
    <t>Ground-penetrating radar; Excess ice; Permafrost; Ice-rich fill; Fractured volcanic bedrock</t>
  </si>
  <si>
    <t>SOUND REGION; ROCKS; SOILS; SITE</t>
  </si>
  <si>
    <t>Installations built on ice, permafrost, or seasonal frozen ground require careful design to avoid melting issues. Therefore, efforts to rebuild McMurdo Station, Antarctica, to improve operational efficiency and consolidate energy resources require knowledge of near-surface geology. Both 200 and 400 MHz ground-penetrating radar (GPR) data were collected in McMurdo during January, October, and November of 2015 to detect the active layer, permafrost, excess ice, fill thickness, solid bedrock depth, and buried utilities or construction and waste debris. Our goal was to ultimately improve surficial geology knowledge from a geotechnical perspective. Radar penetration ranged between approximately 3 and 10 m depth for the 400 and 200 MHz antennas, respectively. Both antennas successfully detect buried utilities and near-surface stratified material to similar to 0.5-3.0 m whereas 200 MHz profiles were more useful for mapping deeper stratified and un-stratified fill over bedrock. Artificially generated excess ice which appears to have been created from runoff, water pooling and refreezing, aspect shading from buildings, and snowpack buried under fill, are prevalent. Results show that McMurdo Station has a complex myriad of ice-rich fill, scoria, fractured volcanic bedrock, permafrost, excess ice, and buried anthro-pogenically generated debris, each of which must be considered during future construction.</t>
  </si>
  <si>
    <t>[Campbell, Seth; Affleck, Rosa T.; Sinclair, Samantha] ERDC, CRREL, Hanover, NH USA; [Campbell, Seth] Univ Maine, Sch Earth &amp; Climate Sci, Orono, ME USA; [Campbell, Seth] Univ Washington, Quaternary Res Ctr, Seattle, WA 98195 USA; [Campbell, Seth] Univ Washington, Dept Earth &amp; Space Sci, Seattle, WA 98195 USA</t>
  </si>
  <si>
    <t>United States Department of Defense; United States Army; U.S. Army Corps of Engineers; U.S. Army Engineer Research &amp; Development Center (ERDC); Cold Regions Research &amp; Engineering Laboratory (CRREL); University of Maine System; University of Maine Orono; University of Washington; University of Washington Seattle; University of Washington; University of Washington Seattle</t>
  </si>
  <si>
    <t>Campbell, S (corresponding author), 72 Lyme Rd, Hanover, NH 03755 USA.</t>
  </si>
  <si>
    <t>scampb64@umaine.edu</t>
  </si>
  <si>
    <t>U.S. Army Cold Regions Research and Engineering Laboratory [1564557]; University of Washington, Future of Ice Program</t>
  </si>
  <si>
    <t>U.S. Army Cold Regions Research and Engineering Laboratory; University of Washington, Future of Ice Program</t>
  </si>
  <si>
    <t>This work was for the National Science Foundation (NSF) and was supported under the award number #1564557, U.S. Army Cold Regions Research and Engineering Laboratory for support to the United States Antarctic Program (USAP), Engineering for Polar Operations, Logistics, and Research. Funding was also provided by the University of Washington, Future of Ice Program.</t>
  </si>
  <si>
    <t>0165-232X</t>
  </si>
  <si>
    <t>1872-7441</t>
  </si>
  <si>
    <t>COLD REG SCI TECHNOL</t>
  </si>
  <si>
    <t>Cold Reg. Sci. Tech.</t>
  </si>
  <si>
    <t>10.1016/j.coldregions.2017.12.008</t>
  </si>
  <si>
    <t>Engineering, Environmental; Engineering, Civil; Geosciences, Multidisciplinary</t>
  </si>
  <si>
    <t>Engineering; Geology</t>
  </si>
  <si>
    <t>FX3YZ</t>
  </si>
  <si>
    <t>WOS:000426010200005</t>
  </si>
  <si>
    <t>Alberti, G; Mussi, M; Quattrini, F; Pesavento, M; Biesuz, R</t>
  </si>
  <si>
    <t>Alberti, Giancarla; Mussi, Matteo; Quattrini, Federico; Pesavento, Maria; Biesuz, Raffaela</t>
  </si>
  <si>
    <t>Metal complexation capacity of Antarctic lacustrine sediments</t>
  </si>
  <si>
    <t>Antarctica; Terra Nova Bay; Lacustrine sediments; Metal complexation capacity; Principal component analysis (PCA)</t>
  </si>
  <si>
    <t>COMPLEXING RESINS; SEAWATER; SORPTION; ION</t>
  </si>
  <si>
    <t>The purpose of this study is to implement a work that is a part of a project funded by the Italian National Antarctic Research Program (PNRA, Piano Nazionale di Ricerche in Antartide) within the main thematic focus Chemical Contamination-Global Change. This research was devoted to detect and characterize micro and nano components with strong complexing capability towards metal ions at trace level in sea water, lakes and lacustrine sediments, sampled during the XXII expedition of PNRA. In particular, in the present work, the sorption complexation capacity of an Antarctic lacustrine sediments toward Cu(II) and Pb(II) is described. The characterization of the sorption was undertaken, studying kinetics and isotherm profiles. The lake here considered is Tarn Flat in the area of Terra Nova Bay. The sorption equilibria of Cu(II) and Pb(II) on the lacustrine sediments were reached in about 10 h, and they were best modelled by the Langmuir equation. Preliminary, to establish if the data here obtained were consistent with those reported for the same area in other expeditions, a common multivariate techniques, namely the principal component analysis (PCA), was applied and finally the consistency of the data has been confirmed. (C) 2018 Elsevier Ltd. All rights reserved.</t>
  </si>
  <si>
    <t>[Alberti, Giancarla; Mussi, Matteo; Pesavento, Maria; Biesuz, Raffaela] Univ Pavia, Dipartimento Chim, Via Taramelli 12, I-27100 Pavia, Italy; [Quattrini, Federico] Univ Lleida, Dept Quim, Rovira Roure 191, Lleida 25198, Spain</t>
  </si>
  <si>
    <t>University of Pavia; Universitat de Lleida</t>
  </si>
  <si>
    <t>Alberti, G (corresponding author), Univ Pavia, Dipartimento Chim, Via Taramelli 12, I-27100 Pavia, Italy.</t>
  </si>
  <si>
    <t>galberti@unipv.it</t>
  </si>
  <si>
    <t>Alberti, Giancarla/P-5736-2018</t>
  </si>
  <si>
    <t>Biesuz, Raffaela/0000-0002-2192-5032; Alberti, Giancarla/0000-0003-4106-2219</t>
  </si>
  <si>
    <t>PRNA (National Program of the Antarctic Research); PEA of the Italian Ministry of University and Scientific Research (MIUR) [9.01]; FAR (Fondi Ateneo Ricerca) of the University of Pavia</t>
  </si>
  <si>
    <t>PRNA (National Program of the Antarctic Research); PEA of the Italian Ministry of University and Scientific Research (MIUR)(Ministry of Education, Universities and Research (MIUR)); FAR (Fondi Ateneo Ricerca) of the University of Pavia</t>
  </si>
  <si>
    <t>This work was financially supported by the PRNA (National Program of the Antarctic Research), grant PEA 2006 (Prog. 9.01) of the Italian Ministry of University and Scientific Research (MIUR), and by FAR (Fondi Ateneo Ricerca) of the University of Pavia.</t>
  </si>
  <si>
    <t>10.1016/j.chemosphere.2017.12.188</t>
  </si>
  <si>
    <t>FW1QW</t>
  </si>
  <si>
    <t>WOS:000425075500047</t>
  </si>
  <si>
    <t>Errington, I; King, CK; Houlahan, S; George, SC; Michie, A; Hose, GC</t>
  </si>
  <si>
    <t>Errington, Ingrid; King, Catherine K.; Houlahan, Sarah; George, Simon C.; Michie, Alexander; Hose, Grant C.</t>
  </si>
  <si>
    <t>The influence of vegetation and soil properties on springtail communities in a diesel-contaminated soil</t>
  </si>
  <si>
    <t>Soil contamination; Macquarie Island; Petroleum hydrocarbons; Subantarctic; Invasive; Collembola assemblages</t>
  </si>
  <si>
    <t>SUB-ANTARCTIC SOILS; PETROLEUM-HYDROCARBONS; COLLEMBOLA; FUEL; INVERTEBRATE; DEGRADATION; INDICATORS; TOXICITY; OIL; BIOREMEDIATION</t>
  </si>
  <si>
    <t>Soil health is important for the functioning of all terrestrial ecosystems, but may be impacted by contamination. Soil contamination may in turn necessitate rehabilitation and remediation works, but many of the techniques currently used cause physical disturbance to the soil structure, which may in itself affect soil assemblages. An understanding of the relative influence of these two types of disturbance on soil biota is needed to inform in situ remediation activities. Subantarctic Macquarie Island provides an ideal location to study these interactions because soil biodiversity is naturally low and a number of diesel spills have undergone active in situ remediation in recent years. In this study, soil cores were collected in triplicate from 21 locations. Springtails were extracted and identified to genus/species level. Total petroleum hydrocarbon (TPH) concentrations were measured at the surface and at 0.5 m depth at each site, as was vegetation coverage and a range of soil properties. The relationships between these data were examined using distance-based linear models. Together, all environmental variables (vegetation and soil properties) explained a total of 76% of the variation in springtail assemblages. Soil properties alone accounted for 52% of the variation in springtail assemblages, of which bulk density was most important followed by soil conductivity and pH. Vegetation cover by the four plant taxa accounted for 34% of variation observed, with Leptinella plumosa and Poa foliosa having the greatest influence. Surface and underlying TPH concentration did not have a significant effect on springtail assemblages. Overall, factors that can be linked to physical soil disturbance had greater influence over springtail assemblages than did soil contamination. This finding may influence the selection of the most appropriate contaminant management approach for environmentally sensitive sites. Crown Copyright (c) 2017 Published by Elsevier B.V. All rights reserved.</t>
  </si>
  <si>
    <t>[Errington, Ingrid; Michie, Alexander; Hose, Grant C.] Macquarie Univ, Dept Biol Sci, Sydney, NSW, Australia; [King, Catherine K.] Australian Antarctic Div, Antarctic Conservat &amp; Management, Kingston, Australia; [Houlahan, Sarah; George, Simon C.] Macquarie Univ, Dept Earth &amp; Planetary Sci, Sydney, NSW, Australia</t>
  </si>
  <si>
    <t>Macquarie University; Australian Antarctic Division; Macquarie University</t>
  </si>
  <si>
    <t>Hose, GC (corresponding author), Macquarie Univ, Dept Biol Sci, Sydney, NSW, Australia.</t>
  </si>
  <si>
    <t>grant.hose@mq.edu.au</t>
  </si>
  <si>
    <t>George, Simon Christopher/G-7134-2015; King, Catherine K/G-7059-2017</t>
  </si>
  <si>
    <t>George, Simon Christopher/0000-0001-6534-3846; King, Catherine K/0000-0003-3356-0381; Hose, Grant/0000-0003-2106-5543</t>
  </si>
  <si>
    <t>Australian Antarctic Science projects [4135, 4036]; Macquarie University Research Excellence Scholarship</t>
  </si>
  <si>
    <t>Australian Antarctic Science projects; Macquarie University Research Excellence Scholarship</t>
  </si>
  <si>
    <t>This work was supported through Australian Antarctic Science projects 4135 and 4036. Ingrid Errington was supported by a Macquarie University Research Excellence Scholarship. Soil and invertebrate samples were collected under permits ES12226 and FA13033 from the Tasmanian Department of Primary Industries Parks Water and Environment. We appreciate the comments of three anonymous reviewers that improved this manuscript.</t>
  </si>
  <si>
    <t>10.1016/j.scitotenv.2017.11.186</t>
  </si>
  <si>
    <t>WOS:000424144200111</t>
  </si>
  <si>
    <t>Westlake, EL; Williams, M; Rawlinson, N</t>
  </si>
  <si>
    <t>Westlake, Emma L.; Williams, Mike; Rawlinson, Nick</t>
  </si>
  <si>
    <t>Behavioural responses of draughtboard sharks (Cephaloscyllium laticeps) to rare earth magnets: Implications for shark bycatch management within the Tasmanian southern rock lobster fishery</t>
  </si>
  <si>
    <t>Shark deterrent; Aversion; Bycatch mitigation; Draughtboard shark</t>
  </si>
  <si>
    <t>PELAGIC LONGLINE FISHERY; ELASMOBRANCH BYCATCH; PERMANENT-MAGNETS; LANTHANIDE METAL; PACIFIC HALIBUT; SANDBAR SHARKS; SPINY DOGFISH; RAYS; CATCH; HAMMERHEAD</t>
  </si>
  <si>
    <t>Catches of draughtboard shark (Cephaloscylliwn laticeps) in the Tasmanian Southern Rock Lobster Fishery are considered an economic and potentially ecological issue. Consequently, there is interest in developing strategies to mitigate and minimise shark bycatch within this fishery. This field study examined the behavioural responses of draughtboard sharks to neodymium-iron-boron (Nd2Fe14B) rare earth magnetic rods attached to baited video apparatus. Two magnetic treatments and one control were used in 12 x 1.5 h observational trials conducted in inshore waters of Tasmania, Australia. Results demonstrate that draughtboard sharks: (1) showed substantial individual variation in behaviours both between and within treatments, with no patterns of individual responses observed over time to both magnetic treatments or the control, (2) showed significant differences in initial interactions between the magnetic treatments and the control, and (3) attempted to take bait at the control significantly more often than at the 2-magnet treatment. These findings demonstrate the individualistic and highly variable response behaviours of draughtboard sharks to rare earth magnets. Understanding such behaviours may facilitate the development of effective deterrent strategies in this fishery and improve management of shark-fishery interactions globally.</t>
  </si>
  <si>
    <t>[Westlake, Emma L.] Pk Victoria, Tenancy 5 Bldg 6,Wharf St East, Queenscliff, Vic 3225, Australia; [Williams, Mike; Rawlinson, Nick] Univ Tasmania, Inst Marine &amp; Antarctic Studies, Launceston, Tas 7250, Australia</t>
  </si>
  <si>
    <t>Westlake, EL (corresponding author), Pk Victoria, Tenancy 5 Bldg 6,Wharf St East, Queenscliff, Vic 3225, Australia.</t>
  </si>
  <si>
    <t>emma.westlake@parks.vic.gov.au</t>
  </si>
  <si>
    <t>Westlake, Emma/0000-0001-8439-2643</t>
  </si>
  <si>
    <t>10.1016/j.fishres.2018.01.001</t>
  </si>
  <si>
    <t>FU9OL</t>
  </si>
  <si>
    <t>WOS:000424185300011</t>
  </si>
  <si>
    <t>Wang, Y; Wang, SY; Luo, HT; Lv, YC</t>
  </si>
  <si>
    <t>Wang, Yu; Wang, Shuangyao; Luo, Hongtian; Lv, Yancheng</t>
  </si>
  <si>
    <t>Transforming Growth Factor β1 Gene Play a Novel Role in Innate Immune Response in Pelteobagrus fulvidraco</t>
  </si>
  <si>
    <t>TURKISH JOURNAL OF FISHERIES AND AQUATIC SCIENCES</t>
  </si>
  <si>
    <t>Pelteobagrus fulvidraco; TGF-beta 1; Inherent immune reaction</t>
  </si>
  <si>
    <t>TROUT ONCORHYNCHUS-MYKISS; RESPIRATORY BURST ACTIVITY; RAINBOW-TROUT; TGF-BETA; MALE POPULATIONS; MESSENGER-RNA; EXPRESSION; TGF-BETA-1; L.; TRANSFORMING-GROWTH-FACTOR-BETA-1</t>
  </si>
  <si>
    <t>Transforming growth factor-beta 1 (TGF-beta 1) as a member of TGF-beta superfamily plays crucial roles in regulation of immune responses. Yellow catfish, Pelteobagrus fulvidraco, is one of the most important freshwater aquaculture species in China, but little is known about its genes related to immune response. The present study cloned cDNA encoding TGF-beta 1 from P. fulvidraco. The results showed the full-length cDNA of TGF-beta 1 is 2,816 bp and encodes 461 amino acids. The homology of P. fulvidraco TGF-beta 1 depicted 83% and 81% similarity to the TGF-beta 1 in Stegastes partitus and Pundamilia nyererei respectively. The phylogenetic tree construction revealed that P. fulvidraco is closely related to Astyanax mexicanus. Analysis of mRNA expression of TGF-beta 1 in different tissues (gonads, brain, liver, kidney, spleen, intestine, blood, gills, muscle and heart) revealed that TGF-beta 1 is predominantly expressed in liver and brain, followed by gill and spleen. TGF-beta 1 gene in gill and spleen up-regulated for 48h after Edwardsiella ictaluri and Flavobacterium columnare injection, then the expression showed a significant decrease (p&lt;0.05). These results indicated that TGF-beta 1 contributes to the inherent immune reaction of P. fulvidraco.</t>
  </si>
  <si>
    <t>[Wang, Yu; Lv, Yancheng] Zunyi Med Univ, Zhuhai Campus, Zhuhai 519040, Peoples R China; [Wang, Yu] Jilin Univ, Zhuhai Coll, Zhuhai 519041, Peoples R China; [Wang, Shuangyao; Luo, Hongtian] Univ Tasmania, Inst Marine &amp; Antarctic Studies, Fisheries &amp; Aquaculture, Private Bag 49, Hobart, Tas 7001, Australia; [Luo, Hongtian] Jinan Univ, Inst Hydrobiol, Jinan, Shandong, Peoples R China; [Luo, Hongtian] Jinan Univ, Key Lab Aquat Eutrophicat &amp; Control Harmful Algal, Jinan, Shandong, Peoples R China</t>
  </si>
  <si>
    <t>Zunyi Medical University; Jilin University; University of Tasmania; Chinese Academy of Sciences; University of Jinan; University of Jinan</t>
  </si>
  <si>
    <t>Lv, YC (corresponding author), Zunyi Med Univ, Zhuhai Campus, Zhuhai 519040, Peoples R China.</t>
  </si>
  <si>
    <t>yjskyb@163.com</t>
  </si>
  <si>
    <t>Luo, Hongtian/ABC-7522-2020</t>
  </si>
  <si>
    <t>CENTRAL FISHERIES RESEARCH INST</t>
  </si>
  <si>
    <t>TRABZON</t>
  </si>
  <si>
    <t>PO BOX 129, TRABZON, 61001, TURKEY</t>
  </si>
  <si>
    <t>1303-2712</t>
  </si>
  <si>
    <t>2149-181X</t>
  </si>
  <si>
    <t>TURK J FISH AQUAT SC</t>
  </si>
  <si>
    <t>Turk. J. Fish. Quat. Sci.</t>
  </si>
  <si>
    <t>10.4194/1303-2712-v18_4_05</t>
  </si>
  <si>
    <t>FT2EP</t>
  </si>
  <si>
    <t>WOS:000422953000005</t>
  </si>
  <si>
    <t>Yilmaz, IN; Ergul, HA; Mavruk, S; Tas, S; Aker, HV; Yildiz, M; Ozturk, B</t>
  </si>
  <si>
    <t>Yilmaz, Izzet Noyan; Ergul, Halim Aytekin; Mavruk, Sinan; Tas, Seyfettin; Aker, Halim Vedat; Yildiz, Melek; Ozturk, Bayram</t>
  </si>
  <si>
    <t>Coastal Plankton Assemblages in the Vicinity of Galindez Island and Neumayer Channel (Western Antarctic Peninsula) during the First Joint Turkish - Ukrainian Antarctic Research Expedition</t>
  </si>
  <si>
    <t>Antarctica; Galindez Island; Vernadsky Research Base; phytoplankton; zooplankton; hydrography</t>
  </si>
  <si>
    <t>CLIMATE-CHANGE; COPEPOD; OITHONA</t>
  </si>
  <si>
    <t>Western Antarctic Peninsula is one of the fastest warming areas on Earth and coastal areas of the region are foremost affected. Here we present the state of coastal plankton assemblages of the Galindez Island and Neumayer Channel, Western Antarctic Peninsula in austral autumn (April 2016). Surface water temperatures were ranged between -0.12 degrees C and -0.97 degrees C and average chlorophyll-a concentrations were 0.65 mu g/l. A total of 50 phytoplankton and 24 zooplankton taxa (15 copepods and 9 meroplanktonic species) were identified during the sampling period. Diatom species (78%) predominated phytoplankton and the highest abundance was 820 cells l(-1), while the highest number of phytoplankton species was 42. Zooplankton was prevailed by the dominance of copepods, except contribution of meroplankton at the Neumayer channel. Highest zooplankton abundance was 101 ind.m(-3). The sampling season was the transition period from the productive spring-summer to dormant winter conditions, which explains the low abundances registered, however, on contrary to low cell abundances, diversity was high within plankton.</t>
  </si>
  <si>
    <t>[Yilmaz, Izzet Noyan; Tas, Seyfettin] Istanbul Univ, Inst Marine Sci &amp; Management, Istanbul, Turkey; [Ergul, Halim Aytekin] Kocaeli Univ, Fac Sci &amp; Arts, Dept Biol, Kocaeli, Turkey; [Mavruk, Sinan] Cukurova Univ, Fisheries Fac, Adana, Turkey; [Aker, Halim Vedat; Yildiz, Melek] Ege Univ, Fisheries Fac, Izmir, Turkey; [Ozturk, Bayram] Istanbul Univ, Fisheries Fac, Istanbul, Turkey</t>
  </si>
  <si>
    <t>Istanbul University; Kocaeli University; Cukurova University; Ege University; Istanbul University</t>
  </si>
  <si>
    <t>Yilmaz, IN (corresponding author), Istanbul Univ, Inst Marine Sci &amp; Management, Istanbul, Turkey.</t>
  </si>
  <si>
    <t>noyan@istanbul.edu.tr</t>
  </si>
  <si>
    <t>Yilmaz, Izzet Noyan N/B-4279-2013; Öztürk, Bayram/AAD-6228-2020; Aker, Halim Vedat/A-9626-2018; Ergül, Halim Aytekin/F-5129-2018; Mavruk, Sinan/E-5611-2018; Tas, Seyfettin/AAC-5594-2020</t>
  </si>
  <si>
    <t>Öztürk, Bayram/0000-0001-7844-2448; Aker, Halim Vedat/0000-0001-8101-644X; Mavruk, Sinan/0000-0003-1958-0634; Tas, Seyfettin/0000-0002-4660-3937</t>
  </si>
  <si>
    <t>Scientific Research Projects Coordination Unit of Istanbul University [FOA-2016-20530]; Scientific Research Projects Coordination Unit of Kocaeli University [KOU-BAPB-2016/026]; Scientific Research Projects Coordination Unit of Cukurova University [FBA-2016-6205]; first joint Turkish-Ukrainian Antarctic Research Expedition</t>
  </si>
  <si>
    <t>Scientific Research Projects Coordination Unit of Istanbul University(Istanbul University); Scientific Research Projects Coordination Unit of Kocaeli University(Kocaeli University); Scientific Research Projects Coordination Unit of Cukurova University(Cukurova University); first joint Turkish-Ukrainian Antarctic Research Expedition</t>
  </si>
  <si>
    <t>This work is supported by the Scientific Research Projects Coordination Unit of Istanbul University (FOA-2016-20530), Scientific Research Projects Coordination Unit of Kocaeli University (KOU-BAPB-2016/026), Scientific Research Projects Coordination Unit of Cukurova University (FBA-2016-6205) and the first joint Turkish-Ukrainian Antarctic Research Expedition. Authors thank the captain and crew of M/V Ushuaia, as well as the Turkish and Ukrainian authorities for their valuable help and support.</t>
  </si>
  <si>
    <t>10.4194/1303-2712-v18_4_09</t>
  </si>
  <si>
    <t>WOS:000422953000009</t>
  </si>
  <si>
    <t>Yang, J; Xiao, CD</t>
  </si>
  <si>
    <t>Yang, Jiao; Xiao, Cunde</t>
  </si>
  <si>
    <t>The evolution and volcanic forcing of the southern annular mode during the past 300 years</t>
  </si>
  <si>
    <t>Antarctic; ice core; southern annular mode; reconstruction; volcanic forcing</t>
  </si>
  <si>
    <t>LEVEL PRESSURE VARIABILITY; ATMOSPHERIC CIRCULATION; OZONE DEPLETION; ICE-CORE; CLIMATE VARIABILITY; EAST ANTARCTICA; INDIAN-OCEAN; HEMISPHERE; RECORD; OSCILLATION</t>
  </si>
  <si>
    <t>A positive change in the southern annular mode (SAM), which is the primary pattern of climate variability in the Southern Hemisphere, has been induced predominantly by polar stratospheric ozone depletion. However, the lack of long-term observational records limits our understanding of the long-term SAM behaviour. In this study, we found that the geochemical record of the LGB69 ice core from the eastern coast of Antarctica was significantly correlated with the winter SAM index (SAMI). In addition, we developed an annual mean SAMI beginning in 1701 based on 15 annually resolved ice cores and relevant proxy-climate relationships. Our reconstruction accounted for 54.8% of the total variance from 1957 to 2000 (the calibration period). We demonstrate that the recent positive phase shift in the annual mean SAMI since the 1970s is unprecedented, with the estimate for the latest regime in the 1990s reaching values 2.5 times the standard deviation above the baseline (1701-2000). This peak value also coincides with the largest 30- and 50-year trends, which have occurred at the end of the 20th century. From the reconstructed SAMI, we also found that the response to large volcanic events was likely positive in the 3 years after the eruption, but this positive response can be masked by internal climate variability when a strong El Nino event occurs in the eruption year.</t>
  </si>
  <si>
    <t>[Yang, Jiao; Xiao, Cunde] Chinese Acad Sci, Northwest Inst Ecoenvironm &amp; Resources, State Key Lab Cryospher Sci, Lanzhou, Gansu, Peoples R China; [Xiao, Cunde] Beijing Normal Univ, State Key Lab Earth Surface &amp; Source Ecol, 19 XinJieKouWai St, Beijing 100875, Peoples R China; [Yang, Jiao; Xiao, Cunde] Univ Chinese Acad Sci, Coll Resources &amp; Environm, Beijing, Peoples R China</t>
  </si>
  <si>
    <t>Chinese Academy of Sciences; Beijing Normal University; Chinese Academy of Sciences; University of Chinese Academy of Sciences, CAS</t>
  </si>
  <si>
    <t>Xiao, CD (corresponding author), Beijing Normal Univ, State Key Lab Earth Surface &amp; Source Ecol, 19 XinJieKouWai St, Beijing 100875, Peoples R China.</t>
  </si>
  <si>
    <t>cdxiao@bnu.edu.cn</t>
  </si>
  <si>
    <t>Yang, Jiao/JTV-6688-2023</t>
  </si>
  <si>
    <t>National Natural Science Foundation of China (NSFC) [41425003]; Ministry of Science Foundation of China (MOST) [2013CBA01804]; State Oceanic Administration of People's Republic of China Project on Climate in Polar Regions [CHINARE2017-02-02, CHINARE2017-04-04]</t>
  </si>
  <si>
    <t>National Natural Science Foundation of China (NSFC)(National Natural Science Foundation of China (NSFC)); Ministry of Science Foundation of China (MOST); State Oceanic Administration of People's Republic of China Project on Climate in Polar Regions</t>
  </si>
  <si>
    <t>This research was supported by the National Natural Science Foundation of China (NSFC, 41425003), the Ministry of Science Foundation of China (MOST, 2013CBA01804), and the State Oceanic Administration of People's Republic of China Project on Climate in Polar Regions (CHINARE2017-02-02 and CHINARE2017-04-04). We gratefully acknowledge the contributors who supplied the proxy data used in this study. We also wish to acknowledge Dr. Jianglin Wang and anonymous reviewers for commenting on the manuscript.</t>
  </si>
  <si>
    <t>MAR 30</t>
  </si>
  <si>
    <t>10.1002/joc.5290</t>
  </si>
  <si>
    <t>FY6ZP</t>
  </si>
  <si>
    <t>WOS:000427011700008</t>
  </si>
  <si>
    <t>Ratnarajah, L; Nicol, S; Bowie, AR</t>
  </si>
  <si>
    <t>Ratnarajah, Lavenia; Nicol, Steve; Bowie, Andrew R.</t>
  </si>
  <si>
    <t>Pelagic Iron Recycling in the Southern Ocean: Exploring the Contribution of Marine Animals</t>
  </si>
  <si>
    <t>biological carbon pump; iron; carbon; Southern Ocean; biological recycling</t>
  </si>
  <si>
    <t>ZOOPLANKTON FECAL PELLETS; KRILL EUPHAUSIA-SUPERBA; ANTARCTIC POLAR FRONT; DISSOLVED IRON; NATURAL FERTILIZATION; COMPLEXING LIGANDS; ATMOSPHERIC CO2; COLLOIDAL IRON; ORGANIC-CARBON; BALEEN WHALES</t>
  </si>
  <si>
    <t>The availability of iron controls primary productivity in large areas of the Southern Ocean. Iron is largely supplied via atmospheric dust deposition, melting ice, the weathering of shelf sediments, upwelling, sediment resuspension, mixing (deep water, biogenic, and vertical mixing) and hydrothermal vents with varying degrees of temporal and spatial importance. However, large areas of the Southern Ocean are remote from these sources, leading to regions of low primary productivity. Recent studies suggest that recycling of iron by animals in the surface layer could enhance primary productivity in the Southern Ocean. The aim of this review is to provide a quantitative and qualitative assessment of the current literature on pelagic iron recycling by marine animals in the Southern Ocean and highlight the next steps forward in quantifying the retention and recycling of iron by higher trophic levels in the Southern Ocean. Phytoplankton utilize the iron in seawater to meet their metabolic demand. Through grazing, pelagic herbivores transfer the iron in phytoplankton cells into their body tissues and organs. Herbivores can recycle iron through inefficient feeding behavior that release iron into the water before ingestion, and through the release of fecal pellets. The iron stored within herbivores is transferred to higher trophic levels when they are consumed. When predators consume iron beyond their metabolic demand it is either excreted or defecated. Waste products from pelagic vertebrates can thus contain high concentrations of iron which may be in a form that is available to phytoplankton. Bioavailability of fecal iron for phytoplankton growth is influenced by a combination of the size of the fecal particle, presence of organic ligands, the oxidation state of the iron, as well as biological (e.g., remineralization, coprochaly, coprorhexy, and coprophagy) and physical (e.g., dissolution, fragmentation) processes that lead to the degradation and release of fecal iron. The flux of dissolved iron from pelagic recycling is comparable to other sources in the region such as atmospheric dust, vertical diffusivity, vertical flux, lateral flux and upwelling, but lower than sea ice, icebergs, sediment resuspension, and deep winter mixing. The temporal and seasonal importance of these various factors requires further examination.</t>
  </si>
  <si>
    <t>[Ratnarajah, Lavenia; Nicol, Steve; Bowie, Andrew R.] Univ Tasmania, Antarctic Climate &amp; Ecosyst Cooperat Res Ctr, Hobart, Tas, Australia; [Nicol, Steve; Bowie, Andrew R.] Univ Tasmania, Inst Marine &amp; Antarctic Studies, Hobart, Tas, Australia</t>
  </si>
  <si>
    <t>University of Tasmania; Antarctic Climate &amp; Ecosystems Cooperative Research Centre (ACE CRC); University of Tasmania</t>
  </si>
  <si>
    <t>Ratnarajah, L (corresponding author), Univ Tasmania, Antarctic Climate &amp; Ecosyst Cooperat Res Ctr, Hobart, Tas, Australia.</t>
  </si>
  <si>
    <t>l.ratnarajah@liverpool.ac.uk</t>
  </si>
  <si>
    <t>; Bowie, Andrew/C-8677-2013</t>
  </si>
  <si>
    <t>Ratnarajah, Lavenia/0000-0002-1021-1923; Bowie, Andrew/0000-0002-5144-7799</t>
  </si>
  <si>
    <t>Australian Government's Cooperative Research Centres Programme through the Antarctic Climate and Ecosystem Cooperative Research Centre; Institute for Marine and Antarctic Studies; Holsworth Wildlife Research Endowment; Scientific Committee on Antarctic Research (SCAR) Fellowship</t>
  </si>
  <si>
    <t>Australian Government's Cooperative Research Centres Programme through the Antarctic Climate and Ecosystem Cooperative Research Centre(Australian GovernmentDepartment of Industry, Innovation and ScienceCooperative Research Centres (CRC) Programme); Institute for Marine and Antarctic Studies; Holsworth Wildlife Research Endowment; Scientific Committee on Antarctic Research (SCAR) Fellowship</t>
  </si>
  <si>
    <t>We would like to thank Prof. Tom Trull, and Dr. Jessica Melbourne-Thomas for their comments and suggestions during the development of this manuscript. This work was supported by the Australian Government's Cooperative Research Centres Programme through the Antarctic Climate and Ecosystem Cooperative Research Centre, the Institute for Marine and Antarctic Studies, the Holsworth Wildlife Research Endowment and the Scientific Committee on Antarctic Research (SCAR) Fellowship.</t>
  </si>
  <si>
    <t>MAR 29</t>
  </si>
  <si>
    <t>10.3389/fmars.2018.00109</t>
  </si>
  <si>
    <t>HJ1RG</t>
  </si>
  <si>
    <t>WOS:000456941200001</t>
  </si>
  <si>
    <t>Hernández, ASR; Flores, JA; Sierro, FJ; Fuertes, MA; Cros, L; Trull, TW</t>
  </si>
  <si>
    <t>Rigual Hernandez, Andres S.; Flores, Jose A.; Sierro, Francisco J.; Fuertes, Miguel A.; Cros, Lluisa; Trull, Thomas W.</t>
  </si>
  <si>
    <t>Coccolithophore populations and their contribution to carbonate export during an annual cycle in the Australian sector of the Antarctic zone</t>
  </si>
  <si>
    <t>POLAR FRONTAL ZONES; SOUTHERN-OCEAN SOUTH; EMILIANIA-HUXLEYI; IRON FERTILIZATION; PHYTOPLANKTON SUCCESSION; ENVIRONMENTAL CONTROLS; COMMUNITY STRUCTURE; CALCITE PRODUCTION; ATMOSPHERIC CO2; SEDIMENT TRAPS</t>
  </si>
  <si>
    <t>The Southern Ocean is experiencing rapid and relentless change in its physical and biogeochemical properties. The rate of warming of the Antarctic Circumpolar Current exceeds that of the global ocean, and the enhanced uptake of carbon dioxide is causing basin-wide ocean acidification. Observational data suggest that these changes are influencing the distribution and composition of pelagic plankton communities. Long-term and annual field observations on key environmental variables and organisms are a critical basis for predicting changes in Southern Ocean ecosystems. These observations are particularly needed, since high-latitude systems have been projected to experience the most severe impacts of ocean acidification and invasions of allochthonous species. Coccolithophores are the most prolific calcium-carbonate-producing phytoplankton group playing an important role in Southern Ocean biogeochemical cycles. Satellite imagery has revealed elevated particulate inorganic carbon concentrations near the major circumpolar fronts of the Southern Ocean that can be attributed to the coccolithophore Emiliania huxleyi. Recent studies have suggested changes during the last decades in the distribution and abundance of Southern Ocean coccolithophores. However, due to limited field observations, the distribution, diversity and state of coccolithophore populations in the Southern Ocean remain poorly characterised. We report here on seasonal variations in the abundance and composition of coccolithophore assemblages collected by two moored sediment traps deployed at the Antarctic zone south of Australia (2000 and 3700m of depth) for 1 year in 2001-2002. Additionally, seasonal changes in coccolith weights of E. huxleyi populations were estimated using circularly polarised micrographs analysed with C-Calcita software. Our findings indicate that (1) coccolithophore sinking assemblages were nearly monospecific for E. huxleyi morphotype B/C in the Antarctic zone waters in 2001-2002; (2) coccoliths captured by the traps experienced weight and length reduction during summer (December-February); (3) the estimated annual coccolith weight of E. huxleyi at both sediment traps (2.11 +/- 0.96 and 2.13 +/- 0.91 pg at 2000 and 3700 m) was consistent with previous studies for morphotype B/C in other Southern Ocean settings (Scotia Sea and Patagonian shelf); and (4) coccolithophores accounted for approximately 2-5% of the annual deep-ocean CaCO3 flux. Our results are the first annual record of coccolithophore abundance, composition and degree of calcification in the Antarctic zone. They provide a baseline against which to monitor coccolithophore responses to changes in the environmental conditions expected for this region in coming decades.</t>
  </si>
  <si>
    <t>[Rigual Hernandez, Andres S.; Flores, Jose A.; Sierro, Francisco J.; Fuertes, Miguel A.] Univ Salamanca, Dept Geol, Area Paleontol, E-37008 Salamanca, Spain; [Cros, Lluisa] CSIC, Inst Ciencies Mar, Passeig Maritim 37-49, E-08003 Barcelona, Spain; [Trull, Thomas W.] Univ Tasmania, Antarctic Climate &amp; Ecosyst Cooperat Res Ctr, Hobart, Tas 7001, Australia; [Trull, Thomas W.] CSIRO Oceans &amp; Atmosphere Flagship, Hobart, Tas 7001, Australia</t>
  </si>
  <si>
    <t>University of Salamanca; Consejo Superior de Investigaciones Cientificas (CSIC); CSIC - Centro Mediterraneo de Investigaciones Marinas y Ambientales (CMIMA); CSIC - Instituto de Ciencias del Mar (ICM); University of Tasmania; Antarctic Climate &amp; Ecosystems Cooperative Research Centre (ACE CRC); Commonwealth Scientific &amp; Industrial Research Organisation (CSIRO)</t>
  </si>
  <si>
    <t>Hernández, ASR (corresponding author), Univ Salamanca, Dept Geol, Area Paleontol, E-37008 Salamanca, Spain.</t>
  </si>
  <si>
    <t>arigual@usal.es</t>
  </si>
  <si>
    <t>Rigual-Hernández, Andrés/E-2041-2018; Sierro, Francisco/A-4714-2008; Fuertes, Miguel Angel/AAD-4672-2021; Flores, José-Abel/D-4218-2009; Cros, Lluisa/AAA-2877-2019</t>
  </si>
  <si>
    <t>Rigual-Hernández, Andrés/0000-0003-1521-3896; Sierro, Francisco/0000-0002-8647-456X; Fuertes, Miguel Angel/0000-0002-6914-6871; Flores, José-Abel/0000-0003-1909-293X;</t>
  </si>
  <si>
    <t>Australian Commonwealth Cooperative Research Centres Program; Australian Antarctic Division [1156, 2256]; Australian government's Australian Antarctic Science Grant Program [4078]; European Union's Horizon research and innovation programme under the Marie Sklodowska-Curie grant [748690]; Marie Curie Actions (MSCA) [748690] Funding Source: Marie Curie Actions (MSCA)</t>
  </si>
  <si>
    <t>Australian Commonwealth Cooperative Research Centres Program(Australian GovernmentDepartment of Industry, Innovation and ScienceCooperative Research Centres (CRC) Programme); Australian Antarctic Division; Australian government's Australian Antarctic Science Grant Program(Australian Government); European Union's Horizon research and innovation programme under the Marie Sklodowska-Curie grant(European Union (EU)); Marie Curie Actions (MSCA)(Marie Curie Actions)</t>
  </si>
  <si>
    <t>Sediment trap deployments and sample processing were carried out by ACE CRC staff (including Stephen Bray and Diana Davies) with support from the Australian Commonwealth Cooperative Research Centres Program and Australian Antarctic Division (via AAS awards 1156 and 2256 to Thomas W. Trull). Subsampling for coccolith analysis was made possible by the Australian government's Australian Antarctic Science Grant Program (project number 4078) and Macquarie University (Leanne K. Armand, Andres S. Rigual-Hernandez and Thomas W. Trull). Leanne K. Armand is acknowledged for her support in this study. We would like to express our sincere thanks to two anonymous reviewers and Emilio Maranon for valuable comments and remarks that greatly helped to improve the paper. This project has received funding from the European Union's Horizon 2020 research and innovation programme under the Marie Sklodowska-Curie grant agreement number 748690 - SONAR-CO2 (Andres S. Rigual-Hernandez and Jose A. Flores). We thank Charlie B. Miller for English corrections and comments on an earlier version of the paper.</t>
  </si>
  <si>
    <t>10.5194/bg-15-1843-2018</t>
  </si>
  <si>
    <t>GB2SJ</t>
  </si>
  <si>
    <t>WOS:000428904900002</t>
  </si>
  <si>
    <t>Keller, DP; Lenton, A; Scott, V; Vaughan, NE; Bauer, N; Ji, DY; Jones, CD; Kravitz, B; Muri, H; Zickfeld, K</t>
  </si>
  <si>
    <t>Keller, David P.; Lenton, Andrew; Scott, Vivian; Vaughan, Naomi E.; Bauer, Nico; Ji, Duoying; Jones, Chris D.; Kravitz, Ben; Muri, Helene; Zickfeld, Kirsten</t>
  </si>
  <si>
    <t>The Carbon Dioxide Removal Model Intercomparison Project (CDRMIP): rationale and experimental protocol for CMIP6</t>
  </si>
  <si>
    <t>ARTIFICIAL OCEAN ALKALINIZATION; NEGATIVE FEEDBACK; ATMOSPHERIC CO2; CLIMATE; IMPACTS; CAPTURE; CYCLE; SCALE; ACIDIFICATION; MITIGATION</t>
  </si>
  <si>
    <t>The recent IPCC reports state that continued anthropogenic greenhouse gas emissions are changing the climate, threatening severe, pervasive and irreversible impacts. Slow progress in emissions reduction to mitigate climate change is resulting in increased attention to what is called geoengineering, climate engineering, or climate intervention - deliberate interventions to counter climate change that seek to either modify the Earth's radiation budget or remove greenhouse gases such as CO2 from the atmosphere. When focused on CO2, the latter of these categories is called carbon dioxide removal (CDR). Future emission scenarios that stay well below 2 degrees C, and all emission scenarios that do not exceed 1.5 degrees C warming by the year 2100, require some form of CDR. At present, there is little consensus on the climate impacts and atmospheric CO2 reduction efficacy of the different types of proposed CDR. To address this need, the Carbon Dioxide Removal Model Intercomparison Project (or CDRMIP) was initiated. This project brings together models of the Earth system in a common framework to explore the potential, impacts, and challenges of CDR. Here, we describe the first set of CDRMIP experiments, which are formally part of the 6th Coupled Model Intercomparison Project (CMIP6). These experiments are designed to address questions concerning CDR-induced climate reversibility, the response of the Earth system to direct atmospheric CO2 removal (direct air capture and storage), and the CDR potential and impacts of afforestation and reforestation, as well as ocean alkalinization.</t>
  </si>
  <si>
    <t>[Keller, David P.] GEOMAR Helmholtz Ctr Ocean Res Kiel, Kiel, Germany; [Lenton, Andrew] CSIRO Oceans &amp; Atmosphere, Hobart, Tas, Australia; [Lenton, Andrew] Antarctic Climate &amp; Ecosyst Cooperat Res Ctr, Hobart, Tas, Australia; [Scott, Vivian] Univ Edinburgh, Sch GeoSci, Edinburgh, Midlothian, Scotland; [Vaughan, Naomi E.] Univ East Anglia, Sch Environm Sci, Tyndall Ctr Climate Change Res, Norwich, Norfolk, England; [Bauer, Nico] Potsdam Inst Climate Impact Res, Potsdam, Germany; [Bauer, Nico] Leibniz Assoc, Potsdam, Germany; [Ji, Duoying] Beijing Normal Univ, Coll Global Change &amp; Earth Syst Sci, Beijing, Peoples R China; [Jones, Chris D.] Met Off Hadley Ctr, Exeter, Devon, England; [Kravitz, Ben] Pacific Northwest Natl Lab, Atmospher Sci &amp; Global Change Div, Richland, WA USA; [Muri, Helene] Univ Oslo, Dept Geosci, Oslo, Norway; [Zickfeld, Kirsten] Simon Fraser Univ, Dept Geog, Burnaby, BC, Canada</t>
  </si>
  <si>
    <t>Helmholtz Association; GEOMAR Helmholtz Center for Ocean Research Kiel; Commonwealth Scientific &amp; Industrial Research Organisation (CSIRO); Antarctic Climate &amp; Ecosystems Cooperative Research Centre (ACE CRC); University of Edinburgh; University of East Anglia; Potsdam Institut fur Klimafolgenforschung; Beijing Normal University; Met Office - UK; Hadley Centre; United States Department of Energy (DOE); Pacific Northwest National Laboratory; University of Oslo; Simon Fraser University</t>
  </si>
  <si>
    <t>Keller, DP (corresponding author), GEOMAR Helmholtz Ctr Ocean Res Kiel, Kiel, Germany.</t>
  </si>
  <si>
    <t>dkeller@geomar.de</t>
  </si>
  <si>
    <t>Zickfeld, Kirsten/JVN-0763-2024; Ji, Duoying/AAF-9425-2021; Jones, Chris/I-2983-2014; Muri, Helene/D-4845-2015; Kravitz, Ben/P-7925-2014; Lenton, Andrew/D-2077-2012; Keller, David P./F-4864-2013</t>
  </si>
  <si>
    <t>Jones, Chris/0000-0002-7141-9285; Muri, Helene/0000-0003-4738-493X; Kravitz, Ben/0000-0001-6318-1150; Lenton, Andrew/0000-0001-9437-8896; Bauer, Nico/0000-0002-0211-4162; Vaughan, Naomi/0000-0002-4532-2084; Zickfeld, Kirsten/0000-0001-8866-6541; Scott, Vivian/0000-0002-4599-194X; Keller, David P./0000-0002-7546-4614</t>
  </si>
  <si>
    <t>German Research Foundation [KE 2149/2-1]; Natural Sciences and Engineering Research Council of Canada (NSERC); US Department of Energy by Battelle Memorial Institute [DE-AC05-76RL01830]; National Basic Research Program of China [2015CB953600]; Joint UK BEIS/Defra Met Office Hadley Centre Climate Programme [GA01101]; European Union [641816]; Norwegian Research Council [261862/E10]; UK Natural Environment Research Council GHG Removal Programme [NE/P019749/1]; NERC [NE/P019749/1] Funding Source: UKRI</t>
  </si>
  <si>
    <t>German Research Foundation(German Research Foundation (DFG)); Natural Sciences and Engineering Research Council of Canada (NSERC)(Natural Sciences and Engineering Research Council of Canada (NSERC)); US Department of Energy by Battelle Memorial Institute(United States Department of Energy (DOE)); National Basic Research Program of China(National Basic Research Program of China); Joint UK BEIS/Defra Met Office Hadley Centre Climate Programme; European Union(European Union (EU)); Norwegian Research Council(Research Council of Norway); UK Natural Environment Research Council GHG Removal Programme; NERC(UK Research &amp; Innovation (UKRI)Natural Environment Research Council (NERC))</t>
  </si>
  <si>
    <t>David P. Keller and Nico Bauer acknowledge funding received from the German Research Foundation's Priority Program 1689 Climate Engineering (project CDR-MIA; KE 2149/2-1). Kirsten Zickfeld acknowledges support from the Natural Sciences and Engineering Research Council of Canada (NSERC) Discovery grant program. The Pacific Northwest National Laboratory is operated for the US Department of Energy by Battelle Memorial Institute under contract DE-AC05-76RL01830. Duoying Ji acknowledges support from the National Basic Research Program of China under grant number 2015CB953600. CDJ was supported by the Joint UK BEIS/Defra Met Office Hadley Centre Climate Programme (GA01101) and by the European Union's Horizon 2020 research and innovation program under grant agreement no. 641816 (CRESCENDO). Helene Muri was supported by Norwegian Research Council grant 261862/E10. Vivian Scott acknowledges funding received from UK Natural Environment Research Council GHG Removal Programme (NE/P019749/1).</t>
  </si>
  <si>
    <t>10.5194/gmd-11-1133-2018</t>
  </si>
  <si>
    <t>GB1UQ</t>
  </si>
  <si>
    <t>WOS:000428836100001</t>
  </si>
  <si>
    <t>Henkemans, E; Frape, SK; Ruskeeniemi, T; Anderson, NJ; Hobbs, M</t>
  </si>
  <si>
    <t>Henkemans, Emily; Frape, Shaun K.; Ruskeeniemi, Timo; Anderson, Nicholas John; Hobbs, Monique</t>
  </si>
  <si>
    <t>A landscape-isotopic approach to the geochemical characterization of lakes in the Kangerlussuaq region, west Greenland</t>
  </si>
  <si>
    <t>Permafrost; isotope geochemistry; Greenland</t>
  </si>
  <si>
    <t>CHLORINE STABLE-ISOTOPE; SOUTHERN VICTORIA LAND; TAYLOR VALLEY; MICROBIOLOGICAL FRACTIONATION; STRONTIUM ISOTOPES; CHEMICAL RESPONSES; SONDRE STROMFJORD; WEATHERING RATES; ICE-SHEET; GROUNDWATER</t>
  </si>
  <si>
    <t>In west Greenland, an approximate chronosequence of landscape evolution and weathering exists between the coast, which has been ice free for long periods, and more recently deglaciated areas along the present day ice margin. Traditional geochemical and isotopic analyses (delta O-18, delta H-2, H-3, delta S-34/delta O-18 (SO4), and Sr-87/Sr- 86) along with novel isotopic tools, such as delta Cl-37 and delta Br-81, were used to provide new insights into lake geochemical processes along a transect of lakes from the coast to the ice margin in the Kangerlussuaq region. Evaporation was found to be a key process impacting lake chemistry and isotopic signatures in the ice marginal area, with decreasing importance toward the coast. Evaporative processes were apparent in the delta Cl-37 and delta Br-81 isotopic signatures of lake-water chemistry. Consistent with previous work elsewhere (e.g., Blum and Erel, 1995) on increased biotite weathering in glaciated environments, Sr-87/ Sr-86 isotopic ratios were found to be more radiogenic (&gt;0.73) in lakes found in more recently glaciated terrain. Sulfide oxidation was the main source of sulfur (as sulfate) in lakes in the ice marginal area, while the influence of marine aerosols and bacterial sulfate reduction increased further away from the ice sheet around the fjord Kangerlussuaq. Groundwater discharge significant enough to impact lake chemistry was not observed in any of the lakes studied, suggesting that little groundwater-surface water interaction occurs in the study area or that recharge conditions are present in the majority of the lakes studied.</t>
  </si>
  <si>
    <t>[Henkemans, Emily; Frape, Shaun K.] Univ Waterloo, Dept Earth Sci, Waterloo, ON, Canada; [Henkemans, Emily] Golder Associates, Whitehorse, YT, Canada; [Ruskeeniemi, Timo] Geol Survey Finland, Espoo, Finland; [Anderson, Nicholas John] Univ Loughborough, Dept Geog, Loughborough, Leics, England; [Hobbs, Monique] Nucl Waste Management Org, Toronto, ON, Canada</t>
  </si>
  <si>
    <t>University of Waterloo; Geological Survey of Finland (GTK); Loughborough University</t>
  </si>
  <si>
    <t>Henkemans, E (corresponding author), Univ Waterloo, Dept Earth Sci, Waterloo, ON, Canada.;Henkemans, E (corresponding author), Golder Associates, Whitehorse, YT, Canada.</t>
  </si>
  <si>
    <t>ehenkema@uwaterloo.ca</t>
  </si>
  <si>
    <t>Ruskeeniemi, Timo/0000-0002-9084-4199</t>
  </si>
  <si>
    <t>NWMO; Posiva; SKB; NSERC</t>
  </si>
  <si>
    <t>NWMO; Posiva; SKB; NSERC(Natural Sciences and Engineering Research Council of Canada (NSERC))</t>
  </si>
  <si>
    <t>NWMO, Posiva, and SKB for providing the financial support for the Greenland Analogue Project. NSERC for their financial support. Lillemor Claesson Liljedahl and Anne Kontula for their support of this research, their leg work, and their company in the field. All my other GAP colleagues.</t>
  </si>
  <si>
    <t>e1420863</t>
  </si>
  <si>
    <t>10.1080/15230430.2017.1420863</t>
  </si>
  <si>
    <t>GN1JX</t>
  </si>
  <si>
    <t>WOS:000438747000001</t>
  </si>
  <si>
    <t>Lambert, O; de Muizon, C; Duhamel, G; Van der Plicht, J</t>
  </si>
  <si>
    <t>Lambert, Olivier; de Muizon, Christian; Duhamel, Guy; Van der Plicht, Johannes</t>
  </si>
  <si>
    <t>Neogene and Quaternary fossil remains of beaked whales (Cetacea, Odontoceti, Ziphiidae) from deep-sea deposits off Crozet and Kerguelen islands, Southern Ocean</t>
  </si>
  <si>
    <t>GEODIVERSITAS</t>
  </si>
  <si>
    <t>Ziphiidae; Kerguelen Islands; Crozet Islands; Miocene; Quaternary; Southern Ocean; new species; beaked whale</t>
  </si>
  <si>
    <t>LATE MIOCENE; COLLAGEN; FLOOR; EVOLUTION; DENMARK; SHELF; BONE</t>
  </si>
  <si>
    <t>Although a high number of extant beaked whale species (Cetacea, Odontoceti, Ziphiidae) live in the Southern Ocean and neighbouring areas, only little is known about the past occupation of the region by these highly specialized, deep diving and echolocating cetaceans. Recently, longline fishing activities along the seafloor at depths of 500-2000 m off the sub-antarctic Crozet and Kerguelen islands, Indian sector of Southern Ocean, resulted in the accessory capture of tens of ziphiid fossil cranial remains. Our description and comparison of the best-preserved and most diagnostic crania from this sample lead to the identification of more than eight species in at least seven genera: the hyperoodontines Africanacetus ceratopsis, Khoikhoicetus kergueleni n. sp., Hyperoodontinae indet. aff. Africanacetus, and Mesoplodon sp. aff. Mesoplodon layardii, the ziphiines lzikoziphius rossi and Ziphius sp., and the ziphiids indet. Nenga sp. aff. Nenga meganasalis and Xhosacetus hendeysi. Unsurprisingly, with at least four species in common (A. ceratopsis, lzikoziphius rossi, X. hendeysi, and Ziphius sp.), the assemblage displays high similarities with assemblages described from deep-sea deposits off South Africa, providing thus new data on the palaeogeographic distribution of several extinct species and indicating a roughly similar geochronological age for at least a part of the assemblages. The limited amount of data available points to a pre-Pliocene age for a large part of the Crozet-Kerguelen assemblage, suggesting a relatively early, Miocene colonization of the Southern Ocean by crown ziphiids. Contrastingly, C-14 radiometric dating of two specimens of Mesoplodon sp. aff. Mesoploden layardii yielded latest Pleistocene-earliest Holocene ages. These results reveal the presence either of an extinct species of Mesoplodon in the Southern Ocean only a few thousands years ago, or of an up-to-now unidentified extant species closely related to the strap-toothed whale M. layardii.</t>
  </si>
  <si>
    <t>[Lambert, Olivier] Inst Royal Sci Nat Belgique, DO Terre &amp; Hist Vie, 29 Rue Vautier, B-1000 Brussels, Belgium; [de Muizon, Christian] Sorbonne Univ, Dept Origines &amp; Evolut, MNHN, CNRS,UPMC,CR2P, Case Postale 38,57 Rue Cuvier, F-75231 Paris 05, France; [Duhamel, Guy] Sorbonne Univ, Dept Adaptat Vivant, MNHN, UPMC,CNRS,IRD,UCN,UA,UMR BOREA 7208 207, Case Postale 26,57 Rue Cuvier, F-75231 Paris 05, France; [Van der Plicht, Johannes] Univ Groningen, Fac Sci &amp; Engn, Ctr Isotope Res, Nijenborgh 6, NL-9747 AG Groningen, Netherlands</t>
  </si>
  <si>
    <t>Centre National de la Recherche Scientifique (CNRS); Museum National d'Histoire Naturelle (MNHN); Sorbonne Universite; Centre National de la Recherche Scientifique (CNRS); Institut de Recherche pour le Developpement (IRD); Museum National d'Histoire Naturelle (MNHN); Sorbonne Universite; University of Groningen</t>
  </si>
  <si>
    <t>Lambert, O (corresponding author), Inst Royal Sci Nat Belgique, DO Terre &amp; Hist Vie, 29 Rue Vautier, B-1000 Brussels, Belgium.</t>
  </si>
  <si>
    <t>olivier.lambert@naturalsciences.be; muizon@mnhn.fr; duhamel@mnhn.fr; j.van.der.plicht@rug.nl</t>
  </si>
  <si>
    <t>Lambert, Olivier/AEN-2469-2022; De Muizon, Christian/P-4335-2017</t>
  </si>
  <si>
    <t>Lambert, Olivier/0000-0003-0740-5791; De Muizon, Christian/0000-0002-1247-8867</t>
  </si>
  <si>
    <t>Direction des Peches et des Questions Maritimes (DPQM) from Terres Australes et Antarctiques Francaises (TAAF)</t>
  </si>
  <si>
    <t>We would like to thank masters, crew, and fishery observers on board the French longliners operating in the Kerguelen and Crozet exclusive economic zones (EEZs); T. Clot and Direction des Peches et des Questions Maritimes (DPQM) from Terres Australes et Antarctiques Francaises (TAAF) for their constant logistic efforts and financial support to transfer the heavy samples from Reunion island to MNHN (Paris); N. Gasco for discussions on longline fishing techniques; K. Post for advice on radiometric datings and for facilitating the transfer of samples to Groningen University; G. Bianucci for discussions on ziphiid paleontology and for providing the photos of Khoikhoicetus agulhasis and Mesoplodon layardii; M. D. Uhen for his effort compiling cetacean data in the Paleobiology Database; and P. Loubry for the excellent photographic work. Constructive comments from the two reviewers G. Bianucci and H. Ichishima considerably improved the quality of this work.</t>
  </si>
  <si>
    <t>MUSEUM NATL HISTOIRE NATURELLE</t>
  </si>
  <si>
    <t>PARIS</t>
  </si>
  <si>
    <t>SERVICE PUBLICATIONS SCIENTIFIQUES, 57 RUE CUVIER, 75005 PARIS, FRANCE</t>
  </si>
  <si>
    <t>1280-9659</t>
  </si>
  <si>
    <t>1638-9395</t>
  </si>
  <si>
    <t>Geodiversitas</t>
  </si>
  <si>
    <t>10.5252/geodiversitas2018v40a6</t>
  </si>
  <si>
    <t>GE9HR</t>
  </si>
  <si>
    <t>WOS:000431541200001</t>
  </si>
  <si>
    <t>Goedegebuure, M; Melbourne-Thomas, J; Corney, SP; McMahon, CR; Hindell, MA</t>
  </si>
  <si>
    <t>Goedegebuure, Merel; Melbourne-Thomas, Jessica; Corney, Stuart P.; McMahon, Clive R.; Hindell, Mark A.</t>
  </si>
  <si>
    <t>Modelling southern elephant seals Mirounga leonina using an individual-based model coupled with a dynamic energy budget</t>
  </si>
  <si>
    <t>POPULATION-GROWTH; HOT-IRON; BEHAVIOR; SURVIVAL; COMPLEXITY; PARAMETERS; PROTOCOL; MASS</t>
  </si>
  <si>
    <t>Higher trophic-level species are an integral component of any marine ecosystem. Despite their importance, methods for representing these species in end-to-end ecosystem models often have limited representation of life histories, energetics and behaviour. We built an individual-based model coupled with a dynamic energy budget for female southern elephant seals Mirounga leonina to demonstrate a method for detailed representation of marine mammals. We aimed to develop a model which could i) simulate energy use and life histories, as well as breeding traits of southern elephant seals in an emergent manner, ii) project a stable population over time, and iii) have realistic population dynamics and structure based on emergent life history features (such as age at first breeding, lifespan, fecundity and (yearling) survival). We evaluated the model's ability to represent a stable population over long time periods (&gt; 10 generations), including the sensitivity of the emergent properties to variations in key parameters. Analyses indicated that the model is sensitive to changes in resource availability and energy requirements for the transition from pup to juvenile, and juvenile to adult stage. This was particularly the case for breeding success and yearling survival. This model is suitable for use as a standalone tool for investigating the impacts of changes to behaviour and population responses of southern elephant seals.</t>
  </si>
  <si>
    <t>[Goedegebuure, Merel; McMahon, Clive R.; Hindell, Mark A.] Univ Tasmania, Inst Marine &amp; Antarctic Studies, Private Bag 129, Hobart, Tas 7000, Australia; [Goedegebuure, Merel; Melbourne-Thomas, Jessica; Corney, Stuart P.; Hindell, Mark A.] Univ Tasmania, Antarctic Climate &amp; Ecosyst Cooperat Res Ctr, Private Bag 80, Hobart, Tas 7000, Australia; [Melbourne-Thomas, Jessica] Australian Antarctic Div, Channel Highway, Kingston, Tas 7050, Australia; [McMahon, Clive R.] Sydney Inst Marine Sci, 19 Chowder Bay Rd, Mosman, NSW 2088, Australia</t>
  </si>
  <si>
    <t>University of Tasmania; Antarctic Climate &amp; Ecosystems Cooperative Research Centre (ACE CRC); University of Tasmania; Australian Antarctic Division; Sydney Institute of Marine Science</t>
  </si>
  <si>
    <t>Goedegebuure, M (corresponding author), Univ Tasmania, Inst Marine &amp; Antarctic Studies, Private Bag 129, Hobart, Tas 7000, Australia.;Goedegebuure, M (corresponding author), Univ Tasmania, Antarctic Climate &amp; Ecosyst Cooperat Res Ctr, Private Bag 80, Hobart, Tas 7000, Australia.</t>
  </si>
  <si>
    <t>merel.goedegebuure@utas.edu.au</t>
  </si>
  <si>
    <t>Melbourne-Thomas, Jess/N-2437-2019; McMahon, Clive R/D-5713-2013; Hindell, Mark A/K-1131-2013</t>
  </si>
  <si>
    <t>Melbourne-Thomas, Jess/0000-0001-6585-876X; McMahon, Clive R/0000-0001-5241-8917; Hindell, Mark/0000-0002-7823-7185; Goedegebuure, Merel/0000-0002-9129-888X</t>
  </si>
  <si>
    <t>e0194950</t>
  </si>
  <si>
    <t>10.1371/journal.pone.0194950</t>
  </si>
  <si>
    <t>GA8ZI</t>
  </si>
  <si>
    <t>Green Submitted, Green Published, gold, Green Accepted</t>
  </si>
  <si>
    <t>WOS:000428630000057</t>
  </si>
  <si>
    <t>Huguet, C; Routh, J; Fietz, S; Lone, MA; Kalpana, MS; Ghosh, P; Mangini, A; Kumar, V; Rangarajan, R</t>
  </si>
  <si>
    <t>Huguet, Carme; Routh, Joyanto; Fietz, Susanne; Lone, Mahjoor Ahmad; Kalpana, M. S.; Ghosh, Prosenjit; Mangini, Augusto; Kumar, Vikash; Rangarajan, Ravi</t>
  </si>
  <si>
    <t>Temperature and Monsoon Tango in a Tropical Stalagmite: Last Glacial-Interglacial Climate Dynamics</t>
  </si>
  <si>
    <t>DIALKYL GLYCEROL TETRAETHERS; INDIAN-SUMMER MONSOON; SEA-SURFACE TEMPERATURE; ENVIRONMENTAL CONTROLS; LATE PLEISTOCENE; MEMBRANE-LIPIDS; HIGH-RESOLUTION; EAST-ASIA; CAVE; HOLOCENE</t>
  </si>
  <si>
    <t>High-resolution paleoclimate data on stable isotopes in a stalagmite were coupled to glycerol dialkyl glycerol tetraethers (GDGTs). The Indian Summer Monsoon (ISM) transitioned from limited rainfall during the Last Glacial Maximum (LGM) to intense precipitation during early Holocene (22 to 6 ka). This was associated with changes in stalagmite growth, abundance of branched (br) and isoprenoid (iso) GDGTs, as well as delta O-18, delta C-13, Sr/Ca and GDGT-derived signals providing both temperature and moisture information. The reconstructed mean annual air temperature (MAAT) of the most modern stalagmite sample at similar to 19 degrees C, matches the surface and cave MAAT, but was similar to 4 degrees C lower during LGM. Warming at the end of LGM occurred before ISM strengthened and indicate 6 ka lag consistent with sea surface temperature records. The isotope records during the Younger Dryas show rapid progressions to dry conditions and weak monsoons, but these shifts are not coupled to TEX86. Moreover, change to wetter and stronger ISM, along with warmer Holocene conditions are not continuous indicating a decoupling of local temperatures from ISM.</t>
  </si>
  <si>
    <t>[Huguet, Carme] Univ Los Andes, Dept Geociencias, Bogota, Colombia; [Routh, Joyanto] Linkoping Univ, Dept Themat Studies, Environm Change, S-58183 Linkoping, Sweden; [Fietz, Susanne] Stellenbosch Univ, Dept Earth Sci, ZA-7602 Stellenbosch, South Africa; [Lone, Mahjoor Ahmad] Natl Taiwan Univ, Dept Geosci, High Precis Mass Spectrometry &amp; Environm Change L, Taipei 10617, Taiwan; [Kalpana, M. S.] CSIR, Natl Geophys Res Inst, Hyderabad 500007, Andhra Pradesh, India; [Ghosh, Prosenjit; Rangarajan, Ravi] Indian Inst Sci, Ctr Earth Sci, Bangalore 560012, Karnataka, India; [Mangini, Augusto] Inst Umweltphys, INF 229, D-69120 Heidelberg, Germany; [Kumar, Vikash] Natl Ctr Antarctic &amp; Ocean Res, Vasco Da Gama 403804, Goa, India</t>
  </si>
  <si>
    <t>Universidad de los Andes (Colombia); Linkoping University; Stellenbosch University; National Taiwan University; Council of Scientific &amp; Industrial Research (CSIR) - India; CSIR - National Geophysical Research Institute (NGRI); Indian Institute of Science (IISC) - Bangalore; Ministry of Earth Sciences (MoES) - India; National Centre for Polar and Ocean Research (NCPOR)</t>
  </si>
  <si>
    <t>Routh, J (corresponding author), Linkoping Univ, Dept Themat Studies, Environm Change, S-58183 Linkoping, Sweden.</t>
  </si>
  <si>
    <t>joyanto.routh@liu.se</t>
  </si>
  <si>
    <t>Kumar, Vikash/GSN-3140-2022; Lone, Mahjoor/C-9637-2011; Fietz, Susanne/A-8695-2012</t>
  </si>
  <si>
    <t>Lone, Mahjoor/0000-0003-4436-5004; Routh, Joyanto/0000-0001-7184-1593; Kumar, Vikash/0000-0002-6180-2192; Rangarajan, Dr. Ravi/0000-0002-3209-9485; Fietz, Susanne/0000-0003-0896-8385</t>
  </si>
  <si>
    <t>SIDA [2009-089]; South African National Research Foundation [93072, 98905]; FAPA project (Los Andes University) [PR.3.2015.2423]; Ministry of Science and Technology, Taiwan [106-2628-M-002-013, 106-2811-M-002-080]</t>
  </si>
  <si>
    <t>SIDA; South African National Research Foundation(National Research Foundation - South Africa); FAPA project (Los Andes University); Ministry of Science and Technology, Taiwan(Ministry of Science and Technology, Taiwan)</t>
  </si>
  <si>
    <t>JR thanks Teddy Mawlong and PK Theophilus for helping with sampling. We greatly appreciate help from Rene Eichstadter and Susanne Karlsson for analytical help in the laboratory. The project was supported by funding from SIDA (Grant 2009-089) to JR. SF acknowledges support from the South African National Research Foundation (Grant 93072, 98905). CH was supported by the FAPA project (PR.3.2015.2423; Los Andes University). MAL acknowledges support from the Ministry of Science and Technology, Taiwan (106-2628-M-002-013, 106-2811-M-002-080). Finally, we greatly appreciate the thoughtful comments by the anonymous reviewers which greatly improved the paper.</t>
  </si>
  <si>
    <t>10.1038/s41598-018-23606-w</t>
  </si>
  <si>
    <t>GA8VI</t>
  </si>
  <si>
    <t>WOS:000428618900029</t>
  </si>
  <si>
    <t>Seemann, J; Yingst, A; Stuart-Smith, RD; Edgar, GJ; Altieri, AH</t>
  </si>
  <si>
    <t>Seemann, Janina; Yingst, Alexandra; Stuart-Smith, Rick D.; Edgar, Graham J.; Altieri, Andrew H.</t>
  </si>
  <si>
    <t>The importance of sponges and mangroves in supporting fish communities on degraded coral reefs in Caribbean Panama</t>
  </si>
  <si>
    <t>Foundation species; Habitat connectivity; Nursery habitat; Overfishing; Sponges; Reef degradation; Trophic imbalance</t>
  </si>
  <si>
    <t>BOCAS-DEL-TORO; REGION-WIDE DECLINES; MARINE NURSERIES; SEAGRASS BEDS; PHASE-SHIFTS; DEGRADATION; COASTAL; COVER; CONSERVATION; ASSOCIATIONS</t>
  </si>
  <si>
    <t>Fish communities associated with coral reefs worldwide are threatened by habitat degradation and overexploitation. We assessed coral reefs, mangrove fringes, and seagrass meadows on the Caribbean coast of Panama to explore the influences of their proximity to one another, habitat cover, and environmental characteristics in sustaining biomass, species richness and trophic structure of fish communities in a degraded tropical ecosystem. We found 94% of all fish across all habitat types were of small body size (&lt;= 10 cm), with communities dominated by fishes that usually live in habitats of low complexity, such as Pomacentridae (damselfishes) and Gobiidae (gobies). Total fish biomass was very low, with the trend of small fishes from low trophic levels over-represented, and top predators under-represented, relative to coral reefs elsewhere in the Caribbean. For example, herbivorous fishes comprised 27% of total fish biomass in Panama relative to 10% in the wider Caribbean, and the small parrotfish Scarus iseri comprised 72% of the parrotfish biomass. Wefound evidence that non-coral biogenic habitats support reef-associated fish communities. In particular, the abundance of sponges on a given reef and proximity of mangroves were found to be important positive correlates of reef fish species richness, biomass, abundance and trophic structure. Our study indicates that a diverse fish community can persist on degraded coral reefs, and that the availability and arrangement within the seascape of other habitat-forming organisms, including sponges and mangroves, is critical to the maintenance of functional processes in such ecosystems.</t>
  </si>
  <si>
    <t>[Seemann, Janina; Yingst, Alexandra; Altieri, Andrew H.] Smithsonian Trop Res Inst, MarineGEO, Panama City, Panama; [Yingst, Alexandra] Univ Pittsburgh, Pittsburgh, PA USA; [Stuart-Smith, Rick D.; Edgar, Graham J.] Univ Tasmania, Inst Marine &amp; Antarctic Studies, Hobart, Tas, Australia; [Altieri, Andrew H.] Univ Florida, Engn Sch Sustainable Infrastruct &amp; Environm, Dept Environm Engn Sci, Gainesville, FL 32611 USA</t>
  </si>
  <si>
    <t>Smithsonian Institution; Smithsonian Tropical Research Institute; Pennsylvania Commonwealth System of Higher Education (PCSHE); University of Pittsburgh; University of Tasmania; State University System of Florida; University of Florida</t>
  </si>
  <si>
    <t>Seemann, J (corresponding author), Smithsonian Trop Res Inst, MarineGEO, Panama City, Panama.</t>
  </si>
  <si>
    <t>seemannja@gmail.com</t>
  </si>
  <si>
    <t>Edgar, Graham/AAY-3797-2020; Altieri, Andrew H/P-1738-2017; Stuart-Smith, Rick/I-5214-2019; Stuart-Smith, Rick D/M-1829-2013</t>
  </si>
  <si>
    <t>Edgar, Graham/0000-0003-0833-9001; Stuart-Smith, Rick/0000-0002-8874-0083; Stuart-Smith, Rick D/0000-0002-8874-0083; Seemann, Janina/0000-0001-6427-5773</t>
  </si>
  <si>
    <t>Smithsonian Tropical Research Institute; Marine Global Earth Observatory (MarineGEO); Smithsonian's Tennenbaum Marine Observatories Network; Nationality Council Scholarship from the University of Pittsburgh</t>
  </si>
  <si>
    <t>Smithsonian Tropical Research Institute(Smithsonian InstitutionSmithsonian Tropical Research Institute); Marine Global Earth Observatory (MarineGEO); Smithsonian's Tennenbaum Marine Observatories Network; Nationality Council Scholarship from the University of Pittsburgh</t>
  </si>
  <si>
    <t>This research was supported by the Smithsonian Tropical Research Institute, the Marine Global Earth Observatory (MarineGEO) and the Smithsonian's Tennenbaum Marine Observatories Network, and a Nationality Council Scholarship from the University of Pittsburgh. The funders had no role in study design, data collection and analysis, decision to publish, or preparation of the manuscript.</t>
  </si>
  <si>
    <t>e4455</t>
  </si>
  <si>
    <t>10.7717/peerj.4455</t>
  </si>
  <si>
    <t>GA9YK</t>
  </si>
  <si>
    <t>WOS:000428699300001</t>
  </si>
  <si>
    <t>Poniecka, EA; Bagshaw, EA; Tranter, M; Sass, H; Williamson, CJ; Anesio, AM</t>
  </si>
  <si>
    <t>Poniecka, Ewa A.; Bagshaw, Elizabeth A.; Tranter, Martyn; Sass, Henrik; Williamson, Christopher J.; Anesio, Alexandre M.</t>
  </si>
  <si>
    <t>Black Bloom Team</t>
  </si>
  <si>
    <t>Rapid development of anoxic niches in supraglacial ecosystems</t>
  </si>
  <si>
    <t>Cryoconite hole; anoxic niches; Greenland; microbiology; microsensors</t>
  </si>
  <si>
    <t>SULFATE-REDUCING BACTERIA; CRYOCONITE HOLES; CARBON FLUXES; ICE-SHEET; SP NOV.; GLACIER; ALPINE; BIOGEOCHEMISTRY; COMMUNITIES; DENITRIFICATION</t>
  </si>
  <si>
    <t>Microorganisms play a significant role in changing the physical properties of the surface of the Greenland Ice Sheet. Cryoconite holes are a hotspot for this microbial activity, yet little is known about the REDOX conditions that develop within them. In this study, we used oxygen microelectrodes and microoptodes to measure for anoxic conditions at the microscale, for the first time revealing a potential niche for anaerobic microorganisms and anaerobic processes. The development of an anoxic zone 2 mm deep within a 6 mm-thick layer of cryoconite sediment was observed within an hour of disturbance, showing rapid acclimation to changing physical conditions. Long-term (half year) incubations of cryoconite material showed a peak of oxygen production and consumption after forty days and reached a low-activity, steady state by day 116, with a persisting anoxic zone beginning between 2 mm and 4 mm deep. Anaerobic microorganisms, which have received little attention to date, should therefore be considered an important component of the cryoconite ecosystem. We discuss the possible dynamics of oxygen concentrations in the supraglacial system and infer that anoxic zones are an important factor in the development of cryoconite sediment communities.</t>
  </si>
  <si>
    <t>[Poniecka, Ewa A.; Bagshaw, Elizabeth A.; Sass, Henrik] Cardiff Univ, Sch Earth &amp; Ocean Sci, Main Bldg,Pk Pl, Cardiff CF10 3AT, S Glam, Wales; [Tranter, Martyn; Williamson, Christopher J.; Anesio, Alexandre M.] Univ Bristol, Bristol Glaciol Ctr, Sch Geog Sci, Bristol, Avon, England; [Black Bloom Team] Blackandbloom Org, Black &amp; Bloom Team, Groningen, Netherlands</t>
  </si>
  <si>
    <t>Cardiff University; University of Bristol</t>
  </si>
  <si>
    <t>Poniecka, EA (corresponding author), Cardiff Univ, Sch Earth &amp; Ocean Sci, Main Bldg,Pk Pl, Cardiff CF10 3AT, S Glam, Wales.</t>
  </si>
  <si>
    <t>ponieckaEA@cardiff.ac.uk</t>
  </si>
  <si>
    <t>Sass, Henrik/B-8817-2009; Anesio, Alexandre/A-7597-2008; Tranter, Martyn/E-3722-2010</t>
  </si>
  <si>
    <t>Sass, Henrik/0000-0001-8740-4224; Anesio, Alexandre/0000-0003-2990-4014; Tranter, Martyn/0000-0003-2071-3094; Poniecka, Ewa/0000-0002-0772-8630; Bagshaw, Elizabeth/0000-0001-8392-1750; Williamson, Christopher/0000-0002-8239-7368</t>
  </si>
  <si>
    <t>Natural Environment Research Council (NERC) Consortium Grant Black and Bloom [NE/M021025/1]; NERC studentship [NE/L002434/1]; NERC [NE/M021025/1] Funding Source: UKRI</t>
  </si>
  <si>
    <t>Natural Environment Research Council (NERC) Consortium Grant Black and Bloom(UK Research &amp; Innovation (UKRI)Natural Environment Research Council (NERC)); NERC studentship(UK Research &amp; Innovation (UKRI)Natural Environment Research Council (NERC)); NERC(UK Research &amp; Innovation (UKRI)Natural Environment Research Council (NERC))</t>
  </si>
  <si>
    <t>All authors acknowledge UK-funded Natural Environment Research Council (NERC) Consortium Grant Black and Bloom (NE/M021025/1). E.P. acknowledges NERC studentship (NE/L002434/1).</t>
  </si>
  <si>
    <t>MAR 28</t>
  </si>
  <si>
    <t>e1420859</t>
  </si>
  <si>
    <t>10.1080/15230430.2017.1420859</t>
  </si>
  <si>
    <t>GN1JN</t>
  </si>
  <si>
    <t>WOS:000438746000001</t>
  </si>
  <si>
    <t>Ross, N; Sole, AJ; Livingstone, SJ; Igneczi, A; Morlighem, M</t>
  </si>
  <si>
    <t>Ross, Neil; Sole, Andrew J.; Livingstone, Stephen J.; Igneczi, Adam; Morlighem, Mathieu</t>
  </si>
  <si>
    <t>Near-margin ice thickness and subglacial water routing, Leverett Glacier, Greenland</t>
  </si>
  <si>
    <t>Greenland; ground penetrating radar; ice thickness; subglacial hydrology; Leverett Glacier</t>
  </si>
  <si>
    <t>BED TOPOGRAPHY; RUSSELL GLACIER; BENEATH; SHEET; DRAINAGE; FLOW</t>
  </si>
  <si>
    <t>Ice thickness measurements near the margin of the Greenland Ice Sheet (GrIS) are relatively sparse, presenting issues for modeling ice-flow dynamics, ice-sheet change, and subglacial hydrology. We acquired near-margin ice thickness data at Leverett Glacier, west Greenland, using a highly portable, low power, ground-penetrating radar operating at 10-80 MHz. Ice-thickness measurements, to a maximum of 270 m, were incorporated into the BedMachine model of ice thickness, created using mass conservation methods. The new data significantly modified the modeled ice thickness, and hence bed elevation and routing of subglacial water, in both the Leverett and adjacent Russell Glacier. Although the revised modeled basal topography and subglacial hydrology are consistent with observations, our new data unrealistically reduced the overall size of the Leverett Glacier hydrological catchment. Additional ice-thickness measurements are therefore required to realistically constrain subglacial topography and subglacial hydrological routing in this area. Our work improves understanding of the basal topography and the subglacial hydrology of Leverett Glacier, with implications for glacier dynamics and assessments of water piracy between catchments in the marginal zone of the GrIS, and for the interpolation of ice-thickness grids using mass conservation methods.</t>
  </si>
  <si>
    <t>[Ross, Neil] Newcastle Univ, Sch Geog Polit &amp; Sociol, Newcastle Upon Tyne, Tyne &amp; Wear, England; [Sole, Andrew J.; Livingstone, Stephen J.; Igneczi, Adam] Univ Sheffield, Dept Geog, Sheffield, S Yorkshire, England; [Morlighem, Mathieu] Univ Calif Irvine, Earth Syst Sci, Irvine, CA USA</t>
  </si>
  <si>
    <t>Newcastle University - UK; University of Sheffield; University of California System; University of California Irvine</t>
  </si>
  <si>
    <t>Ross, N (corresponding author), Newcastle Univ, Sch Geog Polit &amp; Sociol, Newcastle Upon Tyne, Tyne &amp; Wear, England.</t>
  </si>
  <si>
    <t>neil.ross@ncl.ac.uk</t>
  </si>
  <si>
    <t>Morlighem, Mathieu/O-9942-2014</t>
  </si>
  <si>
    <t>Morlighem, Mathieu/0000-0001-5219-1310; Sole, Andrew/0000-0001-5290-8967; Livingstone, Stephen/0000-0002-7240-5037; Igneczi, Adam/0000-0003-1529-8383</t>
  </si>
  <si>
    <t>Royal Society Research Grant; Newcastle University; University of Sheffield; White Rose University Consortium Collaboration Fund</t>
  </si>
  <si>
    <t>Royal Society Research Grant(Royal Society); Newcastle University; University of Sheffield; White Rose University Consortium Collaboration Fund</t>
  </si>
  <si>
    <t>NR acknowledges a Royal Society Research Grant and Newcastle University for financial support that facilitated this research. SL, AS, and AI acknowledge financial support from the University of Sheffield, and a White Rose University Consortium Collaboration Fund grant awarded to AS and SL. In addition, we would like to thank the Kangerlussuaq International Science Support (KISS) facility, Professor Pete Nienow (University of Edinburgh) for loan of a satellite phone, and Matt Guy (Geomatrix) and Vincent Utsi (Utsi Electronics) for remote support with the radar system during fieldwork.</t>
  </si>
  <si>
    <t>e1420949</t>
  </si>
  <si>
    <t>10.1080/15230430.2017.1420949</t>
  </si>
  <si>
    <t>GN1IY</t>
  </si>
  <si>
    <t>WOS:000438744100001</t>
  </si>
  <si>
    <t>Diez, A; Matsuoka, K; Ferraccioli, F; Jordan, TA; Corr, HF; Kohler, J; Olesen, AV; Forsberg, R</t>
  </si>
  <si>
    <t>Diez, Anja; Matsuoka, Kenichi; Ferraccioli, Fausto; Jordan, Tom A.; Corr, Hugh F.; Kohler, Jack; Olesen, Arne V.; Forsberg, Rene</t>
  </si>
  <si>
    <t>Basal Settings Control Fast Ice Flow in the Recovery/Slessor/Bailey Region, East Antarctica</t>
  </si>
  <si>
    <t>PINE ISLAND GLACIER; WEST ANTARCTICA; THWAITES GLACIER; SUBGLACIAL LAKES; SLESSOR GLACIER; SHEAR-MARGIN; STREAM; BED; BENEATH; SHEET</t>
  </si>
  <si>
    <t>The region of Recovery Glacier, Slessor Glacier, and Bailey Ice Stream, East Antarctica, has remained poorly explored, despite representing the largest potential contributor to future global sea level rise on a centennial to millennial time scale. Here we use new airborne radar data to improve knowledge about the bed topography and investigate controls of fast ice flow. Recovery Glacier is underlain by an 800 km long trough. Its fast flow is controlled by subglacial water in its upstream and topography in its downstream region. Fast flow of Slessor Glacier is controlled by the presence of subglacial water on a rough crystalline bed. Past ice flow of adjacent Recovery and Slessor Glaciers was likely connected via the newly discovered Recovery-Slessor Gate. Changes in direction and speed of past fast flow likely occurred for upstream parts of Recovery Glacier and between Slessor Glacier and Bailey Ice Stream. Similar changes could also reoccur here in the future.</t>
  </si>
  <si>
    <t>[Diez, Anja; Matsuoka, Kenichi; Kohler, Jack] Norwegian Polar Res Inst, Tromso, Norway; [Ferraccioli, Fausto; Jordan, Tom A.; Corr, Hugh F.] British Antarctic Survey, Cambridge, England; [Olesen, Arne V.; Forsberg, Rene] Tech Univ Denmark, Natl Space Inst, Lyngby, Denmark</t>
  </si>
  <si>
    <t>Norwegian Polar Institute; UK Research &amp; Innovation (UKRI); Natural Environment Research Council (NERC); NERC British Antarctic Survey; Technical University of Denmark</t>
  </si>
  <si>
    <t>Diez, A (corresponding author), Norwegian Polar Res Inst, Tromso, Norway.</t>
  </si>
  <si>
    <t>diez@npolar.no</t>
  </si>
  <si>
    <t>Olesen, Arne V/M-3398-2016; Corr, Hugh/C-5398-2011; Matsuoka, Kenichi/B-7298-2017</t>
  </si>
  <si>
    <t>Diez, Anja/0000-0001-6443-6135; Ferraccioli, Fausto/0000-0002-9347-4736; Forsberg, Rene/0000-0002-7288-9545; Matsuoka, Kenichi/0000-0002-3587-3405; Kohler, Jack/0000-0003-1963-054X; Jordan, Tom/0000-0003-2780-1986</t>
  </si>
  <si>
    <t>U.S. National Geospatial-Intelligence Agency; DTU Space (Denmark); Center for Ice, Climate and Ecosystems (ICE) for the Norwegian Polar Institute (NPI); British Antarctic Survey (BAS); NPI; Instituto Antartico Argentino; Research Council of Norway's FRINATEK program [240944]; BAS Geology and Geophysics team/grant of the Polar Science for Planet Earth program [bas0100029]; NERC [NE/R016038/1, bas0100034, bas0100029] Funding Source: UKRI</t>
  </si>
  <si>
    <t>U.S. National Geospatial-Intelligence Agency; DTU Space (Denmark); Center for Ice, Climate and Ecosystems (ICE) for the Norwegian Polar Institute (NPI); British Antarctic Survey (BAS); NPI; Instituto Antartico Argentino; Research Council of Norway's FRINATEK program; BAS Geology and Geophysics team/grant of the Polar Science for Planet Earth program; NERC(UK Research &amp; Innovation (UKRI)Natural Environment Research Council (NERC))</t>
  </si>
  <si>
    <t>The ICEGRAV Antarctic airborne survey was flown in 2013 and was sponsored by the U.S. National Geospatial-Intelligence Agency, DTU Space (Denmark), and the Center for Ice, Climate and Ecosystems (ICE) for the Norwegian Polar Institute (NPI), with significant logistics and in-kind contributions by the British Antarctic Survey (BAS), NPI, and the Instituto Antartico Argentino. BAS flew the survey with its aerogeophysical survey platform, a Twin Otter. The Antarctic Logistics Center International (ALCI) prepared fuel at FD83 that was used for the NPI-led field camp at Recovery Lakes. We especially thank M. Ghidella and A. Zakrajsek (Instituto Antarctico Argentino) for their field campaign support. Postfield activities at NPI are supported by the Research Council of Norway's FRINATEK program (project: 240944). F. F. and T. J. acknowledge financial support from the BAS Geology and Geophysics team/grant (bas0100029) of the Polar Science for Planet Earth program. We thank Egidio Armadillo, Robert Bingham, and the anonymous reviewer for their comments, which greatly helped to improve the manuscript. The processed ICEGRAV radar data are freely available on the NERC/BAS Polar Data Centre airborne geophysics data portal (https://doi.org/10.5285/6549203d-da8b-4a22-924b-a9e1471ea7f1).</t>
  </si>
  <si>
    <t>10.1002/2017GL076601</t>
  </si>
  <si>
    <t>GC9GR</t>
  </si>
  <si>
    <t>WOS:000430106000018</t>
  </si>
  <si>
    <t>Falk, S; Sinnhuber, BM</t>
  </si>
  <si>
    <t>Falk, Stefanie; Sinnhuber, Bjoern-Martin</t>
  </si>
  <si>
    <t>Polar boundary layer bromine explosion and ozone depletion events in the chemistry-climate model EMAC v2.52: implementation and evaluation of AirSnow algorithm</t>
  </si>
  <si>
    <t>SUBMODEL SYSTEM MESSY; TROPOSPHERIC BRO COLUMNS; AIR-SNOWPACK EXCHANGE; TECHNICAL NOTE; DRY DEPOSITION; EMISSIONS; MERCURY; ACTIVATION; ATMOSPHERE; AIRCRAFT</t>
  </si>
  <si>
    <t>Ozone depletion events (ODEs) in the polar boundary layer have been observed frequently during springtime. They are related to events of boundary layer enhancement of bromine. Consequently, increased amounts of boundary layer volume mixing ratio (VMR) and vertical column densities (VCDs) of BrO have been observed by in situ observation, ground-based as well as airborne remote sensing, and from satellites. These so-called bromine explosion (BE) events have been discussed serving as a source of tropospheric BrO at high latitudes, which has been underestimated in global models so far. We have implemented a treatment of bromine release and recycling on sea-iceand snow-covered surfaces in the global chemistry-climate model EMAC (ECHAM/MESSy Atmospheric Chemistry) based on the scheme of Toyota et al. (2011). In this scheme, dry deposition fluxes of HBr, HOBr, and BrNO3 over iceand snow-covered surfaces are recycled into Br-2 fluxes. In addition, dry deposition of O-3, dependent on temperature and sunlight, triggers a Br-2 release from surfaces associated with first-year sea ice. Many aspects of observed bromine enhancements and associated episodes of near-complete depletion of boundary layer ozone, both in the Arctic and in the Antarctic, are reproduced by this relatively simple approach. We present first results from our global model studies extending over a full annual cycle, including comparisons with Global Ozone Monitoring Experiment (GOME) satellite BrO VCDs and surface ozone observations.</t>
  </si>
  <si>
    <t>[Falk, Stefanie; Sinnhuber, Bjoern-Martin] Karlsruhe Inst Technol, Inst Meteorol &amp; Climate Res, Karlsruhe, Germany; [Falk, Stefanie] Univ Oslo, Dept Geosci, Oslo, Norway</t>
  </si>
  <si>
    <t>Helmholtz Association; Karlsruhe Institute of Technology; University of Oslo</t>
  </si>
  <si>
    <t>Falk, S (corresponding author), Karlsruhe Inst Technol, Inst Meteorol &amp; Climate Res, Karlsruhe, Germany.;Falk, S (corresponding author), Univ Oslo, Dept Geosci, Oslo, Norway.</t>
  </si>
  <si>
    <t>stefanie.falk@geo.uio.no</t>
  </si>
  <si>
    <t>Sinnhuber, Bjorn-Martin/A-7007-2013</t>
  </si>
  <si>
    <t>Sinnhuber, Bjorn-Martin/0000-0001-9608-7320; Falk, Stefanie/0000-0002-4552-5455</t>
  </si>
  <si>
    <t>Deutsche Forschungsgemeinschaft (DFG) [SI1044/1-2]; German Bundesministerium fur Bildung und Forschung (BMBF) [01GL1217B]; Helmholtz Association</t>
  </si>
  <si>
    <t>Deutsche Forschungsgemeinschaft (DFG)(German Research Foundation (DFG)); German Bundesministerium fur Bildung und Forschung (BMBF)(Federal Ministry of Education &amp; Research (BMBF)); Helmholtz Association(Helmholtz Association)</t>
  </si>
  <si>
    <t>Parts of this work were supported by the Deutsche Forschungsgemeinschaft (DFG) through the research unit SHARP (SI1044/1-2), the German Bundesministerium fur Bildung und Forschung (BMBF) through the project ROMIC-THREAT (01GL1217B), and the Helmholtz Association through its research program ATMO.</t>
  </si>
  <si>
    <t>10.5194/gmd-11-1115-2018</t>
  </si>
  <si>
    <t>GB9CI</t>
  </si>
  <si>
    <t>WOS:000429371300001</t>
  </si>
  <si>
    <t>Biscotti, MA; Barucca, M; Canapa, A</t>
  </si>
  <si>
    <t>Biscotti, Maria Assunta; Barucca, Marco; Canapa, Adriana</t>
  </si>
  <si>
    <t>New insights into the genome repetitive fraction of the Antarctic bivalve Adamussium colbecki</t>
  </si>
  <si>
    <t>MOLLUSK DONAX-TRUNCULUS; TRANSPOSABLE ELEMENTS MITES; SATELLITE DNA; PECTINIDAE MOLLUSCA; MOLECULAR PHYLOGENY; TANDEM REPEATS; TRNASCAN-SE; RNA GENES; EVOLUTION; FAMILY</t>
  </si>
  <si>
    <t>Repetitive DNA represents the major component of the genome in both plant and animal species. It includes transposable elements (TEs), which are dispersed throughout the genome, and satellite DNAs (satDNAs), which are tandemly organized in long arrays. The study of the structure and organization of repetitive DNA contributes to our understanding of genome architecture and the mechanisms leading to its evolution. Molluscs represent one of the largest groups of invertebrates and include organisms with a wide variety of morphologies and lifestyles. To increase our knowledge of bivalves at the genome level, we analysed the Antarctic scallop Adamussium colbecki. The screening of the genomic library evidenced the presence of two novel satDNA elements and the CvA transposon. The interspecific investigation performed in this study demonstrated that one of the two satDNAs isolated in A. colbecki is widespread in polar molluscan species, indicating a possible link between repetitive DNA and abiotic factors. Moreover, the transcriptional activity of CvA and its presence in long-diverged bivalves suggests a possible role for this ancient element in shaping the genome architecture of this Glade.</t>
  </si>
  <si>
    <t>[Biscotti, Maria Assunta; Barucca, Marco; Canapa, Adriana] Univ Politecn Marche, Dipartimento Sci Vita &amp; Ambiente, Ancona, Italy</t>
  </si>
  <si>
    <t>Barucca, M (corresponding author), Univ Politecn Marche, Dipartimento Sci Vita &amp; Ambiente, Ancona, Italy.</t>
  </si>
  <si>
    <t>m.barucca@univpm.it</t>
  </si>
  <si>
    <t>Programma Nazionale di Ricerche in Antartide (PNRA) [PdR 2009/A1.10]</t>
  </si>
  <si>
    <t>Programma Nazionale di Ricerche in Antartide (PNRA)</t>
  </si>
  <si>
    <t>This work was supported by a grant (PdR 2009/A1.10) from Programma Nazionale di Ricerche in Antartide (PNRA).</t>
  </si>
  <si>
    <t>e0194502</t>
  </si>
  <si>
    <t>10.1371/journal.pone.0194502</t>
  </si>
  <si>
    <t>GA8PV</t>
  </si>
  <si>
    <t>WOS:000428603100063</t>
  </si>
  <si>
    <t>Schlosser, E; Haumann, FA; Raphael, MN</t>
  </si>
  <si>
    <t>Schlosser, Elisabeth; Haumann, F. Alexander; Raphael, Marilyn N.</t>
  </si>
  <si>
    <t>Atmospheric influences on the anomalous 2016 Antarctic sea ice decay</t>
  </si>
  <si>
    <t>SOUTHERN ANNULAR MODE; WINTER MIXED-LAYER; CLIMATE VARIABILITY; CORE INTERPRETATION; SYNOPTIC ACTIVITY; TRENDS; HEMISPHERE; DRIVEN; IMPACT; EXTENT</t>
  </si>
  <si>
    <t>In contrast to the Arctic, where total sea ice extent (SIE) has been decreasing for the last three decades, Antarctic SIE has shown a small, but significant, increase during the same time period. However, in 2016, an unusually early onset of the melt season was observed; the maximum Antarctic SIE was already reached as early as August rather than the end of September, and was followed by a rapid decrease. The decay was particularly strong in November, when Antarctic SIE exhibited a negative anomaly (compared to the 19792015 average) of approximately 2 million km(2). ECMWF Interim reanalysis data showed that the early onset of the melt and the rapid decrease in sea ice area (SIA) and SIE were associated with atmospheric flow patterns related to a positive zonal wave number three (ZW3) index, i.e., synoptic situations leading to strong meridional flow and anomalously strong southward heat advection in the regions of strongest sea ice decline. A persistently positive ZW3 index from May to August suggests that SIE decrease was preconditioned by SIA decrease. In particular, in the first third of November northerly flow conditions in the Weddell Sea and the Western Pacific triggered accelerated sea ice decay, which was continued in the following weeks due to positive feedback effects, leading to the unusually low November SIE. In 2016, the monthly mean Southern Annular Mode (SAM) index reached its second lowest November value since the beginning of the satellite observations. A better spatial and temporal coverage of reliable ice thickness data is needed to assess the change in ice mass rather than ice area.</t>
  </si>
  <si>
    <t>[Schlosser, Elisabeth] Univ Innsbruck, Inst Atmospher &amp; Cryospher Sci, Innsbruck, Austria; [Schlosser, Elisabeth] Austrian Polar Res Inst, Vienna, Austria; [Haumann, F. Alexander] Swiss Fed Inst Technol, Inst Biogeochem &amp; Pollutant Dynam, Environm Phys, Zurich, Switzerland; [Haumann, F. Alexander] British Antarctic Survey, Cambridge, England; [Raphael, Marilyn N.] Univ Calif Los Angeles, Dept Geog, Los Angeles, CA 90024 USA</t>
  </si>
  <si>
    <t>University of Innsbruck; Swiss Federal Institutes of Technology Domain; ETH Zurich; UK Research &amp; Innovation (UKRI); Natural Environment Research Council (NERC); NERC British Antarctic Survey; University of California System; University of California Los Angeles</t>
  </si>
  <si>
    <t>Schlosser, E (corresponding author), Univ Innsbruck, Inst Atmospher &amp; Cryospher Sci, Innsbruck, Austria.;Schlosser, E (corresponding author), Austrian Polar Res Inst, Vienna, Austria.</t>
  </si>
  <si>
    <t>elisabeth.schlosser@uibk.ac.at</t>
  </si>
  <si>
    <t>Haumann, Alexander/J-6679-2014</t>
  </si>
  <si>
    <t>Haumann, Alexander/0000-0002-8218-977X</t>
  </si>
  <si>
    <t>Austrian Science Fund (FWF) [P28695]; SNSF [175162]; Austrian Science Fund (FWF) [P28695] Funding Source: Austrian Science Fund (FWF); NERC [bas0100033, NE/N018095/1] Funding Source: UKRI</t>
  </si>
  <si>
    <t>Austrian Science Fund (FWF)(Austrian Science Fund (FWF)); SNSF(Swiss National Science Foundation (SNSF)); Austrian Science Fund (FWF)(Austrian Science Fund (FWF)); NERC(UK Research &amp; Innovation (UKRI)Natural Environment Research Council (NERC))</t>
  </si>
  <si>
    <t>This study was financed by the Austrian Science Fund (FWF) under grant P28695. F. Alexander Haumann was partly funded by the SNSF under grant number 175162.</t>
  </si>
  <si>
    <t>10.5194/tc-12-1103-2018</t>
  </si>
  <si>
    <t>GA7XE</t>
  </si>
  <si>
    <t>WOS:000428551200001</t>
  </si>
  <si>
    <t>Fourré, E; Landais, A; Cauquoin, A; Jean-Baptiste, P; Lipenkov, V; Petit, JR</t>
  </si>
  <si>
    <t>Fourre, E.; Landais, A.; Cauquoin, A.; Jean-Baptiste, P.; Lipenkov, V.; Petit, J. -R.</t>
  </si>
  <si>
    <t>Tritium Records to Trace Stratospheric Moisture Inputs in Antarctica</t>
  </si>
  <si>
    <t>tritium; stratosphere; AGCM; Antarctica; snow pit</t>
  </si>
  <si>
    <t>SOUTHERN ANNULAR MODE; ISOTOPIC SNOW VARIABILITY; GENERAL-CIRCULATION MODEL; ICE-CORE; DOME-C; EAST ANTARCTICA; EXTRATROPICAL CIRCULATION; DECADAL VARIABILITY; ITASE TRAVERSE; CLIMATE-CHANGE</t>
  </si>
  <si>
    <t>Better assessing the dynamic of stratosphere-troposphere exchange is a key point to improve our understanding of the climate dynamic in the East Antarctica Plateau, a region where stratospheric inputs are expected to be important. Although tritium (H-3 or T), a nuclide naturally produced mainly in the stratosphere and rapidly entering the water cycle as HTO, seems a first-rate tracer to study these processes, tritium data are very sparse in this region. We present the first high-resolution measurements of tritium concentration over the last 50years in three snow pits drilled at the Vostok station. Natural variability of the tritium records reveals two prominent frequencies, one at about 10years (to be related to the solar Schwabe cycles) and the other one at a shorter periodicity: despite dating uncertainty at this short scale, a good correlation is observed between H-3 and Na+ and an anticorrelation between H-3 and O-18 measured on an individual pit. The outputs from the LMDZ Atmospheric General Circulation Model including stable water isotopes and tritium show the same H-3-O-18 anticorrelation and allow further investigation on the associated mechanism. At the interannual scale, the modeled H-3 variability matches well with the Southern Annular Mode index. At the seasonal scale, we show that modeled stratospheric tritium inputs in the troposphere are favored in winter cold and dry conditions.</t>
  </si>
  <si>
    <t>[Fourre, E.; Landais, A.; Cauquoin, A.; Jean-Baptiste, P.] UVSQ, CNRS, CEA, Lab Sci Climat &amp; Environm,IPSL,UMR 8212, Gif Sur Yvette, France; [Cauquoin, A.] Univ Paris 06, Lab Meteorol Dynam, Paris, France; [Landais, A.] Alfred Wegener Inst, Bremerhaven, Germany; [Lipenkov, V.] Arctic &amp; Antarctic Res Inst, St Petersburg, Russia; [Petit, J. -R.] G INP, IRD, CNRS, Inst Geosci Environm,UGA,UMR 5001, Paris, France</t>
  </si>
  <si>
    <t>Universite Paris Cite; CEA; Centre National de la Recherche Scientifique (CNRS); Universite Paris Saclay; CNRS - National Institute for Earth Sciences &amp; Astronomy (INSU); Sorbonne Universite; Helmholtz Association; Alfred Wegener Institute, Helmholtz Centre for Polar &amp; Marine Research; Arctic &amp; Antarctic Research Institute; Centre National de la Recherche Scientifique (CNRS); CNRS - National Institute for Earth Sciences &amp; Astronomy (INSU); Communaute Universite Grenoble Alpes; Universite Grenoble Alpes (UGA); Institut de Recherche pour le Developpement (IRD)</t>
  </si>
  <si>
    <t>Fourré, E (corresponding author), UVSQ, CNRS, CEA, Lab Sci Climat &amp; Environm,IPSL,UMR 8212, Gif Sur Yvette, France.</t>
  </si>
  <si>
    <t>elise.fourre@lsce.ipsl.fr</t>
  </si>
  <si>
    <t>Cauquoin, Alexandre/HCH-9930-2022; Cauquoin, Alexandre/N-4579-2015</t>
  </si>
  <si>
    <t>Cauquoin, Alexandre/0000-0002-4620-4696; Cauquoin, Alexandre/0000-0002-4620-4696; FOURRE, Elise/0000-0002-2554-9660; LANDAIS, Amaelle/0000-0002-5620-5465</t>
  </si>
  <si>
    <t>European Research Council under the European Union/ERC [306045]</t>
  </si>
  <si>
    <t>European Research Council under the European Union/ERC(European Research Council (ERC))</t>
  </si>
  <si>
    <t>We thank Camille Risi for her modeling expertise, Arnaud Dapoigny for his technical contribution to the tritium measurements, and Melanie Baroni, Elisabeth Schlosser, and AlexandraTouzeau for fruitful discussions. We are also grateful to two anonymous reviewers who provided helpful comments to greatly improve this manuscript. Amaelle Landais and Alexandre Cauquoin have received funding from the European Research Council under the European Union's Seventh Framework Programme (FP7/2007-2013)/ERC grant agreement 306045. The table reporting detailed tritium data of the three pits can be downloaded in the supporting information.</t>
  </si>
  <si>
    <t>MAR 27</t>
  </si>
  <si>
    <t>10.1002/2018JD028304</t>
  </si>
  <si>
    <t>GC9HU</t>
  </si>
  <si>
    <t>WOS:000430108900004</t>
  </si>
  <si>
    <t>Rizzi, R; Maestri, T; Arosio, C</t>
  </si>
  <si>
    <t>Rizzi, R.; Maestri, T.; Arosio, C.</t>
  </si>
  <si>
    <t>Estimate of Radiosonde Dry Bias From Far-Infrared Measurements on the Antarctic Plateau</t>
  </si>
  <si>
    <t>far infrared; dry bias; water vapor continuum</t>
  </si>
  <si>
    <t>WATER-VAPOR; HUMIDITY DATA; MODEL</t>
  </si>
  <si>
    <t>The experimental data set of downwelling radiance spectra measured at the ground in clear conditions during 2013 by a Far-Infrared Fourier Transform Spectrometer at Dome-C, Antarctica, presented in Rizzi et al. (2016, ) is used to estimate the effect of solar heating of the radiosonde humidity sensor, called dry bias. The effect is quite evident comparing residuals for the austral summer and winter clear cases and can be modeled by an increase of the water vapor concentration at all levels by about 15%. Such an estimate has become possible only after a new version of the simulation code and spectroscopic data has become available, which has substantially improved the modeling of water vapor absorption in the far infrared. The negative yearly spectral bias reported in Rizzi et al. (2016, ) is in fact greatly reduced when compared to the same measurement data set.</t>
  </si>
  <si>
    <t>[Rizzi, R.; Maestri, T.; Arosio, C.] Univ Bologna, Dept Phys &amp; Astron, Bologna, Italy; [Arosio, C.] Univ Bremen, Inst Environm Phys, Bremen, Germany</t>
  </si>
  <si>
    <t>University of Bologna; University of Bremen</t>
  </si>
  <si>
    <t>Rizzi, R (corresponding author), Univ Bologna, Dept Phys &amp; Astron, Bologna, Italy.</t>
  </si>
  <si>
    <t>rolando.rizzi@unibo.it</t>
  </si>
  <si>
    <t>Maestri, Tiziano/JFK-9151-2023; Rizzi, Rolando/L-3556-2013</t>
  </si>
  <si>
    <t>Maestri, Tiziano/0000-0001-9582-5029; RIZZI, ROLANDO/0000-0001-7792-7806</t>
  </si>
  <si>
    <t>Italian PNRA (Programma Nazionale di Ricerche in Antartide) [2009/A04.03]</t>
  </si>
  <si>
    <t>Italian PNRA (Programma Nazionale di Ricerche in Antartide)(Ministry of Education, Universities and Research (MIUR))</t>
  </si>
  <si>
    <t>This work is supported by the Italian PNRA (Programma Nazionale di Ricerche in Antartide) under the subproject 2009/A04.03 PRANA (Proprieta Radiative dell'Atmosfera e delle Nubi in Antartide). The REFIR-PAD data are available from http://refir.fi.ino.it/refir-pad-domeC. The radiosonde data are available from the same site. The data extracted from the ECMWF (European Centre for Medium-range Weather Forecasts) MARS (Meteorological Archival and Retrieval System) archive were kindly provided by prof. Guido Masiello, although it was not acknowledged in the CR1 paper.</t>
  </si>
  <si>
    <t>10.1002/2017JD027874</t>
  </si>
  <si>
    <t>WOS:000430108900016</t>
  </si>
  <si>
    <t>Latto, R; Romanou, A</t>
  </si>
  <si>
    <t>Latto, Rebecca; Romanou, Anastasia</t>
  </si>
  <si>
    <t>The Ocean Carbon States Database: a proof-of-concept application of cluster analysis in the ocean carbon cycle</t>
  </si>
  <si>
    <t>NEURAL-NETWORK; CLOUD REGIMES; VARIABILITY; PCO(2); IDENTIFICATION; PACIFIC; MODEL; SINK; CO2</t>
  </si>
  <si>
    <t>In this paper, we present a database of the basic regimes of the carbon cycle in the ocean, the ocean carbon states, as obtained using a data mining/pattern recognition technique in observation-based as well as model data. The goal of this study is to establish a new data analysis methodology, test it and assess its utility in providing more insights into the regional and temporal variability of the marine carbon cycle. This is important as advanced data mining techniques are becoming widely used in climate and Earth sciences and in particular in studies of the global carbon cycle, where the interaction of physical and biogeochemical drivers confounds our ability to accurately describe, understand, and predict CO2 concentrations and their changes in the major planetary carbon reservoirs. In this proof-of-concept study, we focus on using well-understood data that are based on observations, as well as model results from the NASA Goddard Institute for Space Studies (GISS) climate model. Our analysis shows that ocean carbon states are associated with the subtropical-subpolar gyre during the colder months of the year and the tropics during the warmer season in the North Atlantic basin. Conversely, in the Southern Ocean, the ocean carbon states can be associated with the subtropical and Antarctic convergence zones in the warmer season and the coastal Antarctic divergence zone in the colder season. With respect to model evaluation, we find that the GISS model reproduces the cold and warm season regimes more skillfully in the North Atlantic than in the Southern Ocean and matches the observed seasonality better than the spatial distribution of the regimes. Finally, the ocean carbon states provide useful information in the model error attribution. Model air-sea CO2 flux biases in the North Atlantic stem from wind speed and salinity biases in the subpolar region and nutrient and wind speed biases in the subtropics and tropics. Nutrient biases are shown to be most important in the Southern Ocean flux bias. All data and analysis scripts are available at https://data.giss.nasa.gov/oceans/carbonstates/(DOI:https://doi.org/10.5281/zenodo.996891).</t>
  </si>
  <si>
    <t>[Latto, Rebecca; Romanou, Anastasia] Columbia Univ, Appl Phys &amp; Appl Math, New York, NY 10027 USA; [Latto, Rebecca; Romanou, Anastasia] NASA, GISS, New York, NY 10025 USA</t>
  </si>
  <si>
    <t>Columbia University; National Aeronautics &amp; Space Administration (NASA); NASA Goddard Space Flight Center; Goddard Institute for Space Studies</t>
  </si>
  <si>
    <t>Latto, R (corresponding author), Columbia Univ, Appl Phys &amp; Appl Math, New York, NY 10027 USA.;Latto, R (corresponding author), NASA, GISS, New York, NY 10025 USA.</t>
  </si>
  <si>
    <t>rl2797@columbia.edu</t>
  </si>
  <si>
    <t>Latto, Rebecca/0000-0001-5732-2412; Romanou, Anastasia/0000-0001-5241-4772</t>
  </si>
  <si>
    <t>NASA High-End Computing (HEC) program through the NASA Center for Climate Simulation (NCCS) at Goddard Space Flight Center; NASA-ROSES Modeling, Analysis and Prediction [NNX14AB99A-MAP]; NASA [NNX15AJ05A]; NASA [806779, 683859, NNX14AB99A, NNX15AJ05A] Funding Source: Federal RePORTER</t>
  </si>
  <si>
    <t>NASA High-End Computing (HEC) program through the NASA Center for Climate Simulation (NCCS) at Goddard Space Flight Center; NASA-ROSES Modeling, Analysis and Prediction; NASA(National Aeronautics &amp; Space Administration (NASA)); NASA(National Aeronautics &amp; Space Administration (NASA))</t>
  </si>
  <si>
    <t>Resources supporting this work were provided by the NASA High-End Computing (HEC) program through the NASA Center for Climate Simulation (NCCS) at Goddard Space Flight Center.; Funding was provided by NASA-ROSES Modeling, Analysis and Prediction 2013 NNX14AB99A-MAP for GISS Model-E development and NNX15AJ05A NASA Cooperative Agreement 2015-2018.</t>
  </si>
  <si>
    <t>10.5194/essd-10-609-2018</t>
  </si>
  <si>
    <t>GA6XS</t>
  </si>
  <si>
    <t>WOS:000428478600001</t>
  </si>
  <si>
    <t>González-Aravena, M; Calfio, C; Mercado, L; Morales-Lange, B; Bethke, J; De Lorgeril, J; Cárdenas, CA</t>
  </si>
  <si>
    <t>Gonzalez-Aravena, Marcelo; Calfio, Camila; Mercado, Luis; Morales-Lange, Byron; Bethke, Jorn; De Lorgeril, Julien; Cardenas, Cesar A.</t>
  </si>
  <si>
    <t>HSP70 from the Antarctic sea urchin Sterechinus neumayeri: molecular characterization and expression in response to heat stress</t>
  </si>
  <si>
    <t>BIOLOGICAL RESEARCH</t>
  </si>
  <si>
    <t>Hsp70; Coelomocytes; Antarctica; Echinoderms; Climate change</t>
  </si>
  <si>
    <t>SHOCK PROTEINS; CELOMOCYTES; EVOLUTIONARY; SENSITIVITY; CHAPERONES; FISH</t>
  </si>
  <si>
    <t>Background: Heat stress proteins are implicated in stabilizing and refolding denatured proteins in vertebrates and invertebrates. Members of the Hsp70 gene family comprise the cognate heat shock protein (Hsc70) and inducible heat shock protein (Hsp70). However, the cDNA sequence and the expression of Hsp70 in the Antarctic sea urchin are unknown. Methods: We amplified and cloned a transcript sequence of 1991 bp from the Antarctic sea urchin Sterechinus neumayeri, experimentally exposed to heat stress (5 and 10 degrees C for 1, 24 and 48 h). RACE-PCR and qPCR were employed to determine Hsp70 gene expression, while western blot and ELISA methods were used to determine protein expression. Results: The sequence obtained from S. neumayeri showed high identity with Hsp70 members. Several Hsp70 family features were identified in the deduced amino acid sequence and they indicate that the isolated Hsp70 is related to the cognate heat shock protein type. The corresponding 70 kDa protein, called Sn-Hsp70, was immune detected in the coelomocytes and the digestive tract of S. neumayeri using a monospecific polyclonal antibody. We showed that S. neumayeri do not respond to acute heat stress by up-regulation of Sn-Hsp70 at transcript and protein level. Furthermore, the Sn-Hsp70 protein expression was not induced in the digestive tract. Conclusions: Our results provide the first molecular evidence that Sn-Hsp70 is expressed constitutively and is non-induced by heat stress in S. neumayeri.</t>
  </si>
  <si>
    <t>[Gonzalez-Aravena, Marcelo; Calfio, Camila; Cardenas, Cesar A.] Inst Antartico Chileno, Dept Cient, Lab Biorrecursos Antarticos, Plaza Munoz Gamero 1055, Punta Arenas, Chile; [Mercado, Luis; Morales-Lange, Byron; Bethke, Jorn] Pontificia Univ Catolica Valparaiso, Lab Genet &amp; Inmunol Mol, Grp Marcadores Inmunol, Inst Biol, Ave Univ 330, Valparaiso, Chile; [De Lorgeril, Julien] Univ Perpignan, IFREMER, Univ Montpellier 2, CNRS,UMR IHPE 5244, Via Domitia,Pl Eugene Bataillon CC80, F-34095 Montpellier, France</t>
  </si>
  <si>
    <t>Pontificia Universidad Catolica de Valparaiso; Universite de Montpellier; Ifremer; Universite Perpignan Via Domitia; Centre National de la Recherche Scientifique (CNRS)</t>
  </si>
  <si>
    <t>González-Aravena, M (corresponding author), Inst Antartico Chileno, Dept Cient, Lab Biorrecursos Antarticos, Plaza Munoz Gamero 1055, Punta Arenas, Chile.</t>
  </si>
  <si>
    <t>mgonzalez@inach.cl</t>
  </si>
  <si>
    <t>Cardenas, Cesar/ABF-1664-2020; Morales Lange, Byron/JMC-7999-2023; González, Marcelo/ABF-1450-2020; Julien, de Lorgeril/O-7488-2014</t>
  </si>
  <si>
    <t>Morales Lange, Byron/0000-0002-2807-5800; Bethke, Jorn/0000-0001-7457-4072; Cardenas, Cesar/0000-0001-6662-6899; Julien, de Lorgeril/0000-0002-6400-5455; Mercado, Luis/0000-0003-3883-5188; Gonzalez, Marcelo/0000-0001-9986-9504</t>
  </si>
  <si>
    <t>CONICYT-Chile [Fondecyt 11090265, 1131001]</t>
  </si>
  <si>
    <t>CONICYT-Chile(Comision Nacional de Investigacion Cientifica y Tecnologica (CONICYT))</t>
  </si>
  <si>
    <t>The study was financed by grants from the CONICYT-Chile (Fondecyt 11090265 and 1131001) and logistical support was provided for the Chilean Antarctic Institute (INACH).</t>
  </si>
  <si>
    <t>SOC BIOLGIA CHILE</t>
  </si>
  <si>
    <t>SANTIAGO</t>
  </si>
  <si>
    <t>CASILLA 16164, SANTIAGO 9, CHILE</t>
  </si>
  <si>
    <t>0716-9760</t>
  </si>
  <si>
    <t>0717-6287</t>
  </si>
  <si>
    <t>BIOL RES</t>
  </si>
  <si>
    <t>Biol. Res.</t>
  </si>
  <si>
    <t>10.1186/s40659-018-0156-9</t>
  </si>
  <si>
    <t>GD8EU</t>
  </si>
  <si>
    <t>WOS:000430746500001</t>
  </si>
  <si>
    <t>Simmonds, PG; Rigby, M; McCulloch, A; Vollmer, MK; Henne, S; Mühle, J; O'Doherty, S; Manning, AJ; Krummel, PB; Fraser, PJ; Young, D; Weiss, RF; Salameh, PK; Harth, CM; Reimann, S; Trudinger, CM; Steele, LP; Wang, RHJ; Ivy, DJ; Prinn, RG; Mitrevski, B; Etheridge, DM</t>
  </si>
  <si>
    <t>Simmonds, Peter G.; Rigby, Matthew; McCulloch, Archie; Vollmer, Martin K.; Henne, Stephan; Muhle, Jens; O'Doherty, Simon; Manning, Alistair J.; Krummel, Paul B.; Fraser, Paul J.; Young, Dickon; Weiss, Ray F.; Salameh, Peter K.; Harth, Christina M.; Reimann, Stefan; Trudinger, Cathy M.; Steele, L. Paul; Wang, Ray H. J.; Ivy, Diane J.; Prinn, Ronald G.; Mitrevski, Blagoj; Etheridge, David M.</t>
  </si>
  <si>
    <t>Recent increases in the atmospheric growth rate and emissions of HFC-23 (CHF3) and the link to HCFC-22 (CHClF2) production</t>
  </si>
  <si>
    <t>IN-SITU MEASUREMENTS; GLOBAL EMISSIONS; EAST-ASIA; TRENDS; AIR; FIRN; PERFLUOROCARBONS; HFCS; HALOCARBONS; HISTORIES</t>
  </si>
  <si>
    <t>High frequency measurements of trifluoromethane (HFC-23, CHF3), a potent hydrofluorocarbon greenhouse gas, largely emitted to the atmosphere as a by-product of the production of the hydrochlorofluorocarbon HCFC-22 (CHClF2), at five core stations of the Advanced Global Atmospheric Gases Experiment (AGAGE) network, combined with measurements on firn air, old Northern Hemisphere air samples and Cape Grim Air Archive (CGAA) air samples, are used to explore the current and historic changes in the atmospheric abundance of HFC-23. These measurements are used in combination with the AGAGE 2-D atmospheric 12-box model and a Bayesian inversion methodology to determine model atmospheric mole fractions and the history of global HFC-23 emissions. The global modelled annual mole fraction of HFC-23 in the background atmosphere was 28.9 +/- 0.6 pmol mol(-1) at the end of 2016, representing a 28% increase from 22.6 +/- 0.4 pmol mol(-1) in 2009. Over the same time frame, the modelled mole fraction of HCFC-22 increased by 19% from 199 +/- 2 to 237 +/- 2 pmol mol(-1). However, unlike HFC-23, the annual average HCFC-22 growth rate slowed from 2009 to 2016 at an annual average rate of -0.5 pmol mol(-1) yr(-2). This slowing atmospheric growth is consistent with HCFC-22 moving from dispersive (high fractional emissions) to feedstock (low fractional emissions) uses, with HFC-23 emissions remaining as a consequence of incomplete mitigation from all HCFC-22 production. Our results demonstrate that, following a minimum in HFC-23 global emissions in 2009 of 9.6 +/- 0.6, emissions increased to a maximum in 2014 of 14.5 +/- 0.6 Gg yr(-1) and then declined to 12.7 +/- 0.6 Gg yr(-1) (157 MtCO(2) eq.yr(-1)) in 2016. The 2009 emissions minimum is consistent with estimates based on national reports and is likely a response to the implementation of the Clean Development Mechanism (CDM) to mitigate HFC-23 emissions by incineration in developing (non-Annex 1) countries under the Kyoto Protocol. Our derived cumulative emissions of HFC-23 during 20102016 were 89 +/- 2 Gg (1.1 +/- 0.2 GtCO(2) eq.), which led to an increase in radiative forcing of 1.0 +/- 0.1mWm(-2) over the same period. Although the CDM had reduced global HFC-23 emissions, it cannot now offset the higher emissions from increasing HCFC-22 production in non-Annex 1 countries, as the CDM was closed to new entrants in 2009. We also find that the cumulative European HFC-23 emissions from 2010 to 2016 were similar to 1.3 Gg, corresponding to just 1.5% of cumulative global HFC-23 emissions over this same period. The majority of the increase in global HFC-23 emissions since 2010 is attributed to a delay in the adoption of mitigation technologies, predominantly in China and East Asia. However, a reduction in emissions is anticipated, when the Kigali 2016 amendment to the Montreal Protocol, requiring HCFC and HFC production facilities to introduce destruction of HFC-23, is fully implemented.</t>
  </si>
  <si>
    <t>[Simmonds, Peter G.; Rigby, Matthew; McCulloch, Archie; O'Doherty, Simon; Young, Dickon] Univ Bristol, Atmospher Chem Res Grp, Bristol, Avon, England; [Vollmer, Martin K.; Henne, Stephan; Reimann, Stefan] Swiss Fed Labs Mat Sci &amp; Technol, Lab Air Pollut &amp; Environm Technol Empa, Dubendorf, Switzerland; [Muhle, Jens; Weiss, Ray F.; Salameh, Peter K.; Harth, Christina M.] Univ Calif San Diego, Scripps Inst Oceanog, La Jolla, CA 92093 USA; [Manning, Alistair J.] Met Off, Hadley Ctr, Exeter, Devon, England; [Krummel, Paul B.; Fraser, Paul J.; Trudinger, Cathy M.; Steele, L. Paul; Mitrevski, Blagoj; Etheridge, David M.] CSIRO Oceans &amp; Atmosphere, Climate Sci Ctr, Aspendale, Vic, Australia; [Wang, Ray H. J.] Georgia Inst Technol, Sch Earth &amp; Atmospher Sci, Atlanta, GA 30332 USA; [Ivy, Diane J.; Prinn, Ronald G.] MIT, Ctr Global Change Sci, 77 Massachusetts Ave, Cambridge, MA 02139 USA</t>
  </si>
  <si>
    <t>University of Bristol; Swiss Federal Institutes of Technology Domain; Swiss Federal Laboratories for Materials Science &amp; Technology (EMPA); University of California System; University of California San Diego; Scripps Institution of Oceanography; Met Office - UK; Hadley Centre; Commonwealth Scientific &amp; Industrial Research Organisation (CSIRO); University System of Georgia; Georgia Institute of Technology; Massachusetts Institute of Technology (MIT)</t>
  </si>
  <si>
    <t>Simmonds, PG (corresponding author), Univ Bristol, Atmospher Chem Res Grp, Bristol, Avon, England.</t>
  </si>
  <si>
    <t>petergsimmonds@aol.com</t>
  </si>
  <si>
    <t>Fraser, Paul J. B./D-1755-2012; Steele, Paul/B-3185-2009; Krummel, Paul B/A-4293-2013; Trudinger, Cathy/A-2532-2008; Young, Dickon/AFO-7065-2022; Henne, Stephan/A-3467-2009; Muhle, Jens/GPX-3244-2022; Mitrevski, Blagoj/JAT-7514-2023; Etheridge, David M/B-7334-2013; Reimann, Stefan/A-2327-2009; Rigby, Matthew/A-5555-2012</t>
  </si>
  <si>
    <t>Krummel, Paul B/0000-0002-4884-3678; Young, Dickon/0000-0002-6723-3138; Muhle, Jens/0000-0001-9776-3642; Etheridge, David/0000-0001-7970-2002; Reimann, Stefan/0000-0002-9885-7138; Rigby, Matthew/0000-0002-2020-9253; Trudinger, Cathy/0000-0002-4844-2153</t>
  </si>
  <si>
    <t>National Aeronautics and Space Administration (NASA, USA) [NAG5-12669, NNX07AE89G, NNX11AF17G, NNX16AC98G, NAG5-4023, NNX07AE87G, NNX07AF09G, NNX11AF15G, NNX11AF16G, NNX16AC96G, NNX16A97G]; Department for Business, Energy and Industrial Strategy (BEIS, UK) [1028/06/2015]; National Oceanic and Atmospheric Administration (NOAA, USA) [RA-133-R15-CN-0008]; Australian Climate Change Science Program (ACCSP), an Australian Government Initiative; Australian Antarctic Science Program; FNRS-CFB; FWO; NRCan/GSC; CAS; FIST; IPEV; CNRS/INSU; CEA; ANR; AWI; RannIs; NIPR; KOPRI; NWO/ALW; VR; SNF; NERC; U. S. NSF, Office of Polar Programs; Swiss national programme HALCLIM (Swiss Federal Office for the Environment (FOEN)); International Foundation High Altitude Research Stations Jungfraujoch and Gornergrat (HF-SJG); NERC [NE/I021365/1]; NERC [NE/I021365/1, NE/M014851/1] Funding Source: UKRI</t>
  </si>
  <si>
    <t>National Aeronautics and Space Administration (NASA, USA)(National Aeronautics &amp; Space Administration (NASA)); Department for Business, Energy and Industrial Strategy (BEIS, UK); National Oceanic and Atmospheric Administration (NOAA, USA); Australian Climate Change Science Program (ACCSP), an Australian Government Initiative; Australian Antarctic Science Program; FNRS-CFB; FWO(FWO); NRCan/GSC; CAS(Chinese Academy of Sciences); FIST(Department of Science &amp; Technology (India)); IPEV; CNRS/INSU(Centre National de la Recherche Scientifique (CNRS)); CEA(French Atomic Energy Commission); ANR(Agence Nationale de la Recherche (ANR)); AWI; RannIs; NIPR(National Institute of Polar Research (NIPR) - Japan); KOPRI(Korea Polar Research Institute of Marine Research Placement (KOPRI)); NWO/ALW(Netherlands Organization for Scientific Research (NWO)); VR(Swedish Research Council); SNF; NERC(UK Research &amp; Innovation (UKRI)Natural Environment Research Council (NERC)); U. S. NSF, Office of Polar Programs(National Science Foundation (NSF)); Swiss national programme HALCLIM (Swiss Federal Office for the Environment (FOEN)); International Foundation High Altitude Research Stations Jungfraujoch and Gornergrat (HF-SJG); NERC(UK Research &amp; Innovation (UKRI)Natural Environment Research Council (NERC)); NERC(UK Research &amp; Innovation (UKRI)Natural Environment Research Council (NERC))</t>
  </si>
  <si>
    <t>We specifically acknowledge the cooperation and efforts of the station operators (Gerard Spain, Mace Head, Ireland; Randy Dickau, Trinidad Head, California; Peter Sealy, Ragged Point, Barbados; NOAA Officer-in-Charge, Cape Matatula, American Samoa; Sam Cleland, Cape Grim, Tasmania) and their staff at all the AGAGE stations. The operation of the AGAGE stations was supported by the National Aeronautics and Space Administration (NASA, USA; grants NAG5-12669, NNX07AE89G, NNX11AF17G and NNX16AC98G to MIT; grants NAG5-4023, NNX07AE87G, NNX07AF09G, NNX11AF15G, NNX11AF16G, NNX16AC96G and NNX16A97G to SIO). We acknowledge the Department for Business, Energy and Industrial Strategy (BEIS, UK) for contract 1028/06/2015 to the University of Bristol and the UK Meteorological Office in support of Mace Head, Ireland, and modelling activities; the National Oceanic and Atmospheric Administration (NOAA, USA), contract RA-133-R15-CN-0008 to the University of Bristol in support of Ragged Point, Barbados; we acknowledge NOAA support for the operations of the American Samoa station, and support by the Commonwealth Scientific and Industrial Research Organisation (CSIRO, Australia), the Bureau of Meteorology (Australia) and Refrigerant Reclaim Australia for Cape Grim operations.; CSIRO's contribution was supported in part by the Australian Climate Change Science Program (ACCSP), an Australian Government Initiative. Australian firn activities in the Antarctic are specifically supported by the Australian Antarctic Science Program. We acknowledge the members of the firn air sampling teams for provision of the samples from Law Dome, NEEM, and the South Pole. NEEM is directed and organised by the Centre of Ice and Climate at the Niels Bohr Institute and US NSF, Office of Polar Programs. It is supported by funding agencies and institutions in Belgium (FNRS-CFB and FWO), Canada (NRCan/GSC), China (CAS), Denmark (FIST), France (IPEV, CNRS/INSU, CEA, and ANR), Germany (AWI), Iceland (RannIs), Japan (NIPR), Korea (KOPRI), the Netherlands (NWO/ALW), Sweden (VR), Switzerland (SNF), United Kingdom (NERC) and the U. S. (U. S. NSF, Office of Polar Programs). Financial support for the Jungfraujoch measurements is acknowledged from the Swiss national programme HALCLIM (Swiss Federal Office for the Environment (FOEN)). Support for the Jungfraujoch station was provided by International Foundation High Altitude Research Stations Jungfraujoch and Gornergrat (HF-SJG).; Matthew Rigby is supported by a NERC Advanced Fellowship NE/I021365/1. We acknowledge the cooperation of Ray Langenfelds for his long-term involvement in supporting and maintaining the Cape Grim Air Archive. We also thank Steve Montzka and Brad Hall for supplying actual datasets from their publications.</t>
  </si>
  <si>
    <t>MAR 26</t>
  </si>
  <si>
    <t>10.5194/acp-18-4153-2018</t>
  </si>
  <si>
    <t>GA5LJ</t>
  </si>
  <si>
    <t>WOS:000428375100003</t>
  </si>
  <si>
    <t>Bullard, JE; Mockford, T</t>
  </si>
  <si>
    <t>Bullard, Joanna E.; Mockford, Tom</t>
  </si>
  <si>
    <t>Seasonal and decadal variability of dust observations in the Kangerlussuaq area, west Greenland</t>
  </si>
  <si>
    <t>Dust; dust code; seasonality</t>
  </si>
  <si>
    <t>HIGH-LATITUDE DUST; ICE-SHEET RUNOFF; SEDIMENT TRANSPORT; SONDRE STROMFJORD; MINERAL DUST; AEOLIAN DUST; WIND; JOKULHLAUPS; DEPOSITION; IMPACTS</t>
  </si>
  <si>
    <t>Dust emissions from high-latitude, cold-climate environments have started receiving more attention in the past decade. This is because emission frequency and magnitudes are expected to increase with rising global temperatures, leading to a reduction in terrestrial ice masses and increases in suitable sediment for the aeolian system. Of the identified high-latitude dust source regions, Greenland has received relatively little attention. Using World Meteorological Organization (WMO) dust-code analysis, this study presents a seventy-year record of dust events and preferential dust transport pathways from Kangerlussuaq, west Greenland. A clear seasonal pattern of dust emissions shows increases in dust events in spring and autumn driven by effective winds and sediment supply. The decadal record suggests an increase in the magnitude, but not frequency, of dust events since the early 1990s. Pathways analysis suggests that dust is preferentially transported away from the Greenland Ice Sheet (GrIS) toward the Davis Strait and Labrador Sea. When dust is transported toward the GrIS, it is more likely to be deposited in the ice-marginal ablation zone than on the higher altitude areas of the ice sheet. The impact of dust deposition on terrestrial, cryospheric, and aquatic environments is also discussed.</t>
  </si>
  <si>
    <t>[Bullard, Joanna E.; Mockford, Tom] Loughborough Univ, Dept Geog, Loughborough, Leics, England</t>
  </si>
  <si>
    <t>Loughborough University</t>
  </si>
  <si>
    <t>Bullard, JE (corresponding author), Loughborough Univ, Dept Geog, Loughborough, Leics, England.</t>
  </si>
  <si>
    <t>j.e.bullard@lboro.ac.uk</t>
  </si>
  <si>
    <t>Leverhulme Trust [IN-2013-036]; UK Natural Environment Research Council [NE/P011578/1]; NERC [NE/P011578/1] Funding Source: UKRI</t>
  </si>
  <si>
    <t>Leverhulme Trust(Leverhulme Trust); UK Natural Environment Research Council(UK Research &amp; Innovation (UKRI)Natural Environment Research Council (NERC)); NERC(UK Research &amp; Innovation (UKRI)Natural Environment Research Council (NERC))</t>
  </si>
  <si>
    <t>This work was partially funded by The Leverhulme Trust (IN-2013-036) and the UK Natural Environment Research Council (NE/P011578/1).</t>
  </si>
  <si>
    <t>e1415854</t>
  </si>
  <si>
    <t>10.1080/15230430.2017.1415854</t>
  </si>
  <si>
    <t>GN1JG</t>
  </si>
  <si>
    <t>WOS:000438745100001</t>
  </si>
  <si>
    <t>Mernild, SH; Liston, GE; van As, D; Hasholt, B; Yde, JC</t>
  </si>
  <si>
    <t>Mernild, Sebastian H.; Liston, Glen E.; van As, Dirk; Hasholt, Bent; Yde, Jacob C.</t>
  </si>
  <si>
    <t>High-resolution ice sheet surface mass-balance and spatiotemporal runoff simulations: Kangerlussuaq, west Greenland</t>
  </si>
  <si>
    <t>ERA-I; freshwater runoff; Greenland Ice Sheet; HydroFlow; modeling; SnowModel; surface mass-balance</t>
  </si>
  <si>
    <t>SEA-LEVEL RISE; CLIMATE MODEL; MELTWATER RETENTION; SNOW REDISTRIBUTION; UPPER TREELINE; WATER-FLOW; MELT; STORAGE; JOKULHLAUPS; SEDIMENT</t>
  </si>
  <si>
    <t>The spatiotemporal distribution of freshwater runoff from the Greenland Ice Sheet (GrIS) determines the hydrographic and circulation conditions in Greenlandic fjords. The distribution of GrIS first-order atmospheric forcings, surface mass-balance (SMB), including snow/ice melt, and freshwater river discharge from the Kangerlussuaq drainage catchment were simulated for the thirtyfive-year period 1979/1980-2013/2014. ERA-Interim (ERA-I) products, together with the modeling software package SnowModel, were used with relatively high-resolutions of 3-h time steps and 5-km horizontal grid increments. SnowModel simulated and downscaled grid mean annual air temperature (MAAT) and SMB correspond well to point observations along a weather station transect (the K-transect). On average, simulated catchment runoff was, however, overestimated and subsequently adjusted against observed runoff. This overestimation could likely be because of missing multiyear firn processes, such as nonlinear meltwater retention, percolation blocked by ice layers, and refreezing. In the GrIS Kangerlussuaq catchment, the simulated thirty-five-year MAAT was -15.0 +/- 1.4 degrees C, with a mean 0 degrees isotherm below 280 m a.s.l. near the ice sheet margin. At the ice sheet margin, on average, 45 percent of precipitation fell as snow. At 2,000 m a.s.l., snow constituted 98 percent of the total precipitation. At the catchment outlet of Watson River draining into the fjord Kangerlussuaq, 80 percent of the simulated runoff originated from GrIS ice melt, 15 percent from snowmelt, and 5 percent from rain.</t>
  </si>
  <si>
    <t>[Mernild, Sebastian H.] Nansen Environm &amp; Remote Sensing Ctr, Bergen, Norway; [Mernild, Sebastian H.; Yde, Jacob C.] Western Norway Univ Appl Sci, Dept Environm Sci, Sogndal, Norway; [Mernild, Sebastian H.] Univ Magallanes, Antarctic &amp; Subantarctic Program, Punta Arenas, Chile; [Liston, Glen E.] Colorado State Univ, Cooperat Inst Res Atmosphere, Ft Collins, CO 80523 USA; [van As, Dirk] Geol Survey Denmark &amp; Greenland GEUS, Copenhagen, Denmark; [Hasholt, Bent] Univ Copenhagen, Dept Geosci &amp; Nat Resource Management, Copenhagen, Denmark</t>
  </si>
  <si>
    <t>Nansen Environmental &amp; Remote Sensing Center (NERSC); Western Norway University of Applied Sciences; Universidad de Magallanes; Colorado State University; Geological Survey Of Denmark &amp; Greenland; University of Copenhagen</t>
  </si>
  <si>
    <t>Mernild, SH (corresponding author), Nansen Environm &amp; Remote Sensing Ctr, Bergen, Norway.;Mernild, SH (corresponding author), Western Norway Univ Appl Sci, Dept Environm Sci, Sogndal, Norway.;Mernild, SH (corresponding author), Univ Magallanes, Antarctic &amp; Subantarctic Program, Punta Arenas, Chile.</t>
  </si>
  <si>
    <t>sebastian.mernild@nersc.no</t>
  </si>
  <si>
    <t>; Mernild, Sebastian H./M-5516-2013</t>
  </si>
  <si>
    <t>van As, Dirk/0000-0002-6553-8982; Mernild, Sebastian H./0000-0003-0797-3975; Yde, Jacob Clement/0000-0002-6211-2601</t>
  </si>
  <si>
    <t>e1415856</t>
  </si>
  <si>
    <t>10.1080/15230430.2017.1415856</t>
  </si>
  <si>
    <t>GN1JB</t>
  </si>
  <si>
    <t>WOS:000438744400001</t>
  </si>
  <si>
    <t>Fernandoy, F; Tetzner, D; Meyer, H; Gacitúa, G; Hoffmann, K; Falk, U; Lambert, F; MacDonell, S</t>
  </si>
  <si>
    <t>Fernandoy, Francisco; Tetzner, Dieter; Meyer, Hanno; Gacitua, Guisella; Hoffmann, Kirstin; Falk, Ulrike; Lambert, Fabrice; MacDonell, Shelley</t>
  </si>
  <si>
    <t>New insights into the use of stable water isotopes at the northern Antarctic Peninsula as a tool for regional climate studies</t>
  </si>
  <si>
    <t>KING-GEORGE-ISLAND; HEMISPHERE ANNULAR MODE; ICE-CORE; DYNAMICS; MELT; TEMPERATURES; GLACIER; TRENDS; FIRN; WEST</t>
  </si>
  <si>
    <t>Due to recent atmospheric and oceanic warming, the Antarctic Peninsula is one of the most challenging regions of Antarctica to understand in terms of both local-and regional-scale climate signals. Steep topography and a lack of long-term and in situ meteorological observations complicate the extrapolation of existing climate models to the sub-regional scale. Therefore, new techniques must be developed to better understand processes operating in the region. Isotope signals are traditionally related mainly to atmospheric conditions, but a detailed analysis of individual components can give new insight into oceanic and atmospheric processes. This paper aims to use new isotopic records collected from snow and firn cores in conjunction with existing meteorological and oceanic datasets to determine changes at the climatic scale in the northern extent of the Antarctic Peninsula. In particular, a discernible effect of sea ice cover on local temperatures and the expression of climatic modes, especially the Southern Annular Mode (SAM), is demonstrated. In years with a large sea ice extension in winter (negative SAM anomaly), an inversion layer in the lower troposphere develops at the coastal zone. Therefore, an isotope-temperature relationship (delta-T) valid for all periods cannot be obtained, and instead the delta-T depends on the seasonal variability of oceanic conditions. Comparatively, transitional seasons (autumn and spring) have a consistent isotope-temperature gradient of +0.69 parts per thousand degrees C-1. As shown by firn core analysis, the near-surface temperature in the northern-most portion of the Antarctic Peninsula shows a decreasing trend (0.33 degrees C year(-1)) between 2008 and 2014. In addition, the deuterium excess (d(excess)) is demonstrated to be a reliable indicator of seasonal oceanic conditions, and therefore suitable to improve a firn age model based on seasonal d(excess) variability. The annual accumulation rate in this region is highly variable, ranging between 1060 and 2470 kgm(-2) year(-1) from 2008 to 2014. The combination of isotopic and meteorological data in areas where data exist is key to reconstruct climatic conditions with a high temporal resolution in polar regions where no direct observations exist.</t>
  </si>
  <si>
    <t>[Fernandoy, Francisco] Univ Andres Bello, Fac Ingn, Vina Del Mar 2531015, Chile; [Tetzner, Dieter] Univ Chile, Ctr Climate &amp; Resilience Res, Santiago 8370361, Chile; [Meyer, Hanno; Hoffmann, Kirstin] Helmholtz Ctr Polar &amp; Marine Res, Alfred Wegener Inst, Res Unit Potsdam, Telegrafenberg A43, D-14473 Potsdam, Germany; [Gacitua, Guisella] Univ Magallanes, Programa GAIA Antartica, Punta Arenas 6210427, Chile; [Falk, Ulrike] Univ Bremen, Geog Dept, Climate Lab, D-28334 Bremen, Germany; [Lambert, Fabrice] Pontificia Univ Catolica Chile, Dept Phys Geog, Santiago, Chile; [MacDonell, Shelley] CEAZA, La Serena, Chile</t>
  </si>
  <si>
    <t>Universidad Andres Bello; Universidad de Chile; Helmholtz Association; Alfred Wegener Institute, Helmholtz Centre for Polar &amp; Marine Research; Universidad de Magallanes; University of Bremen; Pontificia Universidad Catolica de Chile</t>
  </si>
  <si>
    <t>Fernandoy, F (corresponding author), Univ Andres Bello, Fac Ingn, Vina Del Mar 2531015, Chile.</t>
  </si>
  <si>
    <t>francisco.fernandoy@unab.cl</t>
  </si>
  <si>
    <t>MacDonell, Shelley/J-2480-2016; Lambert, Fabrice/M-2003-2014; Meyer, Hanno/AAQ-4260-2021; Meyer, Hanno/E-2870-2016</t>
  </si>
  <si>
    <t>Lambert, Fabrice/0000-0002-2192-024X; Meyer, Hanno/0000-0003-4129-4706; Hoffmann, Kirstin/0000-0002-8009-6369; Fernandoy, Francisco/0000-0003-2252-7746; MacDonell, Shelley/0000-0001-9641-4547; Falk, Ulrike/0000-0003-1586-1295</t>
  </si>
  <si>
    <t>FONDECYT [11121551]; Chilean Antarctic Institute (INACH); Chilean Air Force and Army logistical facilities; Universidad Nacional Andres Bello</t>
  </si>
  <si>
    <t>FONDECYT(Comision Nacional de Investigacion Cientifica y Tecnologica (CONICYT)CONICYT FONDECYT); Chilean Antarctic Institute (INACH); Chilean Air Force and Army logistical facilities; Universidad Nacional Andres Bello</t>
  </si>
  <si>
    <t>The present work was funded by the FONDECYT project 11121551 and supported by the Chilean Antarctic Institute (INACH), the Chilean Air Force and Army logistical facilities. We want to show our gratitude to the Universidad Nacional Andres Bello for supporting this study. We also greatly thank our colleagues, who made field work conditions less severe, especially to Daniel Rutllant for his support in the logistical and field safety. We would like to thank all people involved in the laboratory work, especially to Ivonne Quintanilla, who carried out the sample processing at UNAB and to Johannes Freitag, for his support with the X-Ray tomography processing at AWI. Tracy Wormwood is greatly thanked for her support editing this manuscript. We highly appreciate the comments of two anonymous reviewers, who provided helpful observations that greatly contributed to improve this manuscript. Finally, we thank the dedicated work of the editor of this article Benjamin Smith.</t>
  </si>
  <si>
    <t>10.5194/tc-12-1069-2018</t>
  </si>
  <si>
    <t>GA6HM</t>
  </si>
  <si>
    <t>WOS:000428433800001</t>
  </si>
  <si>
    <t>Skene, DM; Bennetts, LG; Wright, M; Meylan, MH; Maki, KJ</t>
  </si>
  <si>
    <t>Skene, D. M.; Bennetts, L. G.; Wright, M.; Meylan, M. H.; Maki, K. J.</t>
  </si>
  <si>
    <t>Water wave overwash of a step</t>
  </si>
  <si>
    <t>surface gravity waves; waves/free-surface flows; wave-structure interactions</t>
  </si>
  <si>
    <t>FLOATING ELASTIC DISCS; SEA-ICE FLOES; HYDROELASTIC RESPONSE; GENERATION</t>
  </si>
  <si>
    <t>Water wave overwash of a step by small steepness, regular incident waves is analysed using a computational fluid dynamics (CFD) model and a mathematical model, in two spatial dimensions. The CFD model is based on the two-phase, incompressible Navier-Stokes equations, and the mathematical model is based on the coupled potential-flow and nonlinear shallow-water theories. The CFD model is shown to predict vortices, breaking and overturning in the region where overwash is generated, and that the overwash develops into fast-travelling bores. The mathematical model is shown to predict bore heights and velocities that agree with the CFD model, despite neglecting the complicated dynamics where the overwash is generated. Evidence is provided to explain the agreement in terms of the underlying agreement of mass and energy fluxes.</t>
  </si>
  <si>
    <t>[Skene, D. M.; Bennetts, L. G.] Univ Adelaide, Sch Math Sci, Adelaide, SA 5005, Australia; [Wright, M.; Maki, K. J.] Univ Michigan, Dept Naval Architecture &amp; Marine Engn, Ann Arbor, MI 48109 USA; [Meylan, M. H.] Univ Newcastle, Sch Math &amp; Phys Sci, Newcastle, NSW 2308, Australia</t>
  </si>
  <si>
    <t>University of Adelaide; University of Michigan System; University of Michigan; University of Newcastle</t>
  </si>
  <si>
    <t>Skene, DM (corresponding author), Univ Adelaide, Sch Math Sci, Adelaide, SA 5005, Australia.</t>
  </si>
  <si>
    <t>david.skene@adelaide.edu.au</t>
  </si>
  <si>
    <t>Bennetts, Luke/N-1448-2019; Meylan, Michael/A-7341-2010</t>
  </si>
  <si>
    <t>Bennetts, Luke/0000-0001-9386-7882; Meylan, Michael/0000-0002-3164-1367</t>
  </si>
  <si>
    <t>Australian Postgraduate Award; Australian Antarctic Science Program funds [4123]; U.S. Office of Naval Research [N00014-15-1-2611]; National Science Foundation [ACI-1548562]; Advanced Research Computing at the University of Michigan, Ann Arbor</t>
  </si>
  <si>
    <t>Australian Postgraduate Award(Australian Government); Australian Antarctic Science Program funds; U.S. Office of Naval Research(Office of Naval Research); National Science Foundation(National Science Foundation (NSF)); Advanced Research Computing at the University of Michigan, Ann Arbor</t>
  </si>
  <si>
    <t>An Australian Postgraduate Award funds a PhD scholarship for DMS. The Australian Antarctic Science Program funds LGB and DMS (project 4123). The U.S. Office of Naval Research supports MHM (award number N00014-15-1-2611), and M.W. and K.J.M. This work used the Extreme Science and Engineering Discovery Environment (XSEDE), which is supported by National Science Foundation grant no. ACI-1548562. This research was supported in part through computational resources and services provided by Advanced Research Computing at the University of Michigan, Ann Arbor.</t>
  </si>
  <si>
    <t>MAR 25</t>
  </si>
  <si>
    <t>10.1017/jfm.2017.857</t>
  </si>
  <si>
    <t>FU0PI</t>
  </si>
  <si>
    <t>WOS:000423552400001</t>
  </si>
  <si>
    <t>Graham, FS; Morlighem, M; Warner, RC; Treverrow, A</t>
  </si>
  <si>
    <t>Graham, Felicity S.; Morlighem, Mathieu; Warner, Roland C.; Treverrow, Adam</t>
  </si>
  <si>
    <t>Implementing an empirical scalar constitutive relation for ice with flow-induced polycrystalline anisotropy in large-scale ice sheet models</t>
  </si>
  <si>
    <t>DOME SUMMIT SOUTH; EAST ANTARCTICA; LAW DOME; TERTIARY CREEP; HIGHER-ORDER; POLAR ICE; SHEAR; STRESS; COMPRESSION; GREENLAND</t>
  </si>
  <si>
    <t>The microstructure of polycrystalline ice evolves under prolonged deformation, leading to anisotropic patterns of crystal orientations. The response of this material to applied stresses is not adequately described by the ice flow relation most commonly used in large-scale ice sheet models-the Glen flow relation. We present a preliminary assessment of the implementation in the Ice Sheet System Model (ISSM) of a computationally efficient, empirical, scalar, constitutive relation which addresses the influence of the dynamically steady-state flow-compatible induced anisotropic crystal orientation patterns that develop when ice is subjected to the same stress regime for a prolonged period-sometimes termed tertiary flow. We call this the ESTAR flow relation. The effect on ice flow dynamics is investigated by comparing idealised simulations using ESTAR and Glen flow relations, where we include in the latter an overall flow enhancement factor. For an idealised embayed ice shelf, the Glen flow relation overestimates velocities by up to 17% when using an enhancement factor equivalent to the maximum value prescribed in the ESTAR relation. Importantly, no single Glen enhancement factor can accurately capture the spatial variations in flow across the ice shelf generated by the ESTAR flow relation. For flow line studies of idealised grounded flow over varying topography or variable basal friction-both scenarios dominated at depth by bed-parallel shear-the differences between simulated velocities using ESTAR and Glen flow relations depend on the value of the enhancement factor used to calibrate the Glen flow relation. These results demonstrate the importance of describing the deformation of anisotropic ice in a physically realistic manner, and have implications for simulations of ice sheet evolution used to reconstruct paleo-ice sheet extent and predict future ice sheet contributions to sea level.</t>
  </si>
  <si>
    <t>[Graham, Felicity S.] Univ Tasmania, Inst Marine &amp; Antarctic Studies, Private Bag 129, Hobart, Tas 7001, Australia; [Morlighem, Mathieu] Univ Calif Irvine, Dept Earth Syst Sci, Irvine, CA USA; [Warner, Roland C.; Treverrow, Adam] Univ Tasmania, Antarctic Climate &amp; Ecosyst Cooperat Res Ctr, Private Bag 80, Hobart, Tas 7001, Australia</t>
  </si>
  <si>
    <t>University of Tasmania; University of California System; University of California Irvine; University of Tasmania; Antarctic Climate &amp; Ecosystems Cooperative Research Centre (ACE CRC)</t>
  </si>
  <si>
    <t>Graham, FS (corresponding author), Univ Tasmania, Inst Marine &amp; Antarctic Studies, Private Bag 129, Hobart, Tas 7001, Australia.</t>
  </si>
  <si>
    <t>felicity.graham@utas.edu.au</t>
  </si>
  <si>
    <t>Warner, Roland Charles/ISS-2485-2023; Morlighem, Mathieu/O-9942-2014; Warner, Robert R./M-5342-2013; Treverrow, Adam/J-7450-2014; McCormack, Felicity/B-9218-2015</t>
  </si>
  <si>
    <t>Warner, Roland Charles/0000-0002-9778-3544; Morlighem, Mathieu/0000-0001-5219-1310; Treverrow, Adam/0000-0003-4666-0488; McCormack, Felicity/0000-0002-2324-2120</t>
  </si>
  <si>
    <t>Australian Research Council's Special Research Initiative for Antarctic Gateway Partnership [SR140300001]; Australian Government's Cooperative Research Centres Programme through the Antarctic Climate and Ecosystems Cooperative Research Centre (ACE CRC); University of Tasmania; Australian Government</t>
  </si>
  <si>
    <t>Australian Research Council's Special Research Initiative for Antarctic Gateway Partnership(Australian Research Council); Australian Government's Cooperative Research Centres Programme through the Antarctic Climate and Ecosystems Cooperative Research Centre (ACE CRC)(Australian GovernmentDepartment of Industry, Innovation and ScienceCooperative Research Centres (CRC) Programme); University of Tasmania; Australian Government(Australian Government)</t>
  </si>
  <si>
    <t>The authors thank the editor, Oliver Gagliardini, and each of the three reviewers for their comments that resulted in an improved manuscript. This work was supported under the Australian Research Council's Special Research Initiative for Antarctic Gateway Partnership (Project ID SR140300001), and the Australian Government's Cooperative Research Centres Programme through the Antarctic Climate and Ecosystems Cooperative Research Centre (ACE CRC). The University of Tasmania supported the visit of Mathieu Morlighem to Hobart. This research was undertaken with the assistance of resources from the National Computational Infrastructure (NCI), which is supported by the Australian Government.</t>
  </si>
  <si>
    <t>MAR 23</t>
  </si>
  <si>
    <t>10.5194/tc-12-1047-2018</t>
  </si>
  <si>
    <t>GM3BJ</t>
  </si>
  <si>
    <t>WOS:000437971400001</t>
  </si>
  <si>
    <t>Calizza, E; Careddu, G; Sporta Caputi, S; Rossi, L; Costantini, ML</t>
  </si>
  <si>
    <t>Calizza, Edoardo; Careddu, Giulio; Sporta Caputi, Simona; Rossi, Loreto; Costantini, Maria Letizia</t>
  </si>
  <si>
    <t>Time- and depth-wise trophic niche shifts in Antarctic benthos</t>
  </si>
  <si>
    <t>TERRA-NOVA BAY; FOOD-WEB STRUCTURE; ROSS SEA; ORGANIC-MATTER; CLIMATE-CHANGE; ADAMUSSIUM-COLBECKI; BODY-SIZE; COMMUNITIES; COMPETITION; DIVERSITY</t>
  </si>
  <si>
    <t>Climate change is expected to affect resource-consumer interactions underlying stability in polar food webs. Polar benthic organisms have adapted to the marked seasonality characterising their habitats by concentrating foraging and reproductive activity in summer months, when inputs from sympagic and pelagic producers increase. While this enables the persistence of biodiverse food webs, the mechanisms underlying changes in resource use and nutrient transfer are poorly understood. Thus, our understanding of how temporal and spatial variations in the supply of resources may affect food web structure and functioning is limited. By means of C and N isotopic analyses of two key Antarctic benthic consumers (Adamussium colbecki, Bivalvia, and Sterechinus neumayeri, Echinoidea) and Bayesian mixing models, we describe changes in trophic niche and nutrient transfer across trophic levels associated with the long-and short-term diet and body size of specimens sampled in midsummer in both shallow and deep waters. Samplings occurred soon after the sea-ice broke up at Tethys Bay, an area characterised by extreme seasonality in sea-ice coverage and productivity in the Ross Sea. In the long term, the trophic niche was broader and variation between specimens was greater, with intermediate-size specimens generally consuming a higher number of resources than small and large specimens. The coupling of energy channels in the food web was consequently more direct than in the short term. Sediment and benthic algae were more frequently consumed in the long term, before the sea-ice broke up, while consumers specialised on sympagic algae and plankton in the short term. Regardless of the time scale, sympagic algae were more frequently consumed in shallow waters, while plankton was more frequently consumed in deep waters. Our results suggest a strong temporal relationship between resource availability and the trophic niche of benthic consumers in Antarctica. Potential climate-driven changes in the timing and quality of nutrient inputs may have profound implications for the structure of polar food webs and the persistence of their constituent species, which have adapted their trophic niches to a highly predictable schedule of resource inputs.</t>
  </si>
  <si>
    <t>[Calizza, Edoardo; Careddu, Giulio; Sporta Caputi, Simona; Rossi, Loreto; Costantini, Maria Letizia] Sapienza Univ Rome, Dept Environm Biol, Rome, Italy; [Calizza, Edoardo; Rossi, Loreto; Costantini, Maria Letizia] Consorzio Nazl Interuniv Sci Mare, CoNISMa, Rome, Italy</t>
  </si>
  <si>
    <t>Sapienza University Rome; CoNISMa</t>
  </si>
  <si>
    <t>Rossi, L (corresponding author), Sapienza Univ Rome, Dept Environm Biol, Rome, Italy.;Rossi, L (corresponding author), Consorzio Nazl Interuniv Sci Mare, CoNISMa, Rome, Italy.</t>
  </si>
  <si>
    <t>loreto.rossi@uniroma1.it</t>
  </si>
  <si>
    <t>Sporta Caputi, Simona/AAL-1803-2021</t>
  </si>
  <si>
    <t>Sporta Caputi, Simona/0000-0003-2878-6175; Careddu, Giulio/0000-0002-7553-9161</t>
  </si>
  <si>
    <t>Programa Nazionale di Ricerche in Antartide [PNRA 2010/AZ1.07, PNRA 2013/AZ1.15]; Sapienza University of Rome - ATENEO</t>
  </si>
  <si>
    <t>Programa Nazionale di Ricerche in Antartide; Sapienza University of Rome - ATENEO</t>
  </si>
  <si>
    <t>This work was supported by the Programa Nazionale di Ricerche in Antartide: PNRA 2010/AZ1.07 and PNRA 2013/AZ1.15 to LR and Sapienza University of Rome - ATENEO to MLC. The funders had no role in study design, data collection and analysis, decision to publish, or preparation of the manuscript.</t>
  </si>
  <si>
    <t>e0194796</t>
  </si>
  <si>
    <t>10.1371/journal.pone.0194796</t>
  </si>
  <si>
    <t>GA2QK</t>
  </si>
  <si>
    <t>WOS:000428168400032</t>
  </si>
  <si>
    <t>Matear, RJ; Lenton, A</t>
  </si>
  <si>
    <t>Matear, Richard J.; Lenton, Andrew</t>
  </si>
  <si>
    <t>Carbon-climate feedbacks accelerate ocean acidification</t>
  </si>
  <si>
    <t>MODEL; IMPACT; CO2; PROJECTIONS; ARAGONITE; ATMOSPHERE; NITROGEN; OXYGEN</t>
  </si>
  <si>
    <t>Carbon-climate feedbacks have the potential to significantly impact the future climate by altering atmospheric CO2 concentrations (Zaehle et al., 2010). By modifying the future atmospheric CO2 concentrations, the carbon-climate feedbacks will also influence the future ocean acidification trajectory. Here, we use the CO2 emissions scenarios from four representative concentration pathways (RCPs) with an Earth system model to project the future trajectories of ocean acidification with the inclusion of carbon-climate feedbacks. We show that simulated carbon-climate feedbacks can significantly impact the onset of undersaturated aragonite conditions in the Southern and Arctic oceans, the suitable habitat for tropical coral and the deepwater saturation states. Under the high-emissions scenarios (RCP8.5 and RCP6), the carbon-climate feedbacks advance the onset of surface water under saturation and the decline in suitable coral reef habitat by a decade or more. The impacts of the carbon-climate feedbacks are most significant for the medium-(RCP4.5) and low-emissions (RCP2.6) scenarios. For the RCP4.5 scenario, by 2100 the carbon-climate feedbacks nearly double the area of surface water undersaturated with respect to aragonite and reduce by 50% the surface water suitable for coral reefs. For the RCP2.6 scenario, by 2100 the carbon-climate feedbacks reduce the area suitable for coral reefs by 40% and increase the area of undersaturated surface water by 20 %. The sensitivity of ocean acidification to the carbon-climate feedbacks in the low to medium emission scenarios is important because recent CO2 emission reduction commitments are trying to transition emissions to such a scenario. Our study highlights the need to better characterise the carbon-climate feedbacks and ensure we do not underestimate the projected ocean acidification.</t>
  </si>
  <si>
    <t>[Matear, Richard J.; Lenton, Andrew] CSIRO Oceans &amp; Atmosphere, Hobart, Tas, Australia; [Lenton, Andrew] Antarctic Climate &amp; Ecosyst CRC, Hobart, Tas, Australia</t>
  </si>
  <si>
    <t>Commonwealth Scientific &amp; Industrial Research Organisation (CSIRO); University of Tasmania</t>
  </si>
  <si>
    <t>Matear, RJ (corresponding author), CSIRO Oceans &amp; Atmosphere, Hobart, Tas, Australia.</t>
  </si>
  <si>
    <t>richard.matear@csiro.au</t>
  </si>
  <si>
    <t>Lenton, Andrew/D-2077-2012; matear, richard/C-5133-2011</t>
  </si>
  <si>
    <t>Lenton, Andrew/0000-0001-9437-8896; matear, richard/0000-0002-3225-0800</t>
  </si>
  <si>
    <t>CSIRO Ocean and Atmosphere; CSIRO Decadal Climate Forecasting Project</t>
  </si>
  <si>
    <t>Richard J. Matear and Andrew Lenton would like to acknowledge the financial support of CSIRO Ocean and Atmosphere and the CSIRO Decadal Climate Forecasting Project.</t>
  </si>
  <si>
    <t>MAR 22</t>
  </si>
  <si>
    <t>10.5194/bg-15-1721-2018</t>
  </si>
  <si>
    <t>GA5RP</t>
  </si>
  <si>
    <t>WOS:000428391600002</t>
  </si>
  <si>
    <t>Krsinic, F</t>
  </si>
  <si>
    <t>Krsinic, Frano</t>
  </si>
  <si>
    <t>Fauna of tintinnids (Tintinnida, Ciliata) during an Arctic-Antarctic cruise, with the S/V Croatian Tern</t>
  </si>
  <si>
    <t>Arctic; Antarctic; Tropical Pacific; zooplankton; tintinnids; distribution</t>
  </si>
  <si>
    <t>VERTICAL-DISTRIBUTION; COMMUNITY STRUCTURE; SEA; MICROZOOPLANKTON; PROTOZOA; SCOTIA; IDENTIFICATION; BIOGEOGRAPHY; CYMATOCYLIS; CILIOPHORA</t>
  </si>
  <si>
    <t>An investigation of large tintinnids was carried out during the Arctic-Antarctic cruise aboard the S/V Croatian Tern in the period from 1994 to 1997. Samples were collected at 33 stations by vertical tows with a Nansen net with a 53 tm mesh size in the Mediterranean Sea, North Atlantic, Labrador Sea, Baffin Bay, the Beaufort, Chukchi and Bering Seas, East North Pacific, South Pacific, South East Pacific, Scotia Sea, and South West Atlantic. A total of 47 species of tintinnids were found, with the greatest diversity in the Tropical areas of the Pacific, Arctic and Subarctic. A very high total abundance was registered in the Bering Sea of 247,393 ind.m(-3) and in the South-eastern Pacific of 66,211 ind.m(-3). The dominant species in the northern areas was Ptychocylis obtusa and in the southern areas Eutintinnus rugosus.</t>
  </si>
  <si>
    <t>[Krsinic, Frano] Inst Oceanog &amp; Fisheries, Setaliste 1 Mestrovica 63, Split 21000, Croatia</t>
  </si>
  <si>
    <t>Croatian Institute of Oceanography &amp; Fisheries (IZOR)</t>
  </si>
  <si>
    <t>Krsinic, F (corresponding author), Inst Oceanog &amp; Fisheries, Setaliste 1 Mestrovica 63, Split 21000, Croatia.</t>
  </si>
  <si>
    <t>fkrsinic@izor.hr</t>
  </si>
  <si>
    <t>10.11646/zootaxa.4399.3.1</t>
  </si>
  <si>
    <t>GA0UA</t>
  </si>
  <si>
    <t>WOS:000428028600001</t>
  </si>
  <si>
    <t>Obryk, MK; Fountain, AG; Doran, PT; Lyons, WB; Eastman, R</t>
  </si>
  <si>
    <t>Obryk, M. K.; Fountain, A. G.; Doran, P. T.; Lyons, W. B.; Eastman, R.</t>
  </si>
  <si>
    <t>Drivers of solar radiation variability in the McMurdo Dry Valleys, Antarctica</t>
  </si>
  <si>
    <t>SULFUR-DIOXIDE EMISSIONS; AEROSOL OPTICAL DEPTHS; SEA-ICE; OCEANIC PHYTOPLANKTON; ATMOSPHERIC SULFUR; CLOUD; IMPACT; SULFATE; TRENDS; CYCLE</t>
  </si>
  <si>
    <t>Annually averaged solar radiation in the McMurdo Dry Valleys, Antarctica has varied by over 20W m(-2) during the past three decades; however, the drivers of this variability are unknown. Because small differences in radiation are important to water availability and ecosystem functioning in polar deserts, determining the causes are important to predictions of future desert processes. We examine the potential drivers of solar variability and systematically eliminate all but stratospheric sulfur dioxide. We argue that increases in stratospheric sulfur dioxide increase stratospheric aerosol optical depth and decrease solar intensity. Because of the polar location of the McMurdo Dry Valleys (77-78 degrees S) and relatively long solar ray path through the stratosphere, terrestrial solar intensity is sensitive to small differences in stratospheric transmissivity. Important sources of sulfur dioxide include natural (wildfires and volcanic eruptions) and anthropogenic emission.</t>
  </si>
  <si>
    <t>[Obryk, M. K.] US Geol Survey, Cascades Volcano Observ, Vancouver, WA 98683 USA; [Fountain, A. G.] Portland State Univ, Dept Geol, Portland, OR 97201 USA; [Doran, P. T.] Louisiana State Univ, Dept Geol &amp; Geophys, Baton Rouge, LA 70803 USA; [Lyons, W. B.] Ohio State Univ, Byrd Polar Res Ctr, Columbus, OH 43210 USA; [Eastman, R.] Univ Washington, Dept Atmospher Sci, Seattle, WA 98195 USA</t>
  </si>
  <si>
    <t>United States Department of the Interior; United States Geological Survey; Portland State University; Louisiana State University System; Louisiana State University; University System of Ohio; Ohio State University; University of Washington; University of Washington Seattle</t>
  </si>
  <si>
    <t>Obryk, MK (corresponding author), US Geol Survey, Cascades Volcano Observ, Vancouver, WA 98683 USA.</t>
  </si>
  <si>
    <t>mobryk@usgs.gov</t>
  </si>
  <si>
    <t>Office of Polar Programs (NSF) [1246342, 1637708, 1115245]; NSF; Directorate For Geosciences; Office of Polar Programs (OPP) [1246342, 1637708, 1115245] Funding Source: National Science Foundation</t>
  </si>
  <si>
    <t>Office of Polar Programs (NSF); NSF(National Science Foundation (NSF)); Directorate For Geosciences; Office of Polar Programs (OPP)(National Science Foundation (NSF)NSF - Directorate for Geosciences (GEO))</t>
  </si>
  <si>
    <t>This research was supported by the Office of Polar Programs (NSF grants 1246342, 1637708, and 1115245). Logistical support was provided by the US Antarctic Program through funding from NSF. We thank the MCM-LTER project personnel for collecting and processing meteorological data. Global volcanic data were compiled and provided by Sarah Ogburn at the U.S. Geological Survey. We would also like to thank all reviewers whose extellent comments improved this work. Any use of trade, firm, or product names is for descriptive purposes only and does not imply endorsement by the U.S. Government.</t>
  </si>
  <si>
    <t>10.1038/s41598-018-23390-7</t>
  </si>
  <si>
    <t>GA0US</t>
  </si>
  <si>
    <t>WOS:000428030500004</t>
  </si>
  <si>
    <t>Black, C; Southwell, C; Emmerson, L; Lunn, D; Hart, T</t>
  </si>
  <si>
    <t>Black, Caitlin; Southwell, Colin; Emmerson, Louise; Lunn, Daniel; Hart, Tom</t>
  </si>
  <si>
    <t>Time-lapse imagery of Adelie penguins reveals differential winter strategies and breeding site occupation</t>
  </si>
  <si>
    <t>PYGOSCELIS-ADELIAE; SATELLITE TRACKING; BECHERVAISE ISLAND; SOUTHERN-OCEAN; CLIMATE-CHANGE; ANTARCTICA; DISPERSAL; MIGRATION; VARIABILITY; POPULATIONS</t>
  </si>
  <si>
    <t>Polar seabirds adopt different over-wintering strategies to survive and build condition during the critical winter period. Penguin species either reside at the colony during the winter months or migrate long distances. Tracking studies and survey methods have revealed differences in winter migration routes among penguin species and colonies, dependent on both biotic and abiotic factors present. However, scan sampling methods are rarely used to reveal non-breeding behaviors during winter and little is known about presence at the colony site over this period. Here we show that Adelie penguins on the Yalour Islands in the Western Antarctic Peninsula (WAP) are present year-round at the colony and undergo a mid-winter peak in abundance during winter. We found a negative relationship between daylight hours and penguin abundance when either open water or compact ice conditions were present, suggesting that penguins return to the breeding colony when visibility is lowest for at sea foraging and when either extreme low or high levels of sea ice exist offshore. In contrast, Adelie penguins breeding in East Antarctica were not observed at the colonies during winter, suggesting that Adelie penguins undergo differential winter strategies in the marginal ice zone on the WAP compared to those in East Antarctica. These results demonstrate that cameras can successfully monitor wildlife year-round in areas that are largely inaccessible during winter.</t>
  </si>
  <si>
    <t>[Black, Caitlin; Hart, Tom] Univ Oxford, Dept Zool, Oxford, England; [Southwell, Colin; Emmerson, Louise] Australian Antarctic Div, Dept Environm, Kingston, Tas, Australia; [Lunn, Daniel] Univ Oxford, Dept Stat, Oxford, England</t>
  </si>
  <si>
    <t>University of Oxford; Australian Antarctic Division; University of Oxford</t>
  </si>
  <si>
    <t>Black, C (corresponding author), Univ Oxford, Dept Zool, Oxford, England.</t>
  </si>
  <si>
    <t>cb963@cam.ac.uk</t>
  </si>
  <si>
    <t>Black, Caitlin/0000-0001-9591-3571</t>
  </si>
  <si>
    <t>Darwin Initiative Challenge Fund; Darwin Plus grant; Australian Antarctic Division through AAS projects [2722, 4086, 4088]</t>
  </si>
  <si>
    <t>Darwin Initiative Challenge Fund; Darwin Plus grant; Australian Antarctic Division through AAS projects</t>
  </si>
  <si>
    <t>The Yalours component of the study was supported by a Darwin Initiative Challenge Fund and a Darwin Plus grant. The east Antarctic component was funded by the Australian Antarctic Division through AAS projects 2722, 4086 and 4088 and was a co-investment to the Integrated Marine Observation System. The funders had no role in study design, data collection and analysis, decision to publish, or preparation of the manuscript.; We gratefully acknowledge the support of Quark Expeditions Ltd, Exodus Travel, Skip Novak, Yusuf Aytar, Andrew Zisserman, Gemma Clucas, Philip McDowall, Kym Newbery and numerous expeditioners in the Australian Antarctic Program.; The Yalours component of the study was supported by a Darwin Initiative Challenge Fund and a Darwin Plus grant. The east Antarctic component was funded by the Australian Antarctic Division through AAS projects 2722, 4086 and 4088 and was a co-investment to the Integrated Marine Observation System. Fieldwork was carried out under permits from the UK Foreign and Commonwealth Office and Australia's Antarctic Treaty (Environmental Protection) Act 1980.</t>
  </si>
  <si>
    <t>MAR 21</t>
  </si>
  <si>
    <t>e0193532</t>
  </si>
  <si>
    <t>10.1371/journal.pone.0193532</t>
  </si>
  <si>
    <t>FZ9LE</t>
  </si>
  <si>
    <t>WOS:000427931600021</t>
  </si>
  <si>
    <t>Yang, QJ; Hu, ZJ</t>
  </si>
  <si>
    <t>Yang, Qiuju; Hu, Ze-Jun</t>
  </si>
  <si>
    <t>A comparative study of auroral morphology distribution between the Northern and Southern Hemisphere based on automatic classification</t>
  </si>
  <si>
    <t>GEOSCIENTIFIC INSTRUMENTATION METHODS AND DATA SYSTEMS</t>
  </si>
  <si>
    <t>DAYSIDE; OVAL; IMAGES</t>
  </si>
  <si>
    <t>Aurora is a very important geophysical phenomenon in the high latitudes of Arctic and Antarctic regions, and it is important to make a comparative study of the auroral morphology between the two hemispheres. Based on the morphological characteristics of the four labeled dayside discrete auroral types (auroral arc, drapery corona, radial corona and hot-spot aurora) on the 8001 dayside auroral images at the Chinese Arctic Yellow River Station in 2003, and by extracting the local binary pattern (LBP) features and using a k-nearest classifier, this paper performs an automatic classification of the 65 361 auroral images of the Chinese Arctic Yellow River Station during 2004-2009 and the 39 335 auroral images of the South Pole Station between 2003 and 2005. Finally, it obtains the occurrence distribution of the dayside auroral morphology in the Northern and Southern Hemisphere. The statistical results indicate that the four dayside discrete auroral types present a similar occurrence distribution between the two stations. To the best of our knowledge, we are the first to report statistical comparative results of dayside auroral morphology distribution between the Northern and Southern Hemisphere.</t>
  </si>
  <si>
    <t>[Yang, Qiuju] Shaanxi Normal Univ, Sch Phys &amp; Informat Technol, Xian 710119, Shaanxi, Peoples R China; [Hu, Ze-Jun] Polar Res Inst China, SOA Key Lab Polar Sci, Shanghai 200136, Peoples R China</t>
  </si>
  <si>
    <t>Shaanxi Normal University; Polar Research Institute of China</t>
  </si>
  <si>
    <t>Hu, ZJ (corresponding author), Polar Res Inst China, SOA Key Lab Polar Sci, Shanghai 200136, Peoples R China.</t>
  </si>
  <si>
    <t>huzejun@pric.org.cn</t>
  </si>
  <si>
    <t>Hu, Ze-Jun/X-8090-2019</t>
  </si>
  <si>
    <t>Hu, Ze-Jun/0000-0003-2448-2094</t>
  </si>
  <si>
    <t>National Natural Science Foundation of China [41504122, 41274164, 41431072, 41374159]; Top-Notch Young Talents Program of China; Shaanxi Province youth talent fund [2016JQ4001]; Young Talent Fund of University Association for Science and Technology in Shaanxi, China [20160211]; Polar Environment Comprehensive Investigation and Assessment Programs [CHINARE2017-02-03, CHINARE2017-04-01]; Strategic Priority Research Program on Space Science; Chinese Academy of Sciences [XDA15350202, XDA15052400]</t>
  </si>
  <si>
    <t>National Natural Science Foundation of China(National Natural Science Foundation of China (NSFC)); Top-Notch Young Talents Program of China; Shaanxi Province youth talent fund; Young Talent Fund of University Association for Science and Technology in Shaanxi, China; Polar Environment Comprehensive Investigation and Assessment Programs; Strategic Priority Research Program on Space Science; Chinese Academy of Sciences(Chinese Academy of Sciences)</t>
  </si>
  <si>
    <t>We acknowledge Yusuke Ebihara at Kyoto University for providing the ASC auroral observation data of the South Pole Station (http://www.southpole-aurora.org/). This work was supported by the National Natural Science Foundation of China (41504122, 41274164, 41431072, 41374159), the Top-Notch Young Talents Program of China, Shaanxi Province youth talent fund (2016JQ4001), Young Talent Fund of University Association for Science and Technology in Shaanxi, China (20160211), the Polar Environment Comprehensive Investigation and Assessment Programs (CHINARE2017-02-03, CHINARE2017-04-01), the Strategic Priority Research Program on Space Science, and the Chinese Academy of Sciences (XDA15350202, XDA15052400).</t>
  </si>
  <si>
    <t>2193-0856</t>
  </si>
  <si>
    <t>2193-0864</t>
  </si>
  <si>
    <t>GEOSCI INSTRUM METH</t>
  </si>
  <si>
    <t>Geosci. Instrum. Methods Data Syst.</t>
  </si>
  <si>
    <t>MAR 20</t>
  </si>
  <si>
    <t>10.5194/gi-7-113-2018</t>
  </si>
  <si>
    <t>GA0EW</t>
  </si>
  <si>
    <t>WOS:000427986900001</t>
  </si>
  <si>
    <t>Sequeira, AMM; Rodríguez, JP; Eguíluz, VM; Harcourt, R; Hindell, M; Sims, DW; Duarte, CM; Costa, DP; Fernández-Gracia, J; Ferreira, LC; Hays, GC; Heupel, MR; Meekan, MG; Avenn, A; Bailleul, F; Baylis, AMM; Berumen, ML; Braun, CD; Burns, J; Caley, MJ; Campbell, R; Carmichael, RH; Clua, E; Einoder, LD; Friedlaender, A; Goebel, ME; Goldsworthy, SD; Guinet, C; Gunn, J; Hamer, D; Hammerschlag, N; Hammill, M; Hückstädt, LA; Humphries, NE; Lea, MA; Lowther, A; Mackay, A; McHuron, E; McKenzie, J; McLeay, L; McMahond, CR; Mengersenv, K; Muelbert, MMC; Pagano, AM; Page, B; Queiroz, N; Robinson, PW; Shaffer, SA; Shivji, M; Skomal, GB; Thorrold, SR; Villegas-Amtmann, S; Weise, M; Wells, R; Wetherbee, B; Wiebkin, A; Wienecke, B; Thums, M</t>
  </si>
  <si>
    <t>Sequeira, A. M. M.; Rodriguez, J. P.; Eguiluz, V. M.; Harcourt, R.; Hindell, M.; Sims, D. W.; Duarte, C. M.; Costa, D. P.; Fernandez-Gracia, J.; Ferreira, L. C.; Hays, G. C.; Heupel, M. R.; Meekan, M. G.; Avenn, A.; Bailleul, F.; Baylis, A. M. M.; Berumen, M. L.; Braun, C. D.; Burns, J.; Caley, M. J.; Campbell, R.; Carmichael, R. H.; Clua, E.; Einoder, L. D.; Friedlaender, Ari; Goebel, M. E.; Goldsworthy, S. D.; Guinet, C.; Gunn, J.; Hamer, D.; Hammerschlag, N.; Hammill, M.; Huckstadt, L. A.; Humphries, N. E.; Lea, M. -A.; Lowther, A.; Mackay, A.; McHuron, E.; McKenzie, J.; McLeay, L.; McMahond, C. R.; Mengersenv, K.; Muelbert, M. M. C.; Pagano, A. M.; Page, B.; Queiroz, N.; Robinson, P. W.; Shaffer, S. A.; Shivji, M.; Skomal, G. B.; Thorrold, S. R.; Villegas-Amtmann, S.; Weise, M.; Wells, R.; Wetherbee, B.; Wiebkin, A.; Wienecke, B.; Thums, M.</t>
  </si>
  <si>
    <t>Convergence of marine megafauna movement patterns in coastal and open oceans</t>
  </si>
  <si>
    <t>global satellite tracking; probability density function; root-mean-square; turning angles; displacements</t>
  </si>
  <si>
    <t>ANIMAL MOVEMENT; BODY-MASS; PREDATOR; STRATEGIES; TRACKING; IMPACT; BIRDS; GUIDE; COST; LEVY</t>
  </si>
  <si>
    <t>The extent of increasing anthropogenic impacts on large marine vertebrates partly depends on the animals' movement patterns. Effective conservation requires identification of the key drivers of movement including intrinsic properties and extrinsic constraints associated with the dynamic nature of the environments the animals inhabit. However, the relative importance of intrinsic versus extrinsic factors remains elusive. We analyze a global dataset of similar to 2.8 million locations from &gt;2,600 tracked individuals across 50 marine vertebrates evolutionarily separated by millions of years and using different locomotion modes (fly, swim, walk/paddle). Strikingly, movement patterns show a remarkable convergence, being strongly conserved across species and independent of body length and mass, despite these traits ranging over 10 orders of magnitude among the species studied. This represents a fundamental difference between marine and terrestrial vertebrates not previously identified, likely linked to the reduced costs of locomotion in water. Movement patterns were primarily explained by the interaction between species-specific traits and the habitat(s) they move through, resulting in complex movement patterns when moving close to coasts compared with more predictable patterns when moving in open oceans. This distinct difference may be associated with greater complexity within coastal microhabitats, highlighting a critical role of preferred habitat in shaping marine vertebrate global movements. Efforts to develop understanding of the characteristics of vertebrate movement should consider the habitat(s) through which they move to identify how movement patterns will alter with forecasted severe ocean changes, such as reduced Arctic sea ice cover, sea level rise, and declining oxygen content.</t>
  </si>
  <si>
    <t>[Sequeira, A. M. M.; Duarte, C. M.] Univ Western Australia, UWA Oceans Inst, Indian Ocean Marine Res Ctr, Crawley, WA 6009, Australia; [Sequeira, A. M. M.] Univ Western Australia, Sch Biol Sci, Crawley, WA 6009, Australia; [Rodriguez, J. P.; Eguiluz, V. M.; Fernandez-Gracia, J.] Univ Balearic Isl, CSIC, Inst Fis Interdisciplinar &amp; Sistemas Complejo, E-07122 Palma De Mallorca, Spain; [Harcourt, R.; McMahond, C. R.] Macquarie Univ, Dept Biol Sci, Sydney, NSW 2109, Australia; [Hindell, M.; Lea, M. -A.; McMahond, C. R.; Muelbert, M. M. C.] Univ Tasmania, Inst Marine &amp; Antarctic Studies, Ecol &amp; Biodivers Ctr, Hobart, Tas 7004, Australia; [Sims, D. W.; Humphries, N. E.; Queiroz, N.] Marine Biol Assoc UK, Citadel Hill, Plymouth PL1 2PB, Devon, England; [Sims, D. W.] Univ Southampton, Natl Oceanog Ctr Southampton, Ocean &amp; Earth Sci, Southampton SO14 3ZH, Hants, England; [Sims, D. W.] Univ Southampton, Ctr Biol Sci, Southampton SO17 1BJ, Hants, England; [Duarte, C. M.; Berumen, M. L.] King Abdullah Univ Sci &amp; Technol, Red Sea Res Ctr, Thuwal 239556900, Saudi Arabia; [Costa, D. P.; Friedlaender, Ari; Huckstadt, L. A.; McHuron, E.; Robinson, P. W.; Villegas-Amtmann, S.] Univ Calif Santa Cruz, Dept Ecol &amp; Evolutionary Biol, Santa Cruz, CA 95060 USA; [Ferreira, L. C.; Meekan, M. G.; Thums, M.] Univ Western Australia, Australian Inst Marine Sci, Indian Ocean Marine Res Ctr M096, Crawley, WA 6009, Australia; [Hays, G. C.] Deakin Univ, Sch Life &amp; Environm Sci, Warrnambool, Vic 3280, Australia; [Heupel, M. R.; Gunn, J.] Australian Inst Marine Sci, Townsville, Qld 4810, Australia; [Avenn, A.; Carmichael, R. H.] Univ Programs, Dauphin Isl Sea Lab, Dauphin Isl, AL 36528 USA; [Avenn, A.; Carmichael, R. H.] Univ S Alabama, Dept Marine Sci, Mobile, AL 36688 USA; [Bailleul, F.; Einoder, L. D.; Hamer, D.; Lowther, A.; Mackay, A.; McKenzie, J.; McLeay, L.; Page, B.; Wiebkin, A.] South Australian Res &amp; Dev Inst, West Beach, SA 5024, Australia; [Baylis, A. M. M.] South Atlantic Environm Res Inst, Stanley FIQQ 1ZZ, Falkland Island; [Baylis, A. M. M.] Falklands Conservat, Stanley FIQQ 1ZZ, Falkland Island; [Braun, C. D.] MIT, Joint Program Oceanog Appl Ocean Sci &amp; Engn, Woods Hole Oceanog Inst, 77 Massachusetts Ave, Cambridge, MA 02139 USA; [Braun, C. D.; Thorrold, S. R.] Woods Hole Oceanog Inst, Dept Biol, Woods Hole, MA 02543 USA; [Burns, J.] Univ Alaska Anchorage, Dept Biol Sci, Anchorage, AK 99508 USA; [Caley, M. J.; Mengersenv, K.] Queensland Univ Technol, Sch Math Sci, Brisbane, Qld 4000, Australia; [Caley, M. J.; Mengersenv, K.] Queensland Univ Technol, Australian Res Council Ctr Excellence Math &amp; Sta, Brisbane, Qld 4000, Australia; [Campbell, R.] Dept Parks &amp; Wildlife, Marine Sci Div, Kensington, WA 6151, Australia; [Clua, E.] Ecole Prat Hautes Etud, Ctr Rech Insulaire &amp; Observ Environnem 3278, Paris Sci Lettre, Lab Excellence CORAIL, F-66860 Perpignan, France; [Einoder, L. D.] Charles Darwin Univ, Res Inst Environm &amp; Livelihoods, Casuarina, NT 0810, Australia; [Goebel, M. E.] NOAA, Natl Marine Fisheries Serv, Southwest Fisheries Sci Ctr, Antarctic Ecosyst Res Div, La Jolla, CA 92037 USA; [Guinet, C.] Univ La Rochelle, UMR CNRS 7372, Ctr Etudes Biol Chize, F-79360 Villiers En Bois, France; [Hamer, D.] Depredat &amp; By Catch Mitigat Solut DBMS Global Oce, Hobart, Tas 7001, Australia; [Hammerschlag, N.] Univ Miami, Abess Ctr Ecosyst Sci &amp; Policy, Rosenstiel Sch Marine &amp; Atmospher Sci, Miami, FL 33149 USA; [Hammill, M.] Maurice Lamontagne Inst, Dept Fisheries &amp; Oceans, Mont Joli, PQ G5H 3Z4, Canada; [Lea, M. -A.] Natl Ocean &amp; Atmospher Adm Fisheries, Alaska Fisheries Sci Ctr, Natl Marine Mammal Lab, Alaska Ecosyst Program, Seattle, WA 98115 USA; [Lowther, A.] Norwegian Polar Res Inst, Biodivers Sect, Res Dept, N-9296 Tromso, Norway; [McKenzie, J.] Sci Grp, Dept Environm Water &amp; Nat Resources, Adelaide, SA 5001, Australia; [McMahond, C. R.] Sydney Inst Marine Sci, Mosman, NSW 2088, Australia; [Muelbert, M. M. C.] Univ Fed Rio Grande, Inst Oceanog, BR-96203900 Rio Grande, RS, Brazil; [Pagano, A. M.] US Geol Survey, Alaska Sci Ctr, Anchorage, AK 99508 USA; [Wiebkin, A.] Primary Ind &amp; Regions South Australia, Biosecur South Australia, Adelaide, SA 5001, Australia; [Queiroz, N.] Univ Porto, Associate Lab, Res Ctr Biodivers &amp; Genet Resources, P-4485668 Vairao, Portugal; [Shaffer, S. A.] San Jose State Univ, Dept Biol Sci, San Jose, CA 95192 USA; [Shivji, M.] Nova Southeastern Univ, Guy Harvey Res Inst, Halmos Coll Nat Sci Oceanog, Dania, FL 33004 USA; [Skomal, G. B.] Massachusetts Div Marine Fisheries, Shark Res Program, New Bedford, MA 02740 USA; [Weise, M.] Off Naval Res, Marine Mammal Program, Arlington, VA 22203 USA; [Wells, R.] Mote Marine Lab, Chicago Zool Soc, Sarasota Dolphin Res Program, Sarasota, FL 34236 USA; [Wetherbee, B.; Wienecke, B.] Dept Environm &amp; Energy, Australian Antarctic Div, Kingston, Tas 7052, Australia</t>
  </si>
  <si>
    <t>University of Western Australia; University of Western Australia; Consejo Superior de Investigaciones Cientificas (CSIC); Universitat de les Illes Balears; CSIC-UIB - Instituto de Fisica Interdisciplinar y Sistemas Complejos (IFISC); Macquarie University; University of Tasmania; Marine Biological Association United Kingdom; NERC National Oceanography Centre; University of Southampton; University of Southampton; King Abdullah University of Science &amp; Technology; University of California System; University of California Santa Cruz; Australian Institute of Marine Science; University of Western Australia; Deakin University; Australian Institute of Marine Science; Dauphin Island Sea Lab; University of South Alabama; South Australian Research &amp; Development Institute (SARDI); Massachusetts Institute of Technology (MIT); Woods Hole Oceanographic Institution; Woods Hole Oceanographic Institution; University of Alaska System; University of Alaska Anchorage; Queensland University of Technology (QUT); Queensland University of Technology (QUT); Charles Darwin University; National Oceanic Atmospheric Admin (NOAA) - USA; La Rochelle Universite; University of Miami; Fisheries &amp; Oceans Canada; National Oceanic Atmospheric Admin (NOAA) - USA; Norwegian Polar Institute; Sydney Institute of Marine Science; Universidade Federal do Rio Grande; United States Department of the Interior; United States Geological Survey; Universidade do Porto; California State University System; San Jose State University; Nova Southeastern University; Massachusetts Division of Marine Fisheries; United States Department of Defense; United States Navy; Mote Marine Laboratory &amp; Aquarium; Australian Antarctic Division</t>
  </si>
  <si>
    <t>Sequeira, AMM (corresponding author), Univ Western Australia, UWA Oceans Inst, Indian Ocean Marine Res Ctr, Crawley, WA 6009, Australia.;Sequeira, AMM (corresponding author), Univ Western Australia, Sch Biol Sci, Crawley, WA 6009, Australia.</t>
  </si>
  <si>
    <t>ana.sequeira@uwa.edu.au</t>
  </si>
  <si>
    <t>Duarte Quesada, Carlos Manuel/ABD-6208-2021; Duarte, Carlos M/A-7670-2013; Burns, Jennifer/AAC-8243-2019; Guinet, Christophe/AAR-8457-2020; Humphries, Nick/AAE-7170-2019; Hindell, Mark A/K-1131-2013; Rodriguez, Jorge P./O-8873-2014; Clua, Eric EG/D-7820-2013; Muelbert, Monica/T-3935-2019; Huckstadt, Luis/JNR-7637-2023; Sequeira, Ana M M/AAE-9741-2021; Lowther, Andrew/T-2511-2019; Braun, Camrin D/G-8718-2012; Huckstadt, Luis A./J-8532-2019; Thorrold, Simon R/B-7565-2012; Eguíluz, Víctor M./B-9655-2008; Shaffer, Scott/D-5015-2009; Lea, Mary-Anne/E-9054-2013; Thums, Michele/A-3850-2013; Fernandez-Gracia, Juan/S-4344-2018; Berumen, Michael/F-7745-2011; Queiroz, Nuno/G-3850-2010</t>
  </si>
  <si>
    <t>Duarte, Carlos M/0000-0002-1213-1361; Burns, Jennifer/0000-0001-9652-2943; Humphries, Nick/0000-0003-3741-1594; Rodriguez, Jorge P./0000-0001-6593-5032; Clua, Eric EG/0000-0001-7629-2685; Sequeira, Ana M M/0000-0001-6906-799X; Lowther, Andrew/0000-0003-4294-3157; Huckstadt, Luis A./0000-0002-2453-7350; Eguíluz, Víctor M./0000-0003-1133-1289; Harcourt, Robert/0000-0003-4666-2934; Braun, Camrin/0000-0002-9317-9489; Shaffer, Scott/0000-0002-7751-5059; Goldsworthy, Simon/0000-0003-4988-9085; Heupel, Michelle/0000-0002-8245-7332; Lea, Mary-Anne/0000-0001-8318-9299; Einoder, Luke/0000-0002-9122-7053; Thums, Michele/0000-0002-8669-8440; Fernandez-Gracia, Juan/0000-0001-9728-7666; Meekan, Mark/0000-0002-3067-9427; Berumen, Michael/0000-0003-2463-2742; Queiroz, Nuno/0000-0002-3860-7356; Cerqueira Ferreira, Luciana/0000-0001-6755-2799; Hindell, Mark/0000-0002-7823-7185; Pagano, Anthony/0000-0003-2176-0909</t>
  </si>
  <si>
    <t>University of Western Australia (UWA) Oceans Institute; Australian Institute of Marine Science (AIMS); King Abdullah University of Science and Technology (KAUST); Australian Research Council [DE170100841]; Indian Ocean Ocean Marine Research Centre (UWA) fellowship; Indian Ocean Ocean Marine Research Centre (AIMS) fellowship; Indian Ocean Ocean Marine Research Centre (Commonwealth of Scientific and Industrial Research Organisation) fellowship; Agencia Estatal de Investigacion (AEI, Spain); Fondo Europeo de Desarrollo Regional (FEDER) through project Spatiotemporality in Sociobological Interactions, Models and Methods (SPASIMM) [FIS2016-80067-P]; KAUST; Ministerio de Educacion, Cultura y Deporte (Formacion de Profesorado Universitario Grant, Spain); UK Natural Environment Research Council; Save Our Seas Foundation; Fundacao para a Ciencia e Tecnologia (Portugal); Coordenacao de Aperfeicoamento de pessoal de Nivel Superior fellowship (Ministry of Education); Australian Research Council [DE170100841] Funding Source: Australian Research Council</t>
  </si>
  <si>
    <t>University of Western Australia (UWA) Oceans Institute; Australian Institute of Marine Science (AIMS); King Abdullah University of Science and Technology (KAUST)(King Abdullah University of Science &amp; Technology); Australian Research Council(Australian Research Council); Indian Ocean Ocean Marine Research Centre (UWA) fellowship; Indian Ocean Ocean Marine Research Centre (AIMS) fellowship; Indian Ocean Ocean Marine Research Centre (Commonwealth of Scientific and Industrial Research Organisation) fellowship; Agencia Estatal de Investigacion (AEI, Spain)(Spanish Government); Fondo Europeo de Desarrollo Regional (FEDER) through project Spatiotemporality in Sociobological Interactions, Models and Methods (SPASIMM); KAUST(King Abdullah University of Science &amp; Technology); Ministerio de Educacion, Cultura y Deporte (Formacion de Profesorado Universitario Grant, Spain); UK Natural Environment Research Council(UK Research &amp; Innovation (UKRI)Natural Environment Research Council (NERC)); Save Our Seas Foundation; Fundacao para a Ciencia e Tecnologia (Portugal)(Fundacao para a Ciencia e a Tecnologia (FCT)); Coordenacao de Aperfeicoamento de pessoal de Nivel Superior fellowship (Ministry of Education); Australian Research Council(Australian Research Council)</t>
  </si>
  <si>
    <t>We are thankful to I. Jonsen for initial discussions and all involved with the many aspects of fieldwork and data collection; details are included in SI Appendix, Acknowledgments. Workshop funding was granted by the University of Western Australia (UWA) Oceans Institute, the Australian Institute of Marine Science (AIMS), and King Abdullah University of Science and Technology (KAUST). A.M.M.S. was supported by Australian Research Council Grant DE170100841 and an Indian Ocean Ocean Marine Research Centre (UWA, AIMS, Commonwealth of Scientific and Industrial Research Organisation) fellowship. J.P.R., V.M.E., and J.F.G. were supported by Agencia Estatal de Investigacion (AEI, Spain) and Fondo Europeo de Desarrollo Regional (FEDER) through project Spatiotemporality in Sociobological Interactions, Models and Methods (SPASIMM) (FIS2016-80067-P AEI/FEDER, European Union), and by research funding from KAUST. J.P.R. was supported by Ministerio de Educacion, Cultura y Deporte (Formacion de Profesorado Universitario Grant, Spain). D.W.S. was supported by the UK Natural Environment Research Council and Save Our Seas Foundation. N.Q. was supported by Fundacao para a Ciencia e Tecnologia (Portugal). M.M.C.M. was supported by a Coordenacao de Aperfeicoamento de pessoal de Nivel Superior fellowship (Ministry of Education).</t>
  </si>
  <si>
    <t>10.1073/pnas.1716137115</t>
  </si>
  <si>
    <t>FZ8BF</t>
  </si>
  <si>
    <t>Green Accepted, Green Published, Green Submitted, Bronze</t>
  </si>
  <si>
    <t>WOS:000427829500073</t>
  </si>
  <si>
    <t>Castrisios, K; Martin, A; Müller, MN; Kennedy, F; McMinn, A; Ryan, KG</t>
  </si>
  <si>
    <t>Castrisios, Katerina; Martin, Andrew; Mueller, Marius N.; Kennedy, Fraser; McMinn, Andrew; Ryan, Ken G.</t>
  </si>
  <si>
    <t>Response of Antarctic sea-ice algae to an experimental decrease in pH: a preliminary analysis from chlorophyll fluorescence imaging of melting ice</t>
  </si>
  <si>
    <t>Antarctica; imaging-PAM; photophysiology; carbonate chemistry</t>
  </si>
  <si>
    <t>CARBON-CONCENTRATING MECHANISMS; MCMURDO-SOUND; OCEAN ACIDIFICATION; SPRING GROWTH; TEMPERATURE; PHOTOSYNTHESIS; PHYTOPLANKTON; COMMUNITIES; CO2; SENSITIVITY</t>
  </si>
  <si>
    <t>Microorganisms confined to annual sea ice in the Southern Ocean are exposed to highly variable oxygen and carbonate chemistry dynamics because of the seasonal increase in biomass and limited exchange with the underlying water column. For sea-ice algae, physiological stress is likely to be exacerbated when the ice melts; however, variation in carbonate speciation has rarely been monitored during this important state-transition. Using pulse amplitude modulated fluorometry (Imaging-PAM, Walz), we documented in situ changes in the maximum quantum yield of photosystem II (F-v/F-m) of sea-ice algae melting out into seawater with initial pH values ranging from 7.66 to 6.39. Although the process of ice-melt elevated seawater pH by 0.2-0.55 units, we observed a decrease in F-v/F-m between 0.02 and 0.06 for each unit drop in pH during real-time fluorescence imaging. These results are considered preliminary but provide context for including carbonate chemistry monitoring in the design of future sea ice state-transition experiments. Imaging-PAM is a reliable technology for determining F-v/F-m, but is of limited use for obtaining additional photosynthetic parameters when imaging melting ice.</t>
  </si>
  <si>
    <t>[Castrisios, Katerina; Martin, Andrew; Kennedy, Fraser; McMinn, Andrew] Univ Tasmania, Inst Marine &amp; Antarctic Studies, Private Bag 129, Hobart, Tas 7001, Australia; [Mueller, Marius N.] Fed Univ Recife, Dept Oceanog, Cidade Univ, Recife, PE, Brazil; [Ryan, Ken G.] Victoria Univ Wellington, Sch Biol Sci, Wellington, New Zealand</t>
  </si>
  <si>
    <t>University of Tasmania; Universidade Federal de Pernambuco; Victoria University Wellington</t>
  </si>
  <si>
    <t>Martin, A (corresponding author), Univ Tasmania, Inst Marine &amp; Antarctic Studies, Private Bag 129, Hobart, Tas 7001, Australia.</t>
  </si>
  <si>
    <t>Andrew.Martin@utas.edu.au</t>
  </si>
  <si>
    <t>Kennedy, Fraser/M-5145-2019; McMinn, Andrew/A-9910-2008; Müller, Marius Nils/N-9338-2014</t>
  </si>
  <si>
    <t>Kennedy, Fraser/0000-0003-1796-0764;</t>
  </si>
  <si>
    <t>Victoria University of Wellington [100241]</t>
  </si>
  <si>
    <t>Victoria University of Wellington</t>
  </si>
  <si>
    <t>We acknowledge Victoria University of Wellington grant 100241 for financial support.</t>
  </si>
  <si>
    <t>10.1080/17518369.2018.1438696</t>
  </si>
  <si>
    <t>GA1DK</t>
  </si>
  <si>
    <t>WOS:000428055500001</t>
  </si>
  <si>
    <t>Li, Y; Luo, JT; Xu, QQ; Hou, YW; Jiang, PL; Sun, YT; Lu, HX; Han, BS; Zhang, JF</t>
  </si>
  <si>
    <t>Li, Yan; Luo, Juntao; Xu, Qiongqiong; Hou, Yanwen; Jiang, Penglei; Sun, Yutian; Lu, Hanxu; Han, Bingshe; Zhang, Junfang</t>
  </si>
  <si>
    <t>Characterization of Selenoprotein P cDNA of the Antarctic toothfish Dissostichus mawsoni and its role under cold pressure</t>
  </si>
  <si>
    <t>GENE</t>
  </si>
  <si>
    <t>Selenoprotein P; SECIS elements; Cold adaptation; ROS</t>
  </si>
  <si>
    <t>SELENOCYSTEINE INCORPORATION; SECIS ELEMENTS; CELL INJURY; RAT-LIVER; SELENIUM; PROTEIN; EXPRESSION; EVOLUTION; SEQUENCES; INSERTION</t>
  </si>
  <si>
    <t>Our previous study using comparative genome analysis revealed a significant gene copy number gain of Dissostichus mawsoni selenoprotein P (Dm-SEPP) during the evolutionary radiation of Antarctic notothenioids, suggesting that Dm-SEPP contribute to this process, but the detailed structure and function of this gene product remain unclear. In the present study, the Dm-SEPP cDNA was cloned and characterized. The Dm-SEPP cDNA contains 17 selenocysteines (Sec) encoded by TGA codons and 2 typical SECIS elements located in the 3'-UTR. Evolutionary analysis of the Dm-SEPP gene revealed that it's closely related to the SEPP gene of zebrafish (Danio rerio), showing 51% amino acid similarity. Over-expression of Dm-SEPP could protect mammalian cells under cold pressure, probably via eliminating ROS. Further study showed an increase of endogenous SEPP in zebrafish ZF4 cells under cold pressure, and knockdown of SEPP decreased cell viability, accompanied with increased ROS. Our results suggested a protective role of Dm-SEPP in cold adaptation in Antarctic notothenioids.</t>
  </si>
  <si>
    <t>[Li, Yan; Luo, Juntao; Xu, Qiongqiong; Hou, Yanwen; Jiang, Penglei; Sun, Yutian; Lu, Hanxu; Han, Bingshe; Zhang, Junfang] Shanghai Ocean Univ, Key Lab Explorat &amp; Utilizat Aquat Genet Resources, Minist Educ, Shanghai 201306, Peoples R China; [Li, Yan; Luo, Juntao; Xu, Qiongqiong; Hou, Yanwen; Jiang, Penglei; Sun, Yutian; Lu, Hanxu; Han, Bingshe] Shanghai Ocean Univ, Natl Demonstrat Ctr Expt Fisheries Sci Educ, Shanghai 201306, Peoples R China; [Zhang, Junfang] Shanghai Ocean Univ, Int Res Ctr Marine Biosci, Minist Sci &amp; Technol, Shanghai 201306, Peoples R China</t>
  </si>
  <si>
    <t>Shanghai Ocean University; Shanghai Ocean University; Shanghai Ocean University</t>
  </si>
  <si>
    <t>Han, BS; Zhang, JF (corresponding author), Shanghai Ocean Univ, Key Lab Explorat &amp; Utilizat Aquat Genet Resources, Minist Educ, Shanghai 201306, Peoples R China.</t>
  </si>
  <si>
    <t>bs-han@shou.edu.cn; jfzhang@shou.edu.cn</t>
  </si>
  <si>
    <t>jiang, penglei/GPX-0521-2022; Luo, Jun/JPX-3855-2023; WU, SHAN/KGM-5484-2024</t>
  </si>
  <si>
    <t>National Natural Science Foundation of China [31372516]; Shanghai Municipal Education Commission (Oriental scholar program); Shanghai Municipal Education Commission (Project for Gaofeng Discipline of Fishery)</t>
  </si>
  <si>
    <t>National Natural Science Foundation of China(National Natural Science Foundation of China (NSFC)); Shanghai Municipal Education Commission (Oriental scholar program)(Shanghai Municipal Education Commission (SHMEC)); Shanghai Municipal Education Commission (Project for Gaofeng Discipline of Fishery)</t>
  </si>
  <si>
    <t>This study was supported by grants from National Natural Science Foundation of China (grant No. 31372516 awarded to JZ), Shanghai Municipal Education Commission (Oriental scholar program awarded to JZ), Shanghai Municipal Education Commission (Project for Gaofeng Discipline of Fishery).</t>
  </si>
  <si>
    <t>0378-1119</t>
  </si>
  <si>
    <t>1879-0038</t>
  </si>
  <si>
    <t>Gene</t>
  </si>
  <si>
    <t>10.1016/j.gene.2018.01.032</t>
  </si>
  <si>
    <t>FW8IX</t>
  </si>
  <si>
    <t>WOS:000425576500019</t>
  </si>
  <si>
    <t>Trinh, QT; Ern, M; Doornbos, E; Preusse, P; Riese, M</t>
  </si>
  <si>
    <t>Quang Thai Trinh; Ern, Manfred; Doornbos, Eelco; Preusse, Peter; Riese, Martin</t>
  </si>
  <si>
    <t>Satellite observations of middle atmosphere-thermosphere vertical coupling by gravity waves</t>
  </si>
  <si>
    <t>ANNALES GEOPHYSICAE</t>
  </si>
  <si>
    <t>Ionosphere (ionosphere-atmosphere interactions)</t>
  </si>
  <si>
    <t>GENERAL-CIRCULATION; F-REGION; STRATOSPHERIC WARMINGS; GLOBAL DISTRIBUTION; IONOSPHERE SYSTEM; SABER EXPERIMENT; PLASMA BUBBLES; CLIMATE MODELS; MOMENTUM FLUX; BODY FORCES</t>
  </si>
  <si>
    <t>Atmospheric gravity waves (GWs) are essential for the dynamics of the middle atmosphere. Recent studies have shown that these waves are also important for the thermosphere/ionosphere (T/I) system. Via vertical coupling, GWs can significantly influence the mean state of the T/I system. However, the penetration of GWs into the T/I system is not fully understood in modeling as well as observations. In the current study, we analyze the correlation between GW momentum fluxes observed in the middle atmosphere (30-90 km) and GW-induced perturbations in the T/I. In the middle atmosphere, GW momentum fluxes are derived from temperature observations of the Sounding of the Atmosphere using Broadband Emission Radiometry (SABER) satellite instrument. In the T/I, GW-induced perturbations are derived from neutral density measured by instruments on the Gravity field and Ocean Circulation Explorer (GOCE) and CHAllenging Minisatellite Payload (CHAMP) satellites. We find generally positive correlations between horizontal distributions at low altitudes (i.e., below 90 km) and horizontal distributions of GW-induced density fluctuations in the T/I (at 200 km and above). Two coupling mechanisms are likely responsible for these positive correlations: (1) fast GWs generated in the troposphere and lower stratosphere can propagate directly to the T/I and (2) primary GWs with their origins in the lower atmosphere dissipate while propagating upwards and generate secondary GWs, which then penetrate up to the T/I and maintain the spatial patterns of GW distributions in the lower atmosphere. The mountain-wave related hotspot over the Andes and Antarctic Peninsula is found clearly in observations of all instruments used in our analysis. Latitude-longitude variations in the summer midlatitudes are also found in observations of all instruments. These variations and strong positive correlations in the summer midlatitudes suggest that GWs with origins related to convection also propagate up to the T/I. Different processes which likely influence the vertical coupling are GW dissipation, possible generation of secondary GWs, and horizontal propagation of GWs. Limitations of the observations as well as of our research approach are discussed.</t>
  </si>
  <si>
    <t>[Quang Thai Trinh; Ern, Manfred; Preusse, Peter; Riese, Martin] Forschungszentrum Julich, Inst Energy &amp; Climate Res, Stratosphere IEK 7, Julich, Germany; [Doornbos, Eelco] Delft Univ Technol, Fac Aerosp Engn, Delft, Netherlands</t>
  </si>
  <si>
    <t>Helmholtz Association; Research Center Julich; Delft University of Technology</t>
  </si>
  <si>
    <t>Trinh, QT (corresponding author), Forschungszentrum Julich, Inst Energy &amp; Climate Res, Stratosphere IEK 7, Julich, Germany.</t>
  </si>
  <si>
    <t>t.trinh@fz-juelich.de</t>
  </si>
  <si>
    <t>Riese, Martin/A-3927-2013; Preusse, Peter/A-1193-2013; Ern, Manfred/I-8839-2016</t>
  </si>
  <si>
    <t>Riese, Martin/0000-0001-6398-6493; Ern, Manfred/0000-0002-8565-2125; Doornbos, Eelco/0000-0002-9790-8546</t>
  </si>
  <si>
    <t>Deutsche Forschungsgemeinschaft (DFG, German Research Foundation) [ER 474/3-1]; DFG priority program Dynamic Earth [SPP-1788]</t>
  </si>
  <si>
    <t>Deutsche Forschungsgemeinschaft (DFG, German Research Foundation)(German Research Foundation (DFG)); DFG priority program Dynamic Earth</t>
  </si>
  <si>
    <t>This work was partly supported by Deutsche Forschungsgemeinschaft (DFG, German Research Foundation) project ER 474/3-1 (TigerUC), which is part of DFG priority program SPP-1788 Dynamic Earth.</t>
  </si>
  <si>
    <t>0992-7689</t>
  </si>
  <si>
    <t>1432-0576</t>
  </si>
  <si>
    <t>ANN GEOPHYS-GERMANY</t>
  </si>
  <si>
    <t>Ann. Geophys.</t>
  </si>
  <si>
    <t>MAR 19</t>
  </si>
  <si>
    <t>10.5194/angeo-36-425-2018</t>
  </si>
  <si>
    <t>Astronomy &amp; Astrophysics; Geosciences, Multidisciplinary; Meteorology &amp; Atmospheric Sciences</t>
  </si>
  <si>
    <t>Astronomy &amp; Astrophysics; Geology; Meteorology &amp; Atmospheric Sciences</t>
  </si>
  <si>
    <t>FZ6ZU</t>
  </si>
  <si>
    <t>WOS:000427749900001</t>
  </si>
  <si>
    <t>Eilertsen, MH; Georgieva, MN; Kongsrud, JA; Linse, K; Wiklund, H; Glover, AG; Rapp, HT</t>
  </si>
  <si>
    <t>Eilertsen, Mari H.; Georgieva, Magdalena N.; Kongsrud, Jon A.; Linse, Katrin; Wiklund, Helena; Glover, Adrian G.; Rapp, Hans T.</t>
  </si>
  <si>
    <t>Genetic connectivity from the Arctic to the Antarctic: Sclerolinum contortum and Nicomache lokii (Annelida) are both widespread in reducing environments</t>
  </si>
  <si>
    <t>MULTIPLE SEQUENCE ALIGNMENT; COLD-SEEP COMMUNITIES; CASTLE VENT FIELD; HYDROTHERMAL VENT; POPULATION EXPANSION; MUD VOLCANO; SEA; BIOGEOGRAPHY; DISPERSAL; PHYLOGEOGRAPHY</t>
  </si>
  <si>
    <t>The paradigm of large geographic ranges in the deep sea has been challenged by genetic studies, which often reveal putatively widespread species to be several taxa with more restricted ranges. Recently, a phylogeographic study revealed that the tubeworm Sclerolinum contortum (Siboglinidae) inhabits vents and seeps from the Arctic to the Antarctic. Here, we further test the conspecificity of the same populations of S. contortum with additional mitochondrial and nuclear markers. We also investigate the genetic connectivity of another species with putatively the same wide geographic range - Nicomache lokii (Maldanidae). Our results support the present range of S. contortum, and the range of N. lokii is extended from vents and seeps in the Nordic Seas to mud volcanoes in the Barbados Trench and Antarctic vents. Sclerolinum contortum shows more pronounced geographic structure than N. lokii, but whether this is due to different dispersal capacities or reflects the geographic isolation of the sampled localities is unclear. Two distinct mitochondrial lineages of N. lokii are present in the Antarctic, which may result from two independent colonization events. The environmental conditions inhabited by the two species and implications for their distinct habitat preference is discussed.</t>
  </si>
  <si>
    <t>[Eilertsen, Mari H.; Rapp, Hans T.] Univ Bergen, Dept Biol Sci, POB 7800, N-5020 Bergen, Norway; [Eilertsen, Mari H.; Rapp, Hans T.] Univ Bergen, KG Jebsen Ctr Deep Sea Res, POB 7803, N-5020 Bergen, Norway; [Georgieva, Magdalena N.; Wiklund, Helena; Glover, Adrian G.] Nat Hist Museum, Life Sci Dept, Cromwell Rd, London SW7 5BD, England; [Kongsrud, Jon A.] Univ Museum Bergen, Dept Nat Hist, POB 7800, N-5020 Bergen, Norway; [Linse, Katrin] British Antarctic Survey, Madingley Rd, Cambridge CB3 0ET, England; [Rapp, Hans T.] Uni Environm, Uni Res, POB 7810, N-5020 Bergen, Norway</t>
  </si>
  <si>
    <t>University of Bergen; University of Bergen; Natural History Museum London; University of Bergen; UK Research &amp; Innovation (UKRI); Natural Environment Research Council (NERC); NERC British Antarctic Survey</t>
  </si>
  <si>
    <t>Eilertsen, MH (corresponding author), Univ Bergen, Dept Biol Sci, POB 7800, N-5020 Bergen, Norway.;Eilertsen, MH (corresponding author), Univ Bergen, KG Jebsen Ctr Deep Sea Res, POB 7803, N-5020 Bergen, Norway.</t>
  </si>
  <si>
    <t>mari.eilertsen@uib.no</t>
  </si>
  <si>
    <t>Eilertsen, Mari Heggernes/J-2505-2019</t>
  </si>
  <si>
    <t>Eilertsen, Mari Heggernes/0000-0002-7904-3104; Georgieva, Magdalena/0000-0002-1129-0571; Wiklund, Helena/0000-0002-8252-3504</t>
  </si>
  <si>
    <t>NFR through Centre for Geobiology [179560]; Norwegian Academy of Science and Letters; Norwegian Deep-Sea Program (the taxonomy fund); Norwegian Taxonomy Initiative (project 'Polychaete diversity in the Norwegian Sea - from coast to the deep sea') through the Norwegian Biodiversity Information Centre [70184227]; JRS Biodiversity Foundation; Natural Environment Research Council (UK); Research Council of Norway; Norwegian Biodiversity Information Centre; Meltzer Foundation; NERC [bas0100036, NE/R000670/1] Funding Source: UKRI</t>
  </si>
  <si>
    <t>NFR through Centre for Geobiology; Norwegian Academy of Science and Letters; Norwegian Deep-Sea Program (the taxonomy fund); Norwegian Taxonomy Initiative (project 'Polychaete diversity in the Norwegian Sea - from coast to the deep sea') through the Norwegian Biodiversity Information Centre; JRS Biodiversity Foundation; Natural Environment Research Council (UK)(UK Research &amp; Innovation (UKRI)Natural Environment Research Council (NERC)); Research Council of Norway(Research Council of Norway); Norwegian Biodiversity Information Centre; Meltzer Foundation; NERC(UK Research &amp; Innovation (UKRI)Natural Environment Research Council (NERC))</t>
  </si>
  <si>
    <t>We thank the crew, Rolf Birger Pedersen (cruise leader), scientists and students onboard the RV G.O. Sars during the cruises in 2008-2016, and Paul Tyler, Jon Copley and Alex Rogers, PIs of the Antarctic JC42 Cruise. We would also like to thank Cindy Van Dover for providing material of Nicomache lokii from the Barbados Trench, Monika Bright for providing material of Sclerolinum contortum from the Gulf of Mexico, Alexander Tzetlin for providing ethanol fixed specimens of Nicomache minor from the White Sea, Jing Guo for assistance in sorting samples at NHM London, Solveig Thorkildsen for help with the labwork, Graham Jones for his help with the Stacey analyses, and Joana B. Xavier for valuable discussions and input on the manuscript. This work has been supported by the NFR through Centre for Geobiology (project number 179560), the Norwegian Academy of Science and Letters and The Norwegian Deep-Sea Program (the taxonomy fund), the Norwegian Taxonomy Initiative (project 'Polychaete diversity in the Norwegian Sea - from coast to the deep sea' - PolyNor: project number 70184227) through the Norwegian Biodiversity Information Centre, and the JRS Biodiversity Foundation. The JC42 Cruise was funded by the Natural Environment Research Council (UK). DNA-barcode data generated in this project is part of the Norwegian Barcode of Life (NorBOL) project funded by the Research Council of Norway and the Norwegian Biodiversity Information Centre. The project was also funded in part by a student grant from the Meltzer Foundation awarded to the first author.</t>
  </si>
  <si>
    <t>10.1038/s41598-018-23076-0</t>
  </si>
  <si>
    <t>FZ6DT</t>
  </si>
  <si>
    <t>WOS:000427688100003</t>
  </si>
  <si>
    <t>Przelomski, H; Cox, T; Kennedy, J; Cole-Dai, J</t>
  </si>
  <si>
    <t>Przelomski, Hannah; Cox, Thomas; Kennedy, Joshua; Cole-Dai, Jihong</t>
  </si>
  <si>
    <t>Examination of atmospheric perchlorate response during large volcanic eruptions using an Antarctic ice core</t>
  </si>
  <si>
    <t>ABSTRACTS OF PAPERS OF THE AMERICAN CHEMICAL SOCIETY</t>
  </si>
  <si>
    <t>255th National Meeting and Exposition of the American-Chemical-Society (ACS) - Nexus of Food, Energy, and Water</t>
  </si>
  <si>
    <t>MAR 18-22, 2018</t>
  </si>
  <si>
    <t>New Orleans, LA</t>
  </si>
  <si>
    <t>[Przelomski, Hannah] Catawba Coll, Chem, Rocky Mount, NC USA; [Cox, Thomas; Kennedy, Joshua; Cole-Dai, Jihong] South Dakota State Univ, Dept Chem &amp; Biochem, Brookings, SD USA</t>
  </si>
  <si>
    <t>South Dakota State University</t>
  </si>
  <si>
    <t>hprzelom13@catawba.edu</t>
  </si>
  <si>
    <t>0065-7727</t>
  </si>
  <si>
    <t>ABSTR PAP AM CHEM S</t>
  </si>
  <si>
    <t>Abstr. Pap. Am. Chem. Soc.</t>
  </si>
  <si>
    <t>MAR 18</t>
  </si>
  <si>
    <t>Chemistry, Multidisciplinary</t>
  </si>
  <si>
    <t>GJ7AU</t>
  </si>
  <si>
    <t>WOS:000435537704136</t>
  </si>
  <si>
    <t>Habib, S; Ahmad, SA; Johari, WLW; Abd Shukor, MY; Alias, SA; Khalil, KA; Yasid, NA</t>
  </si>
  <si>
    <t>Habib, Syahir; Ahmad, Siti Aqlima; Johari, Wan Lutfi Wan; Abd Shukor, Mohd Yunus; Alias, Siti Aisyah; Khalil, Khalilah Abdul; Yasid, Nur Adeela</t>
  </si>
  <si>
    <t>Evaluation of conventional and response surface level optimisation of n-dodecane (n-C12) mineralisation by psychrotolerant strains isolated from pristine soil at Southern Victoria Island, Antarctica</t>
  </si>
  <si>
    <t>MICROBIAL CELL FACTORIES</t>
  </si>
  <si>
    <t>Biodegradation; Diesel fuel; Psychrotroph; Response surface methodology; GC-FID analysis</t>
  </si>
  <si>
    <t>HYDROCARBON-DEGRADING BACTERIA; RHODOCOCCUS-ERYTHROPOLIS PR4; BIOSURFACTANT PRODUCTION; PETROLEUM-HYDROCARBONS; ALCOHOL-DEHYDROGENASE; LOW-TEMPERATURE; SCOTT BASE; OIL-SPILLS; CRUDE-OIL; BIODEGRADATION</t>
  </si>
  <si>
    <t>Background: Biodegradation of hydrocarbons in Antarctic soil has been reported to be achieved through the utilisation of indigenous cold-adapted microorganisms. Although numerous bacteria isolated from hydrocarbon-contaminated sites in Antarctica were able to demonstrate promising outcomes in utilising hydrocarbon components as their energy source, reports on the utilisation of hydrocarbons by strains isolated from pristine Antarctic soil are scarce. In the present work, two psychrotolerant strains isolated from Antarctic pristine soil with the competency to utilise diesel fuel as the sole carbon source were identified and optimised through conventional and response surface method. Results: Two potent hydrocarbon-degraders (ADL15 and ADL36) were identified via partial 16S rRNA gene sequence analysis, and revealed to be closely related to the genus Pseudomonas and Rhodococcus sp., respectively. Factors affecting diesel degradation such as temperature, hydrocarbon concentration, pH and salt tolerance were studied. Although strain ADL36 was able to withstand a higher concentration of diesel than strain ADL15, both strains showed similar optimal condition for the cell's growth at pH 7.0 and 1.0% (w/v) NaCl at the conventional 'one-factor-at-a-time' level. Both strains were observed to be psychrotrophs with optimal temperatures of 20 degrees C. Qualitative and quantitative analysis were performed with a gas chromatograph equipped with a flame ionisation detector to measure the reduction of n-alkane components in diesel. In the pre-screening medium, strain ADL36 showed 83.75% of n-dodecane mineralisation while the reduction of n-dodecane by strain ADL15 was merely at 22.39%. The optimised condition for n-dodecane mineralisation predicted through response surface methodology enhanced the reduction of n-dodecane to 99.89 and 38.32% for strain ADL36 and strain ADL15, respectively. Conclusions: Strain ADL36 proves to be a better candidate for bioaugmentation operations on sites contaminated with aliphatic hydrocarbons especially in the Antarctic and other cold regions. The results obtained throughout strongly supports the use of RSM for medium optimisation.</t>
  </si>
  <si>
    <t>[Habib, Syahir; Ahmad, Siti Aqlima; Abd Shukor, Mohd Yunus; Yasid, Nur Adeela] Univ Putra Malaysia, Fac Biotechnol &amp; Biomol Sci, Dept Biochem, Serdang 43400, Selangor, Malaysia; [Johari, Wan Lutfi Wan] Univ Putra Malaysia, Fac Environm Studies, Dept Environm Sci, Serdang 43400, Selangor, Malaysia; [Alias, Siti Aisyah] Univ Malaya, Inst Postgrad Studies C308, Inst Ocean &amp; Earth Sci, Kuala Lumpur 50603, Malaysia; [Khalil, Khalilah Abdul] Univ Teknol MARA, Fac Appl Sci, Dept Biomol Sci, Shah Alam 40450, Selangor, Malaysia</t>
  </si>
  <si>
    <t>Universiti Putra Malaysia; Universiti Putra Malaysia; Universiti Malaya; Universiti Teknologi MARA</t>
  </si>
  <si>
    <t>Yasid, NA (corresponding author), Univ Putra Malaysia, Fac Biotechnol &amp; Biomol Sci, Dept Biochem, Serdang 43400, Selangor, Malaysia.</t>
  </si>
  <si>
    <t>adeela@upm.edu.my</t>
  </si>
  <si>
    <t>Johari, Wan Lutfi Wan/AAL-4095-2020; Yasid, Nur Adeela/AAL-8044-2020; FASc, SITI AISYAH A. HJ ALIAS/B-9785-2010; shukor, yunus/AAB-7087-2020</t>
  </si>
  <si>
    <t>Johari, Wan Lutfi Wan/0000-0001-8607-7620; FASc, SITI AISYAH A. HJ ALIAS/0000-0002-6759-5745; shukor, yunus/0000-0002-6150-2114; Ahmad, Siti Aqlima/0000-0002-7625-3704; Yasid, Nur Adeela/0000-0002-1278-0206</t>
  </si>
  <si>
    <t>Universiti Putra Malaysia [GP-IPS/2016/9508500, GP-IPM/2016/9476900]</t>
  </si>
  <si>
    <t>Universiti Putra Malaysia</t>
  </si>
  <si>
    <t>This research was supported by a grant disbursed by Universiti Putra Malaysia attached to SH (GP-IPS/2016/9508500) and NAY (GP-IPM/2016/9476900).</t>
  </si>
  <si>
    <t>1475-2859</t>
  </si>
  <si>
    <t>MICROB CELL FACT</t>
  </si>
  <si>
    <t>Microb. Cell. Fact.</t>
  </si>
  <si>
    <t>MAR 17</t>
  </si>
  <si>
    <t>10.1186/s12934-018-0889-8</t>
  </si>
  <si>
    <t>FZ6JD</t>
  </si>
  <si>
    <t>WOS:000427703100001</t>
  </si>
  <si>
    <t>Snow, K; Rintoul, SR; Sloyan, BM; Hogg, AM</t>
  </si>
  <si>
    <t>Snow, K.; Rintoul, S. R.; Sloyan, B. M.; Hogg, A. McC.</t>
  </si>
  <si>
    <t>Change in Dense Shelf Water and Adelie Land Bottom Water Precipitated by Iceberg Calving</t>
  </si>
  <si>
    <t>Antarctic Bottom Water; iceberg calving; Dense Shelf Water; polynya; surface forcing</t>
  </si>
  <si>
    <t>AUSTRALIAN-ANTARCTIC BASIN; SEA-LEVEL RISE; EAST ANTARCTICA; INDIAN-OCEAN; GLOBAL HEAT; V LAND; DEEP; PACIFIC; ABYSSAL; BUDGETS</t>
  </si>
  <si>
    <t>Antarctic Bottom Water supplies the deep limb of the global overturning circulation and ventilates the abyssal ocean. Antarctic Bottom Water has warmed, freshened, and contracted in recent decades, but the causes remain poorly understood. We use unique multiyear observations from the continental shelf and deep ocean near the Mertz Polynya to examine the sensitivity of this bottom water formation region to changes on the continental shelf, including the calving of a large iceberg. Postcalving, the seasonal cycle of Dense Shelf Water (DSW) density almost halved in amplitude and the volume of DSW available for export reduced. In the deep ocean, the density and volume of Adelie Land Bottom Water decreased sharply after calving, while oxygen concentrations remained high, indicating continued ventilation by DSW. This natural experiment illustrates how local changes in forcing over the Antarctic continental shelf can drive large and rapid changes in the abyssal ocean.</t>
  </si>
  <si>
    <t>[Snow, K.] Univ Edinburgh, Sch Geosci, Edinburgh, Midlothian, Scotland; [Snow, K.; Hogg, A. McC.] Australian Natl Univ, ARC Ctr Excellence Climate Syst Sci, Canberra, ACT, Australia; [Snow, K.; Hogg, A. McC.] Australian Natl Univ, Res Sch Earth Sci, Canberra, ACT, Australia; [Rintoul, S. R.; Sloyan, B. M.] CSIRO, Oceans &amp; Atmosphere, Hobart, Tas, Australia; [Rintoul, S. R.] Univ Tasmania, Antarctic Climate &amp; Ecosyst Cooperat Res Ctr, Hobart, Tas, Australia; [Rintoul, S. R.; Sloyan, B. M.] Ctr Southern Hemisphere Oceans Res, Hobart, Tas, Australia</t>
  </si>
  <si>
    <t>University of Edinburgh; ARC Centre of Excellence for Climate System Science; Australian National University; Australian National University; Commonwealth Scientific &amp; Industrial Research Organisation (CSIRO); Antarctic Climate &amp; Ecosystems Cooperative Research Centre (ACE CRC); University of Tasmania</t>
  </si>
  <si>
    <t>Snow, K (corresponding author), Univ Edinburgh, Sch Geosci, Edinburgh, Midlothian, Scotland.;Snow, K (corresponding author), Australian Natl Univ, ARC Ctr Excellence Climate Syst Sci, Canberra, ACT, Australia.;Snow, K (corresponding author), Australian Natl Univ, Res Sch Earth Sci, Canberra, ACT, Australia.</t>
  </si>
  <si>
    <t>kate.snow@anu.edu.au</t>
  </si>
  <si>
    <t>Hogg, Andy/AAZ-8733-2021; Sloyan, Bernadette/N-8989-2014; Hogg, Andy McC./A-7553-2011; Rintoul, Stephen R/A-1471-2012</t>
  </si>
  <si>
    <t>Hogg, Andy/0000-0001-5898-7635; Sloyan, Bernadette/0000-0003-0250-0167; Hogg, Andy McC./0000-0001-5898-7635; Rintoul, Stephen R/0000-0002-7055-9876</t>
  </si>
  <si>
    <t>Australian Government Department of the Environment; CSIRO through the Australian Climate Change Science Programme; National Environmental Science Program; Centre for Southern Hemisphere Oceans Research; Australian Government Business Cooperative Research Centres Programme through the Antarctic Climate and Ecosystems Cooperative Research Centre; ARC Centre of Excellence for Climate System Science</t>
  </si>
  <si>
    <t>Australian Government Department of the Environment(Australian Government); CSIRO through the Australian Climate Change Science Programme; National Environmental Science Program; Centre for Southern Hemisphere Oceans Research(Commonwealth Scientific &amp; Industrial Research Organisation (CSIRO)); Australian Government Business Cooperative Research Centres Programme through the Antarctic Climate and Ecosystems Cooperative Research Centre(Australian GovernmentDepartment of Industry, Innovation and ScienceCooperative Research Centres (CRC) Programme); ARC Centre of Excellence for Climate System Science(Australian Research Council)</t>
  </si>
  <si>
    <t>The authors thank Mark Rosenberg and Rebecca Cowley for aid in data processing and the scientific party and crew of the RV Aurora Australis for support in collecting the observational data. B. M. S. and S. R. R. were supported by the Australian Government Department of the Environment and CSIRO through the Australian Climate Change Science Programme and by the National Environmental Science Program and the Centre for Southern Hemisphere Oceans Research. S. R. R. was additionally supported by the Australian Government Business Cooperative Research Centres Programme through the Antarctic Climate and Ecosystems Cooperative Research Centre. K. S. and A. McC. H. were supported by the ARC Centre of Excellence for Climate System Science. S. R. R. acknowledges the long-term support from the Australian Antarctic Division and Australia's Integrated Marine Observing System (IMOS). The CTD data analyzed in this manuscript are available from CCHDO (https://cchdo.scripps.edu), and the current meter data are available from the Australian Antarctic Data Centre and IMOS. MODIS satellite images courtesy of NASA NSIDC.</t>
  </si>
  <si>
    <t>MAR 16</t>
  </si>
  <si>
    <t>10.1002/2017GL076195</t>
  </si>
  <si>
    <t>GA5VQ</t>
  </si>
  <si>
    <t>WOS:000428402400030</t>
  </si>
  <si>
    <t>Sun, ST; Eisenman, I; Stewart, AL</t>
  </si>
  <si>
    <t>Sun, Shantong; Eisenman, Ian; Stewart, Andrew L.</t>
  </si>
  <si>
    <t>Does Southern Ocean Surface Forcing Shape the Global Ocean Overturning Circulation?</t>
  </si>
  <si>
    <t>Southern Ocean; global ocean overturning circulation; climate model; Last Glacial Maximum</t>
  </si>
  <si>
    <t>LAST GLACIAL MAXIMUM; ANTARCTIC CIRCUMPOLAR CURRENT; ATMOSPHERIC CO2; DEEP-OCEAN; SEA-ICE; TRACER RELEASE; NORTH-ATLANTIC; CLIMATE-CHANGE; STRATIFICATION; MODEL</t>
  </si>
  <si>
    <t>Paleoclimate proxy data suggest that the Atlantic Meridional Overturning Circulation (AMOC) was shallower at the Last Glacial Maximum (LGM) than its preindustrial (PI) depth. Previous studies have suggested that this shoaling necessarily accompanies Antarctic sea ice expansion at the LGM. Here the influence of Southern Ocean surface forcing on the AMOC depth is investigated using ocean-only simulations from a state-of-the-art climate model with surface forcing specified from the output of previous coupled PI and LGM simulations. In contrast to previous expectations, we find that applying LGM surface forcing in the Southern Ocean and PI surface forcing elsewhere causes the AMOC to shoal only about half as much as when LGM surface forcing is applied globally. We show that this occurs because diapycnal mixing renders the Southern Ocean overturning circulation more diabatic than previously assumed, which diminishes the influence of Southern Ocean surface buoyancy forcing on the depth of the AMOC.</t>
  </si>
  <si>
    <t>[Sun, Shantong; Eisenman, Ian] Univ Calif San Diego, Scripps Inst Oceanog, La Jolla, CA 92093 USA; [Stewart, Andrew L.] Univ Calif Los Angeles, Dept Atmospher &amp; Ocean Sci, Los Angeles, CA USA</t>
  </si>
  <si>
    <t>University of California System; University of California San Diego; Scripps Institution of Oceanography; University of California System; University of California Los Angeles</t>
  </si>
  <si>
    <t>Sun, ST (corresponding author), Univ Calif San Diego, Scripps Inst Oceanog, La Jolla, CA 92093 USA.</t>
  </si>
  <si>
    <t>shantong@ucsd.edu</t>
  </si>
  <si>
    <t>Sun, Shantong/AAL-8285-2021; Sun, Shantong/HTR-4945-2023; Eisenman, Ian/B-9329-2009; Sun, Shantong/AAY-2000-2020</t>
  </si>
  <si>
    <t>Sun, Shantong/0000-0002-6932-5589; Eisenman, Ian/0000-0003-0190-2869; Stewart, Andrew/0000-0001-5861-4070</t>
  </si>
  <si>
    <t>National Science Foundation (NSF) [OCE-1357078, PLR-1543338, OPP-1643445]; Directorate For Geosciences; Division Of Ocean Sciences [1357078] Funding Source: National Science Foundation; Office of Polar Programs (OPP); Directorate For Geosciences [1543388] Funding Source: National Science Foundation</t>
  </si>
  <si>
    <t>National Science Foundation (NSF)(National Science Foundation (NSF)); Directorate For Geosciences; Division Of Ocean Sciences(National Science Foundation (NSF)NSF - Directorate for Geosciences (GEO)); Office of Polar Programs (OPP); Directorate For Geosciences(National Science Foundation (NSF)NSF - Directorate for Geosciences (GEO))</t>
  </si>
  <si>
    <t>Without implying their endorsement, we thank Paola Cessi, Shang-Ping Xie, Lynne Talley, Raffaele Ferrari, Malte Jansen, Jess Adkins, and Paul Kushner for helpful comments and discussions. This work was supported by the National Science Foundation (NSF) [10.13039/100000001] (OCE-1357078, PLR-1543338, and OPP-1643445). Files related to the setup of the CESM simulations, as well as processed model output, are available at http://eisenman.ucsd.edu/code.html. Unprocessed model output is available by request from the corresponding author.</t>
  </si>
  <si>
    <t>10.1002/2017GL076437</t>
  </si>
  <si>
    <t>WOS:000428402400034</t>
  </si>
  <si>
    <t>Kageyama, M; Braconnot, P; Harrison, SP; Haywood, AM; Jungclaus, JH; Otto-Bliesner, BL; Peterschmitt, JY; Abe-Ouchi, A; Albani, S; Bartlein, PJ; Brierley, C; Crucifix, M; Dolan, A; Fernandez-Donado, L; Fischer, H; Hopcroft, PO; Ivanovic, RF; Lambert, F; Lunt, DJ; Mahowald, NM; Peltier, WR; Phipps, SJ; Roche, DM; Schmidt, GA; Tarasov, L; Valdes, PJ; Zhang, Q; Zhou, TJ</t>
  </si>
  <si>
    <t>Kageyama, Masa; Braconnot, Pascale; Harrison, Sandy P.; Haywood, Alan M.; Jungclaus, Johann H.; Otto-Bliesner, Bette L.; Peterschmitt, Jean-Yves; Abe-Ouchi, Ayako; Albani, Samuel; Bartlein, Patrick J.; Brierley, Chris; Crucifix, Michel; Dolan, Aisling; Fernandez-Donado, Laura; Fischer, Hubertus; Hopcroft, Peter O.; Ivanovic, Ruza F.; Lambert, Fabrice; Lunt, Daniel J.; Mahowald, Natalie M.; Peltier, W. Richard; Phipps, Steven J.; Roche, Didier M.; Schmidt, Gavin A.; Tarasov, Lev; Valdes, Paul J.; Zhang, Qiong; Zhou, Tianjun</t>
  </si>
  <si>
    <t>The PMIP4 contribution to CMIP6-Part 1: Overview and over-arching analysis plan</t>
  </si>
  <si>
    <t>MODEL INTERCOMPARISON PROJECT; LAST GLACIAL MAXIMUM; MERIDIONAL OVERTURNING CIRCULATION; CLIMATE FORCING RECONSTRUCTIONS; SCALE TEMPERATURE VARIABILITY; SEA-LEVEL FLUCTUATIONS; ASIAN SUMMER MONSOON; EXPERIMENTAL-DESIGN; SCIENTIFIC OBJECTIVES; EXPERIMENTAL PROTOCOL</t>
  </si>
  <si>
    <t>This paper is the first of a series of four GMD papers on the PMIP4-CMIP6 experiments. Part 2 (OttoBliesner et al., 2017) gives details about the two PMIP4-CMIP6 interglacial experiments, Part 3 (Jungclaus et al., 2017) about the last millennium experiment, and Part 4 (Kageyama et al., 2017) about the Last Glacial Maximum experiment. The mid-Pliocene Warm Period experiment is part of the Pliocene Model Intercomparison Project (PlioMIP) Phase 2, detailed in Haywood et al. (2016). The goal of the Paleoclimate Modelling Intercomparison Project (PMIP) is to understand the response of the climate system to different climate forcings for documented climatic states very different from the present and historical climates. Through comparison with observations of the environmental impact of these climate changes, or with climate reconstructions based on physical, chemical, or biological records, PMIP also addresses the issue of how well state-of-the-art numerical models simulate climate change. Climate models are usually developed using the present and historical climates as references, but climate projections show that future climates will lie well outside these conditions. Palaeoclimates very different from these reference states therefore provide stringent tests for state-of-the-art models and a way to assess whether their sensitivity to forcings is compatible with palaeoclimatic evidence. Simulations of five different periods have been designed to address the objectives of the sixth phase of the Coupled Model Intercomparison Project (CMIP6): the millennium prior to the industrial epoch (CMIP6 name: past1000); the mid-Holocene, 6000 years ago (midHolocene); the Last Glacial Maximum, 21 000 years ago (lgm); the Last Interglacial, 127 000 years ago (lig127k); and the mid-Pliocene Warm Period, 3.2 million years ago (midPliocene-eoi400). These climatic periods are well documented by palaeoclimatic and palaeoenvironmental records, with climate and environmental changes relevant for the study and projection of future climate changes. This paper describes the motivation for the choice of these periods and the design of the numerical experiments and database requests, with a focus on their novel features compared to the experiments performed in previous phases of PMIP and CMIP. It also outlines the analysis plan that takes advantage of the comparisons of the results across periods and across CMIP6 in collaboration with other MIPs.</t>
  </si>
  <si>
    <t>[Kageyama, Masa; Braconnot, Pascale; Peterschmitt, Jean-Yves; Albani, Samuel; Roche, Didier M.] Univ Paris Saclay, CEA CNRS UVSQ, LSCE, IPSL, F-91191 Gif Sur Yvette, France; [Harrison, Sandy P.] Univ Reading, Ctr Climate Change, Reading RG6 6AH, Berks, England; [Harrison, Sandy P.] Univ Reading, Sch Archaeol Geog &amp; Environm Sci, Reading RG6 6AH, Berks, England; [Haywood, Alan M.; Dolan, Aisling; Ivanovic, Ruza F.] Univ Leeds, Sch Earth &amp; Environm, Woodhouse Lane, Leeds LS2 9JT, W Yorkshire, England; [Jungclaus, Johann H.; Dolan, Aisling; Ivanovic, Ruza F.] Max Planck Inst Meteorol, Bundesstr 53, D-20146 Hamburg, Germany; [Otto-Bliesner, Bette L.] Natl Ctr Atmospher Res, 1850 Table Mesa Dr, Boulder, CO 80305 USA; [Abe-Ouchi, Ayako] Univ Tokyo, Atmosphere Ocean Res Inst, 5-1-5 Kashiwanoha, Kashiwa, Chiba 2778564, Japan; [Abe-Ouchi, Ayako] Japan Agcy Marine Earth Sci &amp; Technol, 3173-25 Showamachi, Yokohama, Kanagawa 2360001, Japan; [Albani, Samuel] Univ Cologne, Inst Geophys &amp; Meteorol, Cologne, Germany; [Bartlein, Patrick J.] Univ Oregon, Dept Geog, Eugene, OR 97403 USA; [Brierley, Chris] UCL, Dept Geog, London WC1E 6BT, England; [Crucifix, Michel] Catholic Univ Louvain, Earth &amp; Life Inst, Louvain, Belgium; [Fernandez-Donado, Laura] Univ Complutense Madrid, Inst Geociencias, CSIC, Dept Fis Tierra Astron &amp; Astrofis 2, Madrid, Spain; [Fischer, Hubertus] Univ Bern, Climate &amp; Environm Phys Phys Inst, Sidlerstr 5, CH-3012 Bern, Switzerland; [Fischer, Hubertus] Univ Bern, Oeschger Ctr Climate Change Res, Sidlerstr 5, CH-3012 Bern, Switzerland; [Hopcroft, Peter O.; Lunt, Daniel J.; Valdes, Paul J.] Univ Bristol, Sch Geog Sci, Bristol, Avon, England; [Hopcroft, Peter O.] Univ Birmingham, Sch Geog Earth &amp; Environm Sci, Birmingham, W Midlands, England; [Lambert, Fabrice] Catholic Univ Chile, Dept Phys Geog, Santiago, Chile; [Mahowald, Natalie M.] Cornell Univ, Dept Earth &amp; Atmospher Sci, Bradfield 1112, Ithaca, NY 14850 USA; [Peltier, W. Richard] Univ Toronto, Dept Phys, 60 St George St, Toronto, ON M5S 1A7, Canada; [Phipps, Steven J.] Univ Tasmania, Inst Marine &amp; Antarct Studies, Private Bag 129, Hobart, Tas 7001, Australia; [Roche, Didier M.] Vrije Univ Amsterdam, Earth &amp; Climate Cluster, Fac Sci, Amsterdam, Netherlands; [Schmidt, Gavin A.] Columbia Univ, NASA Goddard Inst Space Studies, 2880 Broadway, New York, NY 10025 USA; [Schmidt, Gavin A.] Columbia Univ, Ctr Climate Syst Res, 2880 Broadway, New York, NY 10025 USA; [Tarasov, Lev] Mem Univ Newfoundland &amp; Labrador, Dept Phys &amp; Phys Oceanog, St John, NF A1B 3X7, Canada; [Zhang, Qiong] Stockholm Univ, Dept Phys Geog, Stockholm, Sweden; [Zhou, Tianjun] Chinese Acad Sci, Inst Atmospher Phys, LASG, POB 9804, Beijing 100029, Peoples R China</t>
  </si>
  <si>
    <t>Universite Paris Cite; CEA; Centre National de la Recherche Scientifique (CNRS); Universite Paris Saclay; University of Reading; University of Reading; University of Leeds; Max Planck Society; National Center Atmospheric Research (NCAR) - USA; University of Tokyo; Japan Agency for Marine-Earth Science &amp; Technology (JAMSTEC); University of Cologne; University of Oregon; University of London; University College London; Universite Catholique Louvain; Complutense University of Madrid; Consejo Superior de Investigaciones Cientificas (CSIC); CSIC-UCM - Instituto de Geociencias (IGEO); University of Bern; University of Bern; University of Bristol; University of Birmingham; Pontificia Universidad Catolica de Chile; Cornell University; University of Toronto; University of Tasmania; Vrije Universiteit Amsterdam; Columbia University; National Aeronautics &amp; Space Administration (NASA); NASA Goddard Space Flight Center; Goddard Institute for Space Studies; Columbia University; Memorial University Newfoundland; Stockholm University; Chinese Academy of Sciences; Institute of Atmospheric Physics, CAS</t>
  </si>
  <si>
    <t>Kageyama, M (corresponding author), Univ Paris Saclay, CEA CNRS UVSQ, LSCE, IPSL, F-91191 Gif Sur Yvette, France.</t>
  </si>
  <si>
    <t>masa.kageyama@lsce.ipsl.fr</t>
  </si>
  <si>
    <t>Schmidt, Gavin/D-4427-2012; Otto-Bliesner, Bette/AAY-7691-2020; Valdes, Paul/T-2004-2019; Zhang, Qiong/J-7334-2019; Roche, Didier M./C-9875-2010; UzK, IGMK/HGU-4003-2022; Hopcroft, Peter/H-4957-2016; Hopcroft, Peter/O-5535-2019; Brierley, Chris M/A-8417-2009; ZHOU, Tianjun/C-3195-2012; Albani, Samuel/G-5329-2015; Fischer, Hubertus/A-1211-2014; Dolan, Aisling M/D-2625-2012; Peltier, William R./A-1102-2008; Lambert, Fabrice/M-2003-2014; Valdes, Paul J/C-4129-2013; Mahowald, Natalie M/D-8388-2013; Abe-Ouchi, Ayako A/M-6359-2013; Albani, Samuel/AAC-5604-2020; KAGEYAMA, Masa/F-2389-2010; Bartlein, Patrick J./E-4643-2011; Phipps, Steven/B-3135-2008; Ivanovic, Ruza/C-5941-2012; Lunt, Daniel/G-9451-2011</t>
  </si>
  <si>
    <t>Schmidt, Gavin/0000-0002-2258-0486; Valdes, Paul/0000-0002-1902-3283; Hopcroft, Peter/0000-0003-3694-9181; Brierley, Chris M/0000-0002-9195-6731; ZHOU, Tianjun/0000-0002-5829-7279; Albani, Samuel/0000-0001-9736-5134; Lambert, Fabrice/0000-0002-2192-024X; Mahowald, Natalie M/0000-0002-2873-997X; Abe-Ouchi, Ayako A/0000-0003-1745-5952; Albani, Samuel/0000-0001-9736-5134; Bartlein, Patrick J./0000-0001-7657-5685; Phipps, Steven/0000-0001-5657-8782; Harrison, Sandy/0000-0001-5687-1903; Ivanovic, Ruza/0000-0002-7805-6018; Lunt, Daniel/0000-0003-3585-6928; Otto-Bliesner, Bette/0000-0003-1911-1598; Peterschmitt, Jean-Yves/0000-0003-3486-3157</t>
  </si>
  <si>
    <t>French-Swedish project GIWA; JPI-Belmont project PAleao-Constraints on Monsoon Evolution and Dynamics (PACMEDY); Australian Research Council [DP1201100343]; European Research Council; European Research Council under the European Union's Seventh Framework Programme (FP7)/ERC [278636]; EPSRC; NERC Independent Research Fellowship [NE/K008536/1]; Australian Research Council's Special Research Initiative [SR140300001]; CONICYT [15110009, 1151427, ACT1410, NC120066]; NERC [NE/K008536/1, NE/P006752/1] Funding Source: UKRI</t>
  </si>
  <si>
    <t>French-Swedish project GIWA; JPI-Belmont project PAleao-Constraints on Monsoon Evolution and Dynamics (PACMEDY); Australian Research Council(Australian Research Council); European Research Council(European Research Council (ERC)); European Research Council under the European Union's Seventh Framework Programme (FP7)/ERC(European Research Council (ERC)); EPSRC(UK Research &amp; Innovation (UKRI)Engineering &amp; Physical Sciences Research Council (EPSRC)); NERC Independent Research Fellowship(UK Research &amp; Innovation (UKRI)Natural Environment Research Council (NERC)); Australian Research Council's Special Research Initiative(Australian Research Council); CONICYT(Comision Nacional de Investigacion Cientifica y Tecnologica (CONICYT)); NERC(UK Research &amp; Innovation (UKRI)Natural Environment Research Council (NERC))</t>
  </si>
  <si>
    <t>Masa Kageyama and Qiong Zhang acknowledge funding from French-Swedish project GIWA. Pascale Braconnot, Johann Jungclaus, and Sandy P. Harrison acknowledge funding from JPI-Belmont project PAleao-Constraints on Monsoon Evolution and Dynamics (PACMEDY) through their respective national funding agencies. Sandy P. Harrison also acknowledges funding from the Australian Research Council (DP1201100343) and from the European Research Council for GC2.0: Unlocking the past for a clearer future. Alan M. Hay-wood and Aisling Dolan acknowledge funding from the European Research Council under the European Union's Seventh Framework Programme (FP7/2007-2013)/ERC grant agreement no. 278636 and the EPSRC-supported Past Earth Network. Ruza F. Ivanovic is funded by a NERC Independent Research Fellowship (no. NE/K008536/1). Steven J. Phipps's contribution is supported under the Australian Research Council's Special Research Initiative for the Antarctic Gateway Partnership (project ID SR140300001). Fabrice Lambert acknowledges support from CONICYT projects 15110009, 1151427, ACT1410, and NC120066.</t>
  </si>
  <si>
    <t>10.5194/gmd-11-1033-2018</t>
  </si>
  <si>
    <t>FZ8FH</t>
  </si>
  <si>
    <t>WOS:000427841800004</t>
  </si>
  <si>
    <t>Clément, L; Thurnherr, AM</t>
  </si>
  <si>
    <t>Clement, Louis; Thurnherr, Andreas M.</t>
  </si>
  <si>
    <t>Abyssal Upwelling in Mid-Ocean Ridge Fracture Zones</t>
  </si>
  <si>
    <t>Mid-Atlantic Ridge fracture zones; near-inertial waves; turbulent mixing</t>
  </si>
  <si>
    <t>ANTARCTIC BOTTOM WATER; NEAR-INERTIAL WAVE; MID-ATLANTIC RIDGE; SPATIAL VARIABILITY; ROUGH TOPOGRAPHY; INTERNAL WAVES; BRAZIL BASIN; OCEAN; ENERGY; PROPAGATION</t>
  </si>
  <si>
    <t>Turbulence in the abyssal ocean plays a fundamental role in the climate system by sustaining the deepest branch of the overturning circulation. Over the western flank of the Mid-Atlantic Ridge in the South Atlantic, previously observed bottom-intensified and tidally modulated mixing of abyssal waters appears to imply a counterintuitive densification of deep and bottom waters. Here we show that inside fracture zones, however, turbulence is elevated away from the seafloor because of intensified downward propagating near-inertial wave energy, which decays below a subinertial shear maximum. Ray-tracing simulations predict a decay of wave energy subsequent to wave-mean flow interactions. The hypothesized wave-mean flow interactions drive a deep flow toward lighter densities of up to 0.6Sv over the mid-ocean ridge flank in the Brazil Basin, and the same process may also cause upwelling of abyssal waters in other ocean basins with mid-ocean ridges with fracture zones.</t>
  </si>
  <si>
    <t>[Clement, Louis; Thurnherr, Andreas M.] Columbia Univ, Lamont Doherty Earth Observ, Palisades, NY 10964 USA; [Clement, Louis] Natl Oceanog Ctr, Southampton, Hants, England</t>
  </si>
  <si>
    <t>Columbia University; NERC National Oceanography Centre</t>
  </si>
  <si>
    <t>Clément, L (corresponding author), Columbia Univ, Lamont Doherty Earth Observ, Palisades, NY 10964 USA.;Clément, L (corresponding author), Natl Oceanog Ctr, Southampton, Hants, England.</t>
  </si>
  <si>
    <t>l.clement@noc.ac.uk</t>
  </si>
  <si>
    <t>Thurnherr, Andreas/0000-0002-1977-7122; Clement, Louis/0000-0002-6935-9455</t>
  </si>
  <si>
    <t>BBTRE project [NSF OCE94-15589]; NSF [OCE-1235094]; Directorate For Geosciences; Division Of Ocean Sciences [1235094] Funding Source: National Science Foundation; Natural Environment Research Council [noc010012] Funding Source: researchfish</t>
  </si>
  <si>
    <t>BBTRE project; NSF(National Science Foundation (NSF)); Directorate For Geosciences; Division Of Ocean Sciences(National Science Foundation (NSF)NSF - Directorate for Geosciences (GEO)); Natural Environment Research Council(UK Research &amp; Innovation (UKRI)Natural Environment Research Council (NERC))</t>
  </si>
  <si>
    <t>The authors would like to thank D. Olbers for his comments on the manuscript. The comments of two reviewers contributed to improve the manuscript. We are grateful to J. Ledwell, K. Polzin, L. St Laurent, and J. Toole for collecting and making available the microstructure profiles from the BBTRE project (NSF OCE94-15589). The DoMORE project was funded by NSF under the grant OCE-1235094, with co-PI L. St Laurent responsible for the microstructure data. The data of the DoMORE experiment (R/V Nathaniel B. Palmer NBP1406 and NBP1508) are available on the Marine Geoscience Data System MGDS repository (http://www.marine-geo.org/). The BBTRE data can be found on the NSF-funded Microstructure Database (https://microstructure.ucsd.edu) and on the MGDS repository.</t>
  </si>
  <si>
    <t>10.1002/2017GL075872</t>
  </si>
  <si>
    <t>WOS:000428402400035</t>
  </si>
  <si>
    <t>Kaneda, M; Inuki, S; Ohno, H; Oishi, S</t>
  </si>
  <si>
    <t>Kaneda, Masato; Inuki, Shinsuke; Ohno, Hiroaki; Oishi, Shinya</t>
  </si>
  <si>
    <t>Total Synthesis and Stereochemical Revision of Stereocalpin A: Mirror-Image Approach for Stereochemical Assignments of the Peptide-Polyketide Macrocycle</t>
  </si>
  <si>
    <t>JOURNAL OF ORGANIC CHEMISTRY</t>
  </si>
  <si>
    <t>CHEMICAL-SYNTHESIS; NATURAL-PRODUCTS; CONVERGENT SYNTHESIS; ALDOL CONDENSATIONS; MOLECULES; BIOAVAILABILITY; DEPSIPEPTIDE</t>
  </si>
  <si>
    <t>Stereocalpin A is a cyclic depsipeptide with cytotoxic activity isolated from the Antarctic lichen Stereocaulon alpinum. Although a number of synthetic investigations of the unprecedented 12-membered macrocycle of stereocalpin A with a dipeptide segment and a polyketide substructure have been conducted, the configurational assignment has not been completed. In this study, we achieved the first total synthesis and stereochemical revision of stereocalpin A. To facilitate the comprehensive assessment of eight possible stereocalpin A isomers, four stereoisomers of polyketide precursors were conjugated with L-Phe-L-MePhe and D-Phe-D-MePhe dipeptides (MePhe: N-methylphenylalanine) to provide four possible isomers and four mirror-image structures of the remaining isomers, respectively. The comparative NMR analysis of a series of stereoisomers revealed that stereocalpin A possesses 2R,4S,5R-configurations, which is unique among the related 12-membered hybrid peptide polyketide natural products reported recently. The NOE correlations in the polyketide substructure of stereocalpin A were also retrospectively analyzed among the eight possible stereoisomers.</t>
  </si>
  <si>
    <t>[Kaneda, Masato; Inuki, Shinsuke; Ohno, Hiroaki; Oishi, Shinya] Kyoto Univ, Grad Sch Pharmaceut Sci, Sakyo Ku, Kyoto 6068501, Japan</t>
  </si>
  <si>
    <t>Kyoto University</t>
  </si>
  <si>
    <t>Oishi, S (corresponding author), Kyoto Univ, Grad Sch Pharmaceut Sci, Sakyo Ku, Kyoto 6068501, Japan.</t>
  </si>
  <si>
    <t>soishi@pharm.kyoto-u.ac.jp</t>
  </si>
  <si>
    <t>Ohno, Hiroaki/I-9010-2019; Oishi, Shinya/C-1350-2011</t>
  </si>
  <si>
    <t>Ohno, Hiroaki/0000-0002-3246-4809; Inuki, Shinsuke/0000-0002-7525-1280; Oishi, Shinya/0000-0002-2833-2539</t>
  </si>
  <si>
    <t>JSPS, Japan [24659004, 15J05499]; Platform Project for Supporting Drug Discovery and Life Science Research - Japan Agency for Medical Research and Development (AMED), Japan; Takeda Science Foundation; JSPS; Grants-in-Aid for Scientific Research [15J05499, 24659004] Funding Source: KAKEN</t>
  </si>
  <si>
    <t>JSPS, Japan(Ministry of Education, Culture, Sports, Science and Technology, Japan (MEXT)Japan Society for the Promotion of Science); Platform Project for Supporting Drug Discovery and Life Science Research - Japan Agency for Medical Research and Development (AMED), Japan(Japan Agency for Medical Research and Development (AMED)); Takeda Science Foundation(Takeda Science Foundation (TSF)); JSPS(Ministry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</si>
  <si>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This work was supported by Grants-in-Aid for Scientific Research from JSPS, Japan (24659004 and 15J05499); the Platform Project for Supporting Drug Discovery and Life Science Research funded by Japan Agency for Medical Research and Development (AMED), Japan; and Takeda Science Foundation. M.K. is grateful for JSPS Research Fellowships for Young Scientists.</t>
  </si>
  <si>
    <t>0022-3263</t>
  </si>
  <si>
    <t>J ORG CHEM</t>
  </si>
  <si>
    <t>J. Org. Chem.</t>
  </si>
  <si>
    <t>10.1021/acs.joc.8b00118</t>
  </si>
  <si>
    <t>Science Citation Index Expanded (SCI-EXPANDED); Index Chemicus (IC); Current Chemical Reactions (CCR-EXPANDED)</t>
  </si>
  <si>
    <t>GA0KV</t>
  </si>
  <si>
    <t>WOS:000428002800004</t>
  </si>
  <si>
    <t>Bresciani, C; Bittencourt, GD; Bageston, JV; Pinheiro, DK; Schuch, NJ; Bencherif, H; Leme, NP; Peres, LV</t>
  </si>
  <si>
    <t>Bresciani, Caroline; Bittencourt, Gabriela Dornelles; Bageston, Jose Valentin; Pinheiro, Damaris Kirsch; Schuch, Nelson Jorge; Bencherif, Hassan; Leme, Neusa Paes; Peres, Lucas Vaz</t>
  </si>
  <si>
    <t>Report of a large depletion in the ozone layer over southern Brazil and Uruguay by using multi-instrumental data</t>
  </si>
  <si>
    <t>Atmospheric composition and structure (middle atmosphere - composition and chemistry; instruments and techniques)</t>
  </si>
  <si>
    <t>ANTARCTICA; STATION</t>
  </si>
  <si>
    <t>Ozone is one of the chemical compounds that form part of the atmosphere. It plays a key role in the stratosphere where the ozone layer is located and absorbs large amounts of ultraviolet radiation. However, during austral spring (August-November), there is a massive destruction of the ozone layer, which is known as the Antarctic ozone hole. This phenomenon decreases ozone concentration in that region, which may affect other regions in addition to the polar one. This anomaly may also reach midlatitudes; hence, it is called the secondary effect of the Antarctic ozone hole. Therefore, this study aims to identify the passage of an ozone secondary effect (OSE) event in the region of the city of Santa Maria - RS (29.68 degrees S, 53.80 degrees W) by means of a multi-instrumental analysis using the satellites TIMED/SABER, AURA/MLS, and OMI-ERS. Measurements were made in Sao Martinho da Serra/RS - Brazil (29.53 degrees S, 53.85 degrees W) using a sounding balloon and a Brewer Spectrophotometer. In addition, the present study aims to describe and analyse the influence that this stratospheric ozone reduction has on temperatures presented by these instruments, including data collected through the radio occultation technique. The event was first identified by the AURA/MLS satellite on 19 October 2016 over Uruguay. This reduction in ozone concentration was found by comparing the climatology for the years 1996-1998 for the state of Rio Grande do Sul, which is close to Uruguay. This event was already observed in Santa Maria/RS-Brazil on 20 October 2016 as presented by the OMI-ERS satellite and the Brewer Spectrophotometer. Moreover, a significant decrease was reported by the TIMED/SABER satellite in Uruguay. On 21 October, the poor ozone air mass was still over the region of interest, according to the OMI-ERS satellite, data from the sounding balloon launched in Santa Maria/RS-Brazil, and measurements made by the AURA/MLS satellite. Furthermore, the influence of ozone on the stratosphere temperature was observed during this period. Despite a continuous decrease detected in height, the temperature should have followed an increasing pattern in the stratospheric layer. Finally, the TIMED/SABER and OMI-ERS satellites showed that on 23 October, the air mass with low ozone concentration was moving away, and its layer, as well as the temperature, in the stratosphere was re-established.</t>
  </si>
  <si>
    <t>[Bresciani, Caroline; Bittencourt, Gabriela Dornelles; Pinheiro, Damaris Kirsch] Univ Fed Santa Maria, Santa Maria, RS, Brazil; [Bageston, Jose Valentin; Schuch, Nelson Jorge] Natl Inst Space Res, Southern Reg Space Res Ctr, Santa Maria, RS, Brazil; [Bencherif, Hassan] Univ Reunion Isl, LACy, UMR 8105, St Denis, Reunion, France; [Leme, Neusa Paes] Natl Inst Space Res, Northeast Reg Ctr, Natal, RN, Brazil; [Peres, Lucas Vaz] Fed Univ Western Para, Santarem, PA, Brazil</t>
  </si>
  <si>
    <t>Universidade Federal de Santa Maria (UFSM); Instituto Nacional de Pesquisas Espaciais (INPE); University of La Reunion; Centre National de la Recherche Scientifique (CNRS); CNRS - National Institute for Earth Sciences &amp; Astronomy (INSU); Instituto Nacional de Pesquisas Espaciais (INPE); Universidade Federal do Oeste do Para</t>
  </si>
  <si>
    <t>Bresciani, C (corresponding author), Univ Fed Santa Maria, Santa Maria, RS, Brazil.</t>
  </si>
  <si>
    <t>carolinefrbresciani@gmail.com</t>
  </si>
  <si>
    <t>Pinheiro, Damaris Kirsch/AAE-6120-2020; Bageston, Jose Valentin/F-1269-2018; Schuch, Nelson Jorge/K-9730-2015</t>
  </si>
  <si>
    <t>Pinheiro, Damaris Kirsch/0000-0001-6939-7091; Bageston, Jose V/0000-0003-2931-8488; Bresciani, Caroline/0000-0001-8335-2017</t>
  </si>
  <si>
    <t>Program of Scientific Initiation of the National Council for Scientific and Technological Development (PIBIC/CNPq-INPE) [129536/2017-2]; CNPq [461531/2014-3]; INCT-APA (CNPq) [574018/2008-5]; INCT-APA (FAPERJ) [E-26/170.023/2008]; Proantar/MCTIC/CNPq [52.0182/2006-5]; CAPES/COFECUB [88887.130176/2017-01]</t>
  </si>
  <si>
    <t>Program of Scientific Initiation of the National Council for Scientific and Technological Development (PIBIC/CNPq-INPE); CNPq(Conselho Nacional de Desenvolvimento Cientifico e Tecnologico (CNPQ)); INCT-APA (CNPq)(Conselho Nacional de Desenvolvimento Cientifico e Tecnologico (CNPQ)); INCT-APA (FAPERJ)(Fundacao Carlos Chagas Filho de Amparo a Pesquisa do Estado do Rio De Janeiro (FAPERJ)); Proantar/MCTIC/CNPq; CAPES/COFECUB(Coordenacao de Aperfeicoamento de Pessoal de Nivel Superior (CAPES))</t>
  </si>
  <si>
    <t>This study is part of the undergraduate and graduate programmes in meteorology of the Federal University of Santa Maria (UFSM). It was partially supported by the Program of Scientific Initiation of the National Council for Scientific and Technological Development (PIBIC/CNPq-INPE) under process no. 129536/2017-2. We would like to acknowledge the Southern Regional Space Research Center (CRS) and Southern Space Observatory (SSO) of the National Institute for Space Research (INPE-MCTIC) for the availability of their infrastructure. The authors are also grateful to NASA for the availability of the data from TIMED/SABER, AURA/MLS and OMI-ERS. We would also like to thank NOAA for the HYSPLIT model. The COSMIC data used in this study were provided by the CDAAC of the University Corporation for Atmospheric Research (UCAR) available at http://www.cosmic.ucar.edu/index.html. Jose V. Bageston would like to thank the CNPq for grant no. 461531/2014-3. The present study combines support from the INCT-APA (CNPq process no. 574018/2008-5 and FAPERJ process no. E-26/170.023/2008) in a project called Study of the Mesosphere, Stratosphere and Troposphere over Antarctica and its connections with South America (ATMANTAR), under process no. 52.0182/2006-5 of Proantar/MCTIC/CNPq and CAPES/COFECUB Program process no. 88887.130176/2017-01.</t>
  </si>
  <si>
    <t>10.5194/angeo-36-405-2018</t>
  </si>
  <si>
    <t>FZ6UY</t>
  </si>
  <si>
    <t>WOS:000427736500002</t>
  </si>
  <si>
    <t>Bittencourt, GD; Bresciani, C; Pinheiro, DK; Bageston, JV; Schuch, NJ; Bencherif, H; Leme, NP; Peres, LV</t>
  </si>
  <si>
    <t>Bittencourt, Gabriela Dornelles; Bresciani, Caroline; Pinheiro, Damaris Kirsch; Bageston, Jose Valentin; Schuch, Nelson Jorge; Bencherif, Hassan; Leme, Neusa Paes; Peres, Lucas Vaz</t>
  </si>
  <si>
    <t>A major event of Antarctic ozone hole influence in southern Brazil in October 2016: an analysis of tropospheric and stratospheric dynamics</t>
  </si>
  <si>
    <t>Atmospheric composition and structure (middle atmosphere - composition and chemistry)</t>
  </si>
  <si>
    <t>POLAR VORTEX; REGION; SYSTEM</t>
  </si>
  <si>
    <t>The Antarctic ozone hole is a cyclical phenomenon that occurs during the austral spring where there is a large decrease in ozone content in the Antarctic region. Ozone-poor air mass can be released and leave through the Antarctic ozone hole, thus reaching midlatitude regions. This phenomenon is known as the secondary effect of the Antarctic ozone hole. The objective of this study is to show how tropospheric and stratospheric dynamics behaved during the occurrence of this event. The ozone-poor air mass began to operate in the region on 20 October 2016. A reduction of ozone content of approximately 23% was observed in relation to the climatology average recorded between 1992 and 2016. The same air mass persisted over the region and a drop of 19.8% ozone content was observed on 21 October. Evidence of the 2016 event occurred through daily mean measurements of the total ozone column made with a surface instrument (Brewer MkIII no. 167 Spectrophotometer) located at the Southern Space Observatory (29.42 degrees S, 53.87 degrees W) in Sao Martinho da Serra, Rio Grande do Sul. Tropospheric dynamic analysis showed a post-frontal high pressure system on 20 and 21 October 2016, with pressure levels at sea level and thickness between 1000 and 500 hPa. Horizontal wind cuts at 250 hPa and omega values at 500 hPa revealed the presence of subtropical jet streams. When these streams were allied with positive omega values at 500 hPa and a high pressure system in southern Brazil and Uruguay, the advance of the ozone-poor air mass that caused intense reductions in total ozone content could be explained.</t>
  </si>
  <si>
    <t>[Bittencourt, Gabriela Dornelles; Bresciani, Caroline; Pinheiro, Damaris Kirsch] Univ Fed Santa Maria, Santa Maria, RS, Brazil; [Bageston, Jose Valentin; Schuch, Nelson Jorge] Natl Inst Space Res, Southern Reg Space Res Ctr, Santa Maria, RS, Brazil; [Bencherif, Hassan] Univ Reunion Isl, LACy, UMR 8105, St Denis, Reunion, France; [Leme, Neusa Paes] Natl Inst Space Res, Northeast Reg Ctr, Natal, RN, Brazil; [Peres, Lucas Vaz] Fed Univ Western Para, Santarem, PA, Brazil</t>
  </si>
  <si>
    <t>Universidade Federal de Santa Maria (UFSM); Instituto Nacional de Pesquisas Espaciais (INPE); Centre National de la Recherche Scientifique (CNRS); CNRS - National Institute for Earth Sciences &amp; Astronomy (INSU); University of La Reunion; Instituto Nacional de Pesquisas Espaciais (INPE); Universidade Federal do Oeste do Para</t>
  </si>
  <si>
    <t>Bittencourt, GD (corresponding author), Univ Fed Santa Maria, Santa Maria, RS, Brazil.</t>
  </si>
  <si>
    <t>gadornellesbittencourt@gmail.com</t>
  </si>
  <si>
    <t>Schuch, Nelson Jorge/K-9730-2015; Bageston, Jose Valentin/F-1269-2018; Pinheiro, Damaris Kirsch/AAE-6120-2020</t>
  </si>
  <si>
    <t>Pinheiro, Damaris Kirsch/0000-0001-6939-7091; Bresciani, Caroline/0000-0001-8335-2017; Bageston, Jose V/0000-0003-2931-8488</t>
  </si>
  <si>
    <t>Coordination of Improvement of Higher Education Personnel (CAPES); CAPES/COFECUB [88887.130176/2017-01]; National Institute of Antarctic Science and Technology for Environmental Research, CNPq [574018/2008-5]; FAPERJ [E-16/170.023/2008]</t>
  </si>
  <si>
    <t>Coordination of Improvement of Higher Education Personnel (CAPES)(Coordenacao de Aperfeicoamento de Pessoal de Nivel Superior (CAPES)); CAPES/COFECUB(Coordenacao de Aperfeicoamento de Pessoal de Nivel Superior (CAPES)); National Institute of Antarctic Science and Technology for Environmental Research, CNPq; FAPERJ(Fundacao Carlos Chagas Filho de Amparo a Pesquisa do Estado do Rio De Janeiro (FAPERJ))</t>
  </si>
  <si>
    <t>This work is part of the Graduate Program in Meteorology of the Federal University of Santa Maria (UFSM) in cooperation with the Regional Space Center Research (CRS) and National Institute of Space Research (MCTIC/INPE), supported by the Coordination of Improvement of Higher Education Personnel (CAPES). The authors would like to express their thanks to CAPES/COFECUB Program, process no. 88887.130176/2017-01, and National Institute of Antarctic Science and Technology for Environmental Research, CNPq process no. 574018/2008-5 and FAPERJ process no. E-16/170.023/2008, for the financial support. The authors also thank NASA for the OMI data, CPTEC/INPE for satellite images, and ECMWF/ERA-Interim for daily average data.</t>
  </si>
  <si>
    <t>10.5194/angeo-36-415-2018</t>
  </si>
  <si>
    <t>WOS:000427736500003</t>
  </si>
  <si>
    <t>Mora, A; García-Peña, FJ; Alonso, MP; Pedraza-Diaz, S; Ortega-Mora, LM; Garcia-Parraga, D; López, C; Viso, S; Dahbi, G; Marzoa, J; Sergeant, MJ; García, V; Blanco, J</t>
  </si>
  <si>
    <t>Mora, Azucena; Javier Garcia-Pena, Francisco; Pilar Alonso, Maria; Pedraza-Diaz, Susana; Miguel Ortega-Mora, Luis; Garcia-Parraga, Daniel; Lopez, Cecilia; Viso, Susana; Dahbi, Ghizlane; Marzoa, Juan; Sergeant, Martin J.; Garcia, Vanesa; Blanco, Jorge</t>
  </si>
  <si>
    <t>Impact of human-associated Escherichia coli clonal groups in Antarctic pinnipeds: presence of ST73, ST95, ST141 and ST131</t>
  </si>
  <si>
    <t>ANTIMICROBIAL RESISTANCE; MOLECULAR EPIDEMIOLOGY; POPULATION-STRUCTURE; VIRULENCE; IDENTIFICATION; DISSEMINATION; EMERGENCE; BACTERIA; WILDLIFE; STRAINS</t>
  </si>
  <si>
    <t>There is growing concern about the spreading of human microorganisms in relatively untouched ecosystems such as the Antarctic region. For this reason, three pinniped species (Leptonychotes weddellii, Mirounga leonina and Arctocephalus gazella) from the west coast of the Antartic Peninsula were analysed for the presence of Escherichia spp. with the recovery of 158 E. coli and three E. albertii isolates. From those, 23 harboured different eae variants (alpha 1, beta 1, beta 2, epsilon 1, theta 1, kappa, o), including a bfpA-positive isolate (O49: H10-A-ST206, eae-k) classified as typical enteropathogenic E. coli. Noteworthy, 62 of the 158 E. coli isolates (39.2%) exhibited the ExPEC status and 27 (17.1%) belonged to sequence types (ST) frequently occurring among urinary/bacteremia ExPEC clones: ST12, ST73, ST95, ST131 and ST141. We found similarities &gt;85% within the PFGE-macrorrestriction profiles of pinniped and human clinic O2: H6-B2-ST141 and O16: H5/O25b: H4-B2-ST131 isolates. The in silico analysis of ST131 Cplx genomes from the three pinnipeds (five O25: H4-ST131/PST43-fimH22-virotype D; one O16: H5-ST131/PST506-fimH41; one O25: H4-ST6252/PST9-fimH22-virotype D1) identified IncF and IncI1 plasmids and revealed high core-genome similarities between pinniped and human isolates (H22 and H41 subclones). This is the first study to demonstrate the worrisome presence of human-associated E. coli clonal groups, including ST131, in Antarctic pinnipeds.</t>
  </si>
  <si>
    <t>[Mora, Azucena; Lopez, Cecilia; Viso, Susana; Dahbi, Ghizlane; Marzoa, Juan; Garcia, Vanesa; Blanco, Jorge] USC, LREC, Dept Microbiol &amp; Parasitol, Fac Vet, Lugo, Spain; [Javier Garcia-Pena, Francisco] Minist Agr &amp; Pesca Alimentac &amp; Medio Ambiente, Lab Cent Vet Algete, Ctra Madrid Algete Km 8, Madrid, Spain; [Pilar Alonso, Maria] HULA, Microbiol Serv, Lugo, Spain; [Pedraza-Diaz, Susana; Miguel Ortega-Mora, Luis] Univ Complutense Madrid, Fac Vet Sci, Anim Hlth Dept, SALUVET, Madrid, Spain; [Garcia-Parraga, Daniel] Oceanog Ciudad Artes &amp; Ciencias, Valencia, Spain; [Sergeant, Martin J.] Univ Warwick, Warwick Med Sch, Microbiol &amp; Infect Unit, Coventry, W Midlands, England; [Pedraza-Diaz, Susana] Inst Hlth Carlos III, Environm Toxicol, Natl Ctr Environm Hlth CNSA, Madrid, Spain</t>
  </si>
  <si>
    <t>Universidade de Santiago de Compostela; Hospital Universitario Lucus Augusti-Lugo; Complutense University of Madrid; University of Warwick; Instituto de Salud Carlos III; Centro Nacional de Sanidad Ambiental (CNSA)</t>
  </si>
  <si>
    <t>Mora, A (corresponding author), USC, LREC, Dept Microbiol &amp; Parasitol, Fac Vet, Lugo, Spain.</t>
  </si>
  <si>
    <t>azucena.mora@usc.es</t>
  </si>
  <si>
    <t>López, Cecilia/T-3281-2019; Pedraza-Diaz, Susana/HGB-3199-2022; Ortega-Mora, Luis Miguel/AFT-0684-2022; GarcÃa, Vanesa/Y-5086-2019; Blanco, Jorge/C-7161-2013; Mora Gutierrez, Azucena del Carmen/F-4612-2016; Marzoa Fandino, Juan/F-8993-2016; Pedraza-Diaz, Susana/F-3988-2018</t>
  </si>
  <si>
    <t>López, Cecilia/0000-0002-4290-9250; Ortega-Mora, Luis Miguel/0000-0002-4986-6783; GarcÃa, Vanesa/0000-0001-5459-8325; Blanco, Jorge/0000-0003-0264-4136; Alonso Garcia, Maria Pilar/0000-0002-6094-3903; Garcia Parraga, Daniel/0000-0002-3335-5831; Sergeant, Martin/0000-0001-7264-2668; Mora Gutierrez, Azucena del Carmen/0000-0002-0785-5795; Marzoa Fandino, Juan/0000-0001-6866-600X; Pedraza-Diaz, Susana/0000-0001-9401-6473</t>
  </si>
  <si>
    <t>Spanish Ministry of Science and Innovation [CGL-2005-25073-E/ANT, CTM2008-00570]; Sea World &amp; Bush Gardens Conservation Fund; Ministerio de Economia y Competitividad (MINECO, Spain) [AGL2013-47852-R]; Fondo Europeo de Desarrollo Regional (FEDER); Agencia Estatal de Investigacion (AEI, Spain) [AGL2016-79343-R]; FEDER; Plan Estatal de I + D + I, Instituto de Salud Carlos III (ISCIII), Subdireccion General de Evaluacion y Fomento de la Investigacion [PI16/01477]; Conselleria de Cultura, Educacion e Ordenacion Universitaria, (Xunta de Galicia) [CN2012/303, ED431C 2017/57]; Ministerio de Educacion, Cultura y Deporte (Spain)</t>
  </si>
  <si>
    <t>Spanish Ministry of Science and Innovation(Spanish Government); Sea World &amp; Bush Gardens Conservation Fund; Ministerio de Economia y Competitividad (MINECO, Spain)(Spanish Government); Fondo Europeo de Desarrollo Regional (FEDER)(European Union (EU)Spanish Government); Agencia Estatal de Investigacion (AEI, Spain)(Spanish Government); FEDER(European Union (EU)Spanish Government); Plan Estatal de I + D + I, Instituto de Salud Carlos III (ISCIII), Subdireccion General de Evaluacion y Fomento de la Investigacion; Conselleria de Cultura, Educacion e Ordenacion Universitaria, (Xunta de Galicia)(Xunta de Galicia); Ministerio de Educacion, Cultura y Deporte (Spain)(Spanish Government)</t>
  </si>
  <si>
    <t>The sampling was funded by the Spanish Ministry of Science and Innovation (CGL-2005-25073-E/ANT and CTM2008-00570) and the Sea World &amp; Bush Gardens Conservation Fund. Work at USC-LREC was supported by projects AGL2013-47852-R from the Ministerio de Economia y Competitividad (MINECO, Spain) and Fondo Europeo de Desarrollo Regional (FEDER); AGL2016-79343-R from the Agencia Estatal de Investigacion (AEI, Spain) and FEDER; PI16/01477 from Plan Estatal de I + D + I 2013-2016, Instituto de Salud Carlos III (ISCIII), Subdireccion General de Evaluacion y Fomento de la Investigacion, and FEDER; CN2012/303 and ED431C 2017/57 from the Conselleria de Cultura, Educacion e Ordenacion Universitaria, (Xunta de Galicia) and FEDER. We would like to thank the military personnel at the Spanish Antarctic Base Gabriel de Castilla for their help and assistance and the Marine Technology Unit (CSIC), the Spanish Navy's Oceanographic Research Ship Las Palmas and the Unidad de Tecnologia Maritima (UTM, CSIC) for logistics and transport. We also express our gratitude to J. Castro-Urda, F.T. Garcia-Moreno, C. Rengifo-Herrera, S. Rojo-Montejo, I. Ferre, V. Navarro, M. Gomez-Bautista, T. Alvaro-Alvarez and J. Coello-Perez for their invaluable help in the sample collection. A. Mora acknowledges the Ministerio de Educacion, Cultura y Deporte (Spain) for the mobility grant for teachers and researchers from the Programa Estatal de Promocion del Talento y su Empleabilidad, Plan Estatal de Investigacion Cientifica y Tecnica y de Innovacion 2013-2016.</t>
  </si>
  <si>
    <t>10.1038/s41598-018-22943-0</t>
  </si>
  <si>
    <t>FZ4UC</t>
  </si>
  <si>
    <t>WOS:000427586500002</t>
  </si>
  <si>
    <t>Behrens, MK; Pahnke, K; Paffrath, R; Schnetger, B; Brumsack, HJ</t>
  </si>
  <si>
    <t>Behrens, Melanie K.; Pahnke, Katharina; Paffrath, Ronja; Schnetger, Bernhard; Brumsack, Hans-Juergen</t>
  </si>
  <si>
    <t>Rare earth element distributions in the West Pacific: Trace element sources and conservative vs. non-conservative behavior</t>
  </si>
  <si>
    <t>rare earth elements; West Pacific; GEOTRACES</t>
  </si>
  <si>
    <t>EQUATORIAL PACIFIC; NEODYMIUM ISOTOPES; GEOTRACES INTERCALIBRATION; ATLANTIC SECTOR; SOUTH-PACIFIC; DISSOLVED ND; WATER; OCEAN; SEAWATER; CIRCULATION</t>
  </si>
  <si>
    <t>Recent studies suggest that transport and water mass mixing may play a dominant role in controlling the distribution of dissolved rare earth element concentrations ([REE]) at least in parts of the North and South Atlantic and the Pacific Southern Ocean. Here we report vertically and spatially high-resolution profiles of dissolved REE concentrations ([REE]) along a NW-SE transect in the West Pacific and examine the processes affecting the [REE] distributions in this area. Surface water REE patterns reveal sources of trace element (TE) input near South Korea and in the tropical equatorial West Pacific. Positive europium anomalies and middle REE enrichments in surface and subsurface waters are indicative of TE input from volcanic islands and fingerprint in detail small-scale equatorial zonal eastward transport of TEs to the iron-limited tropical East Pacific. The low [REE] of North and South Pacific Tropical Waters and Antarctic Intermediate Water are a long-range (i.e., preformed) laterally advected signal, whereas increasing [REE] with depth within North Pacific Intermediate Water result from release from particles. Optimum multiparameter analysis of deep to bottom waters indicates a dominant control of lateral transport and mixing on [REE] at the depth of Lower Circumpolar Deep Water (&gt;3000 m water depth: 75-100% explained by water mass mixing), allowing the northward tracing of LCDW to 28 N in the Northwest Pacific. In contrast, scavenging in the hydrothermal plumes of the Lau Basin and Tonga-Fiji area at 1500-2000 m water depth leads to [REE] deficits (similar to 40-60% removal) and marked REE fractionation in the tropical West Pacific. Overall, our data provide evidence for active trace element input both near South Korea and Papua New Guinea, and for a strong lateral transport component in the distribution of dissolved REEs in large parts of the West Pacific. (C) 2018 Elsevier B.V. All rights reserved.</t>
  </si>
  <si>
    <t>[Behrens, Melanie K.; Pahnke, Katharina; Paffrath, Ronja] Carl von Ossietzky Univ Oldenburg, Inst Chem &amp; Biol Marine Environm ICBM, Max Planck Res Grp Marine Isotope Geochem, Carl von Ossietzky Str 9-11, D-26129 Oldenburg, Germany; [Schnetger, Bernhard; Brumsack, Hans-Juergen] Carl von Ossietzky Univ Oldenburg, Microbiogeochem, Inst Chem &amp; Biol Marine Environm ICBM, Carl von Ossietzky Str 9-11, D-26129 Oldenburg, Germany</t>
  </si>
  <si>
    <t>Carl von Ossietzky Universitat Oldenburg; Carl von Ossietzky Universitat Oldenburg</t>
  </si>
  <si>
    <t>Behrens, MK (corresponding author), Carl von Ossietzky Univ Oldenburg, Inst Chem &amp; Biol Marine Environm ICBM, Max Planck Res Grp Marine Isotope Geochem, Carl von Ossietzky Str 9-11, D-26129 Oldenburg, Germany.</t>
  </si>
  <si>
    <t>mbehrens@mpi-bremen.de; kpahnke@mpi-bremen.de; rpaffrat@mpi-bremen.de; b.schnetger@icbm.de; brumsack@icbm.de</t>
  </si>
  <si>
    <t>Brumsack, Hans-Jürgen/O-7942-2016</t>
  </si>
  <si>
    <t>Pahnke, Katharina/0000-0001-9114-8411; Behrens, Melanie K./0000-0001-6013-6178; Schnetger, Bernhard/0000-0003-1638-3977</t>
  </si>
  <si>
    <t>German Research Foundation (DFG) [PA2411/1-1]; Institute for Chemistry and Biology of the Marine Environment (ICBM); Max Planck Institute for Marine Microbiology</t>
  </si>
  <si>
    <t>German Research Foundation (DFG)(German Research Foundation (DFG)); Institute for Chemistry and Biology of the Marine Environment (ICBM); Max Planck Institute for Marine Microbiology(Max Planck Society)</t>
  </si>
  <si>
    <t>We thank the scientific party, captain and crew of RN Sonne cruise SO223T, particularly chief-scientist Mahyar Mohtadi. We thank all members of the Max Planck Research Group at the University of Oldenburg, especially M. Schulz and P. Boning, for their help in the lab. We thank the Associate Editor D. Vance, and Brian Haley and two anonymous reviewers for their very constructive reviews that significantly improved the manuscript. Financial support for this study came from the German Research Foundation (DFG, PA2411/1-1), the Institute for Chemistry and Biology of the Marine Environment (ICBM), and the Max Planck Institute for Marine Microbiology.</t>
  </si>
  <si>
    <t>MAR 15</t>
  </si>
  <si>
    <t>10.1016/j.epsl.2018.01.016</t>
  </si>
  <si>
    <t>FY8GR</t>
  </si>
  <si>
    <t>WOS:000427102700016</t>
  </si>
  <si>
    <t>Hou, H; Wang, SK; Zhu, X; Li, QQ; Fan, Y; Cheng, D; Li, BF</t>
  </si>
  <si>
    <t>Hou, Hu; Wang, Shikai; Zhu, Xiao; Li, Qiqi; Fan, Yan; Cheng, Dong; Li, Bafang</t>
  </si>
  <si>
    <t>A novel calcium-binding peptide from Antarctic krill protein hydrolysates and identification of binding sites of calcium-peptide complex</t>
  </si>
  <si>
    <t>Calcium-binding peptide; Protein hydrolysates; Amino acid sequence; Purification; Antarctic krill; Chelating site; Molecular dynamic simulation</t>
  </si>
  <si>
    <t>ANTIOXIDANT PEPTIDES; EUPHAUSIA-SUPERBA; PURIFICATION; MECHANISMS; CAPACITY; ACID</t>
  </si>
  <si>
    <t>Trypsin was used for preparing peptides with high calcium-binding capacity from Antarctic krill. Hydroxyapatite chromatography (HAC), size-exclusion chromatography (SEC), and reversed phase high performance liquid chromatography (RP-HPLC) were used to capture and purify calcium-binding peptides. The peptide sequence was determined to be VLGYIQIR (N-to C-terminal, MW = 960.58 Da), using LTQ Orbitrap XL. According to the results of FTIR and mass spectrometry, chelating site of calcium ions may possibly involve the carbonal or amino groups of Gln, Ile and Arg residues. Molecular dynamic simulation showed the conformation of peptide was markedly varied, and the distance between calcium ion and Gln and Ile residues was changing all the time. However, the distance between calcium ion and carboxyl oxygen of arginine residues was not changed significantly from 2 ns to 100 ns. Identified peptide can be used as a novel calcium supplement.</t>
  </si>
  <si>
    <t>[Hou, Hu; Wang, Shikai; Li, Qiqi; Fan, Yan; Cheng, Dong; Li, Bafang] Ocean Univ China, Coll Food Sci &amp; Engn, 5 Yu Shan Rd, Qingdao 266003, Shandong, Peoples R China; [Zhu, Xiao] Purdue Univ, Rosen Ctr Adv Comp, Res Comp, W Lafayette, IN 47907 USA</t>
  </si>
  <si>
    <t>Ocean University of China; Purdue University System; Purdue University</t>
  </si>
  <si>
    <t>Hou, H (corresponding author), Ocean Univ China, Coll Food Sci &amp; Engn, 5 Yu Shan Rd, Qingdao 266003, Shandong, Peoples R China.</t>
  </si>
  <si>
    <t>houhu@ouc.edu.cn</t>
  </si>
  <si>
    <t>Li, bo/IWL-9318-2023; Li, Ye/JBS-2949-2023</t>
  </si>
  <si>
    <t>National Natural Science Foundation of China [31401476, 31471606]; Key Research &amp; Development Plan of Shandong Province [2016YYSP005]</t>
  </si>
  <si>
    <t>National Natural Science Foundation of China(National Natural Science Foundation of China (NSFC)); Key Research &amp; Development Plan of Shandong Province</t>
  </si>
  <si>
    <t>This work was supported by National Natural Science Foundation of China (Nos. 31401476 and 31471606), and Key Research &amp; Development Plan of Shandong Province (No. 2016YYSP005).</t>
  </si>
  <si>
    <t>10.1016/j.foodchem.2017.09.152</t>
  </si>
  <si>
    <t>FM4DM</t>
  </si>
  <si>
    <t>WOS:000414961700049</t>
  </si>
  <si>
    <t>Janssens, J; Meiners, KM; Townsend, AT; Lannuzel, D</t>
  </si>
  <si>
    <t>Janssens, Julie; Meiners, Klaus M.; Townsend, Ashley T.; Lannuzel, Delphine</t>
  </si>
  <si>
    <t>Organic Matter Controls of Iron Incorporation in Growing Sea Ice</t>
  </si>
  <si>
    <t>sea ice; iron; EPS; organic matter; organic ligands; incorporation; Antarctica</t>
  </si>
  <si>
    <t>TRANSPARENT EXOPOLYMER PARTICLES; POLYMERIC SUBSTANCES EPS; ANTARCTIC PACK ICE; DISSOLVED IRON; SPATIAL VARIABILITY; WATER INTERFACE; TRACE-METALS; ROSS SEA; OCEAN; PHYTOPLANKTON</t>
  </si>
  <si>
    <t>This study presents the first laboratory-controlled sea-ice growth experiment conducted under trace metal clean conditions. The role played by organic matter in the incorporation of iron (Fe) into sea ice was investigated by means of laboratory ice-growth experiments using a titanium cold-finger apparatus. Experiments were also conducted to understand the role of extracellular polymeric substances (EPS) in the enrichment of ammonium in sea ice. Sea ice was grown from several seawater solutions containing different quantities and qualities of particulate Fe (PFe), dissolved Fe (DFe) and organic matter. Sea ice and seawater were analyzed for particulate organic carbon and nitrogen, macro-nutrients, EPS, PFe, and DFe, and particulate aluminum. The experiments showed that biogenic PFe is preferentially incorporated into sea ice compared to lithogenic PFe. Furthermore, sea ice grown from ultra-violet (UV) and non-UV treated seawaters exhibits contrasting incorporation rates of organic matter and Fe. Whereas, the effects of UV-treatments were not always significant, we do find indications that the type or organic matter controls the enrichment of Fe in forming sea ice. Specifically, we come to the conclusion that the incorporation of DFe is favored by the presence of organic ligands in the source solution.</t>
  </si>
  <si>
    <t>[Janssens, Julie; Lannuzel, Delphine] Univ Tasmania, Inst Marine &amp; Antarctic Studies, Hobart, Tas, Australia; [Janssens, Julie; Meiners, Klaus M.; Lannuzel, Delphine] Univ Tasmania, Antarctic Climate &amp; Ecosyst Cooperat Res Ctr, Hobart, Tas, Australia; [Janssens, Julie; Meiners, Klaus M.] Australian Antarctic Div, Dept Environm &amp; Energy, Kingston, Tas, Australia; [Townsend, Ashley T.] Univ Tasmania, Cent Sci Lab, Hobart, Tas, Australia</t>
  </si>
  <si>
    <t>University of Tasmania; University of Tasmania; Antarctic Climate &amp; Ecosystems Cooperative Research Centre (ACE CRC); Australian Antarctic Division; University of Tasmania</t>
  </si>
  <si>
    <t>Janssens, J (corresponding author), Univ Tasmania, Inst Marine &amp; Antarctic Studies, Hobart, Tas, Australia.;Janssens, J (corresponding author), Univ Tasmania, Antarctic Climate &amp; Ecosyst Cooperat Res Ctr, Hobart, Tas, Australia.;Janssens, J (corresponding author), Australian Antarctic Div, Dept Environm &amp; Energy, Kingston, Tas, Australia.</t>
  </si>
  <si>
    <t>julie.janssens@csiro.au</t>
  </si>
  <si>
    <t>Townsend, Ashley/J-7445-2014; lannuzel, delphine/J-7937-2014</t>
  </si>
  <si>
    <t>Townsend, Ashley/0000-0002-2972-2678; Janssens, Julie/0000-0003-1789-9940; lannuzel, delphine/0000-0001-6154-1837</t>
  </si>
  <si>
    <t>Australian Research Council [LE0989539, DE120100030]; Australian Government's Cooperative Research Centres Programme through the Antarctic Climate &amp; Ecosystems Cooperative Research Centre (ACE CRC); Australian Antarctic Science (AAS) [4051, 4298]; Quantitative Antarctic Science Program; Australian Research Council [DE120100030] Funding Source: Australian Research Council</t>
  </si>
  <si>
    <t>Australian Research Council(Australian Research Council); Australian Government's Cooperative Research Centres Programme through the Antarctic Climate &amp; Ecosystems Cooperative Research Centre (ACE CRC)(Australian GovernmentDepartment of Industry, Innovation and ScienceCooperative Research Centres (CRC) Programme); Australian Antarctic Science (AAS); Quantitative Antarctic Science Program; Australian Research Council(Australian Research Council)</t>
  </si>
  <si>
    <t>This work was funded by the Australian Research Council (LE0989539 and DE120100030), the Australian Government's Cooperative Research Centres Programme through the Antarctic Climate &amp; Ecosystems Cooperative Research Centre (ACE CRC) and the Australian Antarctic Science (AAS) projects 4051 and 4298. JJ was supported by the Quantitative Antarctic Science Program jointly led by the University of Tasmania and the Australian Antarctic Division..</t>
  </si>
  <si>
    <t>10.3389/feart.2018.00022</t>
  </si>
  <si>
    <t>GC5XR</t>
  </si>
  <si>
    <t>WOS:000429864600001</t>
  </si>
  <si>
    <t>Li, QZ; Chen, P; Sun, LL; Ma, XP</t>
  </si>
  <si>
    <t>Li, Qinzheng; Chen, Peng; Sun, Langlang; Ma, Xiaping</t>
  </si>
  <si>
    <t>A global weighted mean temperature model based on empirical orthogonal function analysis</t>
  </si>
  <si>
    <t>ADVANCES IN SPACE RESEARCH</t>
  </si>
  <si>
    <t>Empirical orthogonal function (EOF); Weighted mean temperature; Accuracy and precision validation; Spatial-temporal characteristics</t>
  </si>
  <si>
    <t>ZENITH WET DELAYS; WATER-VAPOR; GPS</t>
  </si>
  <si>
    <t>A global empirical orthogonal function (EOF) model of the tropospheric weighted mean temperature called GEOFM_Tm was developed using high-precision Global Geodetic Observing System (GGOS) Atmosphere T-m data during the years 2008-2014. Due to the quick convergence of EOF decomposition, it is possible to use the first four EOF series, which consists base functions U-k and associated coefficients P-k, to represent 99.99% of the overall variance of the original data sets and its spatial-temporal variations. Results show that U-1 displays a prominent latitude distribution profile with positive peaks located at low latitude region. U-2 manifests an asymmetric pattern that positive values occurred over 30 degrees in the Northern Hemisphere, and negative values were observed at other regions. U-3 and U-4 displayed significant anomalies in Tibet and North America, respectively. Annual variation is the major component of the first and second associated coefficients P-1 and P-2, whereas P-3 and P-4 mainly reflects both annual and semi-annual variation components. Furthermore, the performance of constructed GEOFM T-m was validated by comparison with GTm_III and GTm_N with different kinds of data including GGOS Atmosphere T data in 2015 and radiosonde data from Integrated Global Radiosonde Archive (IGRA) in 2014. Generally speaking, GEOFM_Tm can achieve the same accuracy and reliability as GTm_III and GTm_N models in a global scale, even has improved in the Antarctic and Greenland regions. The MAE and RMS of GEOFM T-m tend to be 2.49 K and 3.14 K with respect to GGOS T-m data, respectively; and 3.38 K and 4.23 K with respect to IGRA sounding data, respectively. In addition, those three models have higher precision at low latitude than middle and high latitude regions. The magnitude of T-m remains at the range of 220-300 K, presented a high correlation with geographic latitude. In the Northern Hemisphere, there was a significant enhancement at high latitude region reaching 270 K during summer. GEOFM_Tm is capable to represent the spatiotemporal variations of T-m, with the high accuracy and reliability in a global scale, therefore, will be of great significance to the real-time GNSS water vapor inversion and climate studies. (C) 2017 COSPAR. Published by Elsevier Ltd. All rights reserved.</t>
  </si>
  <si>
    <t>[Li, Qinzheng; Chen, Peng; Ma, Xiaping] Xian Univ Sci &amp; Technol, Coll Geomat, Xian 710054, Shaanxi, Peoples R China; [Sun, Langlang] Wuhan Univ, Sch Geodesy &amp; Geomat, Wuhan 430079, Hubei, Peoples R China</t>
  </si>
  <si>
    <t>Xi'an University of Science &amp; Technology; Wuhan University</t>
  </si>
  <si>
    <t>Chen, P (corresponding author), Xian Univ Sci &amp; Technol, Coll Geomat, Xian 710054, Shaanxi, Peoples R China.</t>
  </si>
  <si>
    <t>chenpeng0123@gmail.com</t>
  </si>
  <si>
    <t>Chen, Peng/L-1085-2015</t>
  </si>
  <si>
    <t>Chen, Peng/0000-0002-8150-0853; Li, Qinzheng/0000-0002-1508-1216</t>
  </si>
  <si>
    <t>National Natural Science Foundation of China [41404031]; Outstanding Youth Science Fund of Xi'an University of Science and Technology [2018YQ2-10]</t>
  </si>
  <si>
    <t>National Natural Science Foundation of China(National Natural Science Foundation of China (NSFC)); Outstanding Youth Science Fund of Xi'an University of Science and Technology</t>
  </si>
  <si>
    <t>We are gratitude to 'GGOS Atmosphere' for providing Tm grid data, and greatly acknowledge IGRA data center for offering sounding data too. This research was supported by the National Natural Science Foundation of China (41404031) and Outstanding Youth Science Fund of Xi'an University of Science and Technology (2018YQ2-10).</t>
  </si>
  <si>
    <t>0273-1177</t>
  </si>
  <si>
    <t>1879-1948</t>
  </si>
  <si>
    <t>ADV SPACE RES</t>
  </si>
  <si>
    <t>Adv. Space Res.</t>
  </si>
  <si>
    <t>10.1016/j.asr.2017.12.031</t>
  </si>
  <si>
    <t>Engineering, Aerospace; Astronomy &amp; Astrophysics; Geosciences, Multidisciplinary; Meteorology &amp; Atmospheric Sciences</t>
  </si>
  <si>
    <t>Engineering; Astronomy &amp; Astrophysics; Geology; Meteorology &amp; Atmospheric Sciences</t>
  </si>
  <si>
    <t>GA7EH</t>
  </si>
  <si>
    <t>WOS:000428496900002</t>
  </si>
  <si>
    <t>Stepien, A; Blachowiak-Samolyk, K; Krawczuk, M; Angel, MV</t>
  </si>
  <si>
    <t>Stepien, A.; Blachowiak-Samolyk, K.; Krawczuk, M.; Angel, M. V.</t>
  </si>
  <si>
    <t>A revision of the genus Boroecia Poulsen 1973 (Ostracoda, Halocypridae) with the descriptions of three new species</t>
  </si>
  <si>
    <t>halocyprids; Boroecia; Atlantic; Southern Ocean; North Pacific; geographic distribution; bathymetric ranges; meristic data</t>
  </si>
  <si>
    <t>PLANKTONIC OSTRACODS; ANTARCTIC PENINSULA; NORTHEAST ATLANTIC; PELAGIC OSTRACODA; ARCTIC-OCEAN; WATERS; DISTRIBUTIONS; COMMUNITY; BASIN</t>
  </si>
  <si>
    <t>The halocyprid ostracod genus Boroecia Poulsen, 1973 is described in detail and Boroecia borealis (Sars, 1866) is nominated as type species. We unravel several taxonomic confusions and uncertainties in the earlier literature that had their origins in the classification of Boroecia maxima and Boroecia antipoda (Muller, 1906) as subspecies of Boroecia borealis. Three new species are described, B. alaska n. sp., and B. danae n. sp. from the Pacific and B. hopcrofti n. sp. from the high Arctic, bringing the total number of species in the genus to six. Five of the species are described in detail, the only exception is Boroecia maxima (Brady &amp; Norman, 1896), for which there is already a full description in the literature. Comparative illustrations are provided for all the species together with standardised meristic data. A key to the identity all six species is included.</t>
  </si>
  <si>
    <t>[Stepien, A.; Blachowiak-Samolyk, K.; Krawczuk, M.] Polish Acad Sci, Inst Oceanol, Powstancow Warszawy 55, PL-81712 Sopot, Poland; [Stepien, A.] Univ Lodz, Banacha 12-16, PL-90237 Lodz, Poland; [Angel, M. V.] Nat Hist Museum, Zool Dept, Cromwell Rd, London SW7 5BD, England</t>
  </si>
  <si>
    <t>Polish Academy of Sciences; Institute of Oceanology of the Polish Academy of Sciences; University of Lodz; Natural History Museum London</t>
  </si>
  <si>
    <t>Stepien, A (corresponding author), Polish Acad Sci, Inst Oceanol, Powstancow Warszawy 55, PL-81712 Sopot, Poland.;Stepien, A (corresponding author), Univ Lodz, Banacha 12-16, PL-90237 Lodz, Poland.</t>
  </si>
  <si>
    <t>astepien@iopan.gda.pl</t>
  </si>
  <si>
    <t>Krawczuk, Marek/AAB-7758-2022; Stepien, Anna/HLW-6260-2023</t>
  </si>
  <si>
    <t>Krawczuk, Marek/0000-0003-2572-7065; Stepien, Anna/0000-0001-6447-8247; Blachowiak-Samolyk, Katarzyna/0000-0001-8076-2168</t>
  </si>
  <si>
    <t>NOAA's office of Ocean Exploration [NA050AR4601079]; Arctic Ocean Biodiversity (ArcOD) project of the Census of Marine Life; Polish Ministry of Science and Higher Education; project IMOS [3550/Norway/2016/2]</t>
  </si>
  <si>
    <t>NOAA's office of Ocean Exploration(National Oceanic Atmospheric Admin (NOAA) - USA); Arctic Ocean Biodiversity (ArcOD) project of the Census of Marine Life; Polish Ministry of Science and Higher Education(Ministry of Science and Higher Education, Poland); project IMOS</t>
  </si>
  <si>
    <t>We are grateful to Ksenia Kosobokova for the considerable effort she contributed in sorting the halocyprids from the Arctic samples, to Russ Hopcroft for arranging our visit to Fairbanks to work on the samples and for his immense hospitality offered to us during the visit. We thank Vladimir Chavtur for providing information on Russian research and copies of his publications. Our special thanks go to Prof Claudio Richter for sharing with us his archived halocyprid material from the Greenland Sea, which has enabled us to clarify one of the uncertainties in the halocyprid literature, Dr Erica Head for providing the samples from the Labrador Sea, and Moira Galbraith of the Vancouver Sorting Centre for providing further samples from the North Pacific. The primary funding underpinning this research originated from NOAA's office of Ocean Exploration under grant NA050AR4601079. MVA's travel to Fairbanks was funded by a grant from the Arctic Ocean Biodiversity (ArcOD) project of the Census of Marine Life, and this publication represents a contribution to ArcOD. The study received additional support from the Polish Ministry of Science and Higher Education, which co-funded project IMOS (decision 3550/Norway/2016/2) in the years 2016-2017.</t>
  </si>
  <si>
    <t>10.11646/zootaxa.4394.3.1</t>
  </si>
  <si>
    <t>FZ2HS</t>
  </si>
  <si>
    <t>WOS:000427398800001</t>
  </si>
  <si>
    <t>Barcheck, CG; Tulaczyk, S; Schwartz, SY; Walter, JI; Winberry, JP</t>
  </si>
  <si>
    <t>Barcheck, C. Grace; Tulaczyk, Slawek; Schwartz, Susan Y.; Walter, Jacob I.; Winberry, J. Paul</t>
  </si>
  <si>
    <t>Implications of basal micro-earthquakes and tremor for ice stream mechanics: Stick-slip basal sliding and till erosion</t>
  </si>
  <si>
    <t>ice stream; basal earthquake; till; stick-slip sliding; ice sheet basal conditions; West Antarctic Ice Sheet</t>
  </si>
  <si>
    <t>WEST ANTARCTICA; WHILLANS; GLACIER; DYNAMICS; VELOCITY; BENEATH; SHEAR; BED; DEFORMATION; PENINSULA</t>
  </si>
  <si>
    <t>The Whillans Ice Plain (WIP) is unique among Antarctic ice streams because it moves by stick-slip. The conditions allowing stick-slip and its importance in controlling ice dynamics remain uncertain. Local basal seismicity previously observed during unstable slip is a clue to the mechanism of ice stream stick-slip and a window into current basal conditions, but the spatial extent and importance of this basal seismicity are unknown. We analyze data from a 2010-2011 ice-plain-wide seismic and GPS network to show that basal micro-seismicity correlates with large-scale patterns in ice stream slip behavior: Basal seismicity is common where the ice moves the least between unstable slip events, with small discrete basal micro earthquakes happening within 10s of km of the central stick-slip nucleation area and emergent basal tremor occurring downstream of this area. Basal seismicity is largely absent in surrounding areas, where inter-slip creep rates are high. The large seismically active area suggests that a frictional sliding law that can accommodate stick-slip may be appropriate for ice stream beds on regional scales. Variability in seismic behavior over inter-station distances of 1-10 km indicates heterogeneity in local bed conditions and frictional complexity. WIP unstable slips may nucleate when stick-slip basal earthquake patches fail over a large area. We present a conceptual model in which basal seismicity results from slip-weakening frictional failure of over-consolidated till as it is eroded and mobilized into deforming till. (C) 2018 Elsevier B.V. All rights reserved.</t>
  </si>
  <si>
    <t>[Barcheck, C. Grace; Tulaczyk, Slawek; Schwartz, Susan Y.] Univ Calif Santa Cruz, Dept Earth &amp; Planetary Sci, Santa Cruz, CA 95064 USA; [Walter, Jacob I.] Univ Oklahoma, Oklahoma Geol Survey, Norman, OK 73019 USA; [Walter, Jacob I.] Univ Texas Austin, Inst Geophys, Austin, TX USA; [Winberry, J. Paul] Cent Washington Univ, Dept Geol Sci, Ellensburg, WA USA</t>
  </si>
  <si>
    <t>University of California System; University of California Santa Cruz; University of Oklahoma System; University of Oklahoma - Norman; University of Texas System; University of Texas Austin; Central Washington University</t>
  </si>
  <si>
    <t>Barcheck, CG (corresponding author), Univ Calif Santa Cruz, Dept Earth &amp; Planetary Sci, Santa Cruz, CA 95064 USA.</t>
  </si>
  <si>
    <t>cbarchec@ucsc.edu</t>
  </si>
  <si>
    <t>Winberry, Paul/HLQ-2673-2023; Walter, Jacob/C-6806-2015; Tulaczyk, Slawek/O-7375-2018</t>
  </si>
  <si>
    <t>Winberry, Paul/0000-0003-1205-0745; Walter, Jacob/0000-0001-7127-9422; Tulaczyk, Slawek/0000-0002-9711-4332</t>
  </si>
  <si>
    <t>National Science Foundation [ANT-1043784, ANT-1443525]; Directorate For Geosciences; Office of Polar Programs (OPP) [1443525] Funding Source: National Science Foundation</t>
  </si>
  <si>
    <t>National Science Foundation(National Science Foundation (NSF)); Directorate For Geosciences; Office of Polar Programs (OPP)(National Science Foundation (NSF)NSF - Directorate for Geosciences (GEO))</t>
  </si>
  <si>
    <t>This work was supported by the National Science Foundation [grants ANT-1043784, ANT-1443525] as well as by logistical support from the United States Antarctic Program. We thank Lucas Beem, Douglas Fox, Kristin Poinar, Rickard Petterson, Nadine Quintana-Krupinski, Jake Walter, and John Woodward for their assistance with GPS fieldwork. We additionally thank Patrick Fulton, Thorne Lay, and Neal Iverson, and an anonymous reviewer for their thoughtful comments on this manuscript.</t>
  </si>
  <si>
    <t>10.1016/j.epsl.2017.12.046</t>
  </si>
  <si>
    <t>WOS:000427102700006</t>
  </si>
  <si>
    <t>Dietz, L; Dömel, JS; Leese, F; Lehmann, T; Melzer, RR</t>
  </si>
  <si>
    <t>Dietz, Lars; Doemel, Jana S.; Leese, Florian; Lehmann, Tobias; Melzer, Roland R.</t>
  </si>
  <si>
    <t>Feeding ecology in sea spiders (Arthropoda: Pycnogonida): what do we know?</t>
  </si>
  <si>
    <t>FRONTIERS IN ZOOLOGY</t>
  </si>
  <si>
    <t>Pantopoda; Marine arthropods; Food chain; Benthos; Community ecology</t>
  </si>
  <si>
    <t>MEDITERRANEAN SEA; ATLANTIC-OCEAN; BIOLOGY; PREDATION; COAST; ASSOCIATION; CNIDARIANS; CALIFORNIA; BEHAVIOR</t>
  </si>
  <si>
    <t>Sea spiders (Pycnogonida) are a widespread and phylogenetically important group of marine arthropods. However, their biology remains understudied, and detailed information about their feeding ecology is difficult to find. Observations on pycnogonid feeding are scattered in the literature, often in older sources written in various languages, and have never been comprehensively summarized. Here we provide an overview of all information on feeding in pycnogonids that we have been able to find and review what is known on feeding specializations and preferences in the various pycnogonid taxa. We deduce general findings where possible and outline future steps necessary to gain a better understanding of the feeding ecology of one of the world's most bizarre animal taxa.</t>
  </si>
  <si>
    <t>[Dietz, Lars] Zool Res Museum Alexander Koenig, Stat Phylogenet &amp; Phylogenom, Adenauerallee 160, D-53113 Bonn, Germany; [Dietz, Lars] Univ Bonn, Fac Math &amp; Nat Sci, D-53012 Bonn, Germany; [Doemel, Jana S.; Leese, Florian] Univ Duisburg Essen, Fac Biol, Aquat Ecosyt Res, Univ Str 5, D-45141 Essen, Germany; [Lehmann, Tobias; Melzer, Roland R.] Bavarian State Collect Zool SNSB, Munchhausenstr 21, D-81247 Munich, Germany; [Lehmann, Tobias; Melzer, Roland R.] Ludwig Maximilians Univ Munchen, Dept Biol 2, Grosshaderner Str 2, D-82152 Planegg Martinsried, Germany; [Melzer, Roland R.] GeoBioCtr LMU, Richard Wagner Str 10, D-80333 Munich, Germany</t>
  </si>
  <si>
    <t>Zoologisches Forschungsmuseum Alexander Koenig (ZFMK); University of Bonn; University of Duisburg Essen; University of Munich; University of Munich</t>
  </si>
  <si>
    <t>Dietz, L (corresponding author), Zool Res Museum Alexander Koenig, Stat Phylogenet &amp; Phylogenom, Adenauerallee 160, D-53113 Bonn, Germany.;Dietz, L (corresponding author), Univ Bonn, Fac Math &amp; Nat Sci, D-53012 Bonn, Germany.</t>
  </si>
  <si>
    <t>ldietz@uni-bonn.de</t>
  </si>
  <si>
    <t>Leese, Florian/D-4277-2012</t>
  </si>
  <si>
    <t>Leese, Florian/0000-0002-5465-913X</t>
  </si>
  <si>
    <t>Deutsche Forschungsgemeinschaft (DFG) in the framework of the priority programme Antarctic Research with comparative investigations in Arctic ice areas [DI 2228/1-1, LE 2323/3-1, ME 2683/8-1]</t>
  </si>
  <si>
    <t>Deutsche Forschungsgemeinschaft (DFG) in the framework of the priority programme Antarctic Research with comparative investigations in Arctic ice areas</t>
  </si>
  <si>
    <t>This work was supported by the Deutsche Forschungsgemeinschaft (DFG) in the framework of the priority programme Antarctic Research with comparative investigations in Arctic ice areas by grants to LD (DI 2228/1-1), FL (LE 2323/3-1) and RRM (ME 2683/8-1). Underwater photography was supported by Sea Life Center Munich with RRM's project Biodiversity of the Chilean fjords.</t>
  </si>
  <si>
    <t>1742-9994</t>
  </si>
  <si>
    <t>FRONT ZOOL</t>
  </si>
  <si>
    <t>Front. Zool.</t>
  </si>
  <si>
    <t>10.1186/s12983-018-0250-4</t>
  </si>
  <si>
    <t>FZ6QZ</t>
  </si>
  <si>
    <t>WOS:000427725700001</t>
  </si>
  <si>
    <t>Zheng, F; Li, JP; Ding, RQ; Feng, J</t>
  </si>
  <si>
    <t>Zheng, Fei; Li, Jianping; Ding, Ruiqiang; Feng, Juan</t>
  </si>
  <si>
    <t>Cross-Seasonal Influence of the SAM on Southern Hemisphere Extratropical SST and its Relationship with Meridional Circulation in CMIP5 models</t>
  </si>
  <si>
    <t>Southern Hemisphere Annular Mode (SAM); Southern Hemisphere extratropical SST; meridional circulation; CMIP5 models</t>
  </si>
  <si>
    <t>PRIMITIVE EQUATION MODEL; SEA-SURFACE TEMPERATURE; HADLEY-CELL DYNAMICS; ANNULAR MODE; ANTARCTIC OSCILLATION; PART I; WINTER PRECIPITATION; EL-NINO; OCEAN; IMPACT</t>
  </si>
  <si>
    <t>Using outputs from the Coupled Model Intercomparison Project Phase 5 (CMIP5) models, the influence of the December-February (DJF) Southern Hemisphere Annular Mode (SAM) on March-May (MAM) zonal-mean meridional circulation found in reanalysis data is assessed. Considering that the DJF Southern Hemisphere extratropical SST pattern associated with the SAM (SESST hereafter) acts as an important bridge' in the cross-seasonal influence of the DJF SAM on MAM meridional circulation, model performance in simulating the influence of the DJF SAM on SESST and in capturing the connection between SESST and MAM meridional circulation are investigated. Most of the models are equipped to capture the influence of the DJF SAM on SESST. However, the model-simulated influence is stronger than the observations, which is partially attributed to an overestimation of the association between the SAM and surface zonal wind by these models. The simulated cross-seasonal influence of the DJF SAM on MAM meridional circulation tends to be closer to the observations in models with high performance in depicting the influence of MAM SESST on MAM meridional circulation than in models with relatively low performance.</t>
  </si>
  <si>
    <t>[Zheng, Fei; Ding, Ruiqiang] Chinese Acad Sci, Inst Atmospher Phys, State Key Lab Numer Modeling Atmospher Sci &amp; Geop, Beijing, Peoples R China; [Li, Jianping; Feng, Juan] Beijing Normal Univ, Coll Global Change &amp; Earth Syst Sci, Beijing, Peoples R China; [Li, Jianping] Qingdao Natl Lab Marine Sci &amp; Technol, Lab Reg Oceanog &amp; Numer Modeling, Qingdao, Peoples R China; [Ding, Ruiqiang] Chengdu Univ Informat Technol, Plateau Atmosphere &amp; Environm Key Lab Sichuan Pro, Chengdu, Sichuan, Peoples R China</t>
  </si>
  <si>
    <t>Chinese Academy of Sciences; Institute of Atmospheric Physics, CAS; Beijing Normal University; Laoshan Laboratory; Chengdu University of Information Technology</t>
  </si>
  <si>
    <t>Zheng, F (corresponding author), Chinese Acad Sci, Inst Atmospher Phys, Beijing 100029, Peoples R China.</t>
  </si>
  <si>
    <t>zhengfei08@mail.iap.ac.cn</t>
  </si>
  <si>
    <t>Zheng, Fei/AAV-7512-2021; Zheng, Fei/AAQ-4559-2020; Ding, Ruiqiang/AAF-9948-2021; Li, Jianping/I-2661-2012</t>
  </si>
  <si>
    <t>Zheng, Fei/0000-0001-6135-6148; Zheng, Fei/0000-0001-6135-6148; Ding, Ruiqiang/0000-0003-4139-3843; Li, Jianping/0000-0003-0625-1575</t>
  </si>
  <si>
    <t>973 Program [2013CB430200]; NSFC [41405086]; SOA Program on Global Change and Air-Sea Interactions [GASI-IPOVAI-03]</t>
  </si>
  <si>
    <t>973 Program(National Basic Research Program of China); NSFC(National Natural Science Foundation of China (NSFC)); SOA Program on Global Change and Air-Sea Interactions</t>
  </si>
  <si>
    <t>The authors would like to thank the editor and the anonymous reviewers for their insightful comments and suggestions, which significantly contributed to improve the manuscript. This work was jointly supported by the 973 Program (2013CB430200), the NSFC Project (41405086), and the SOA Program on Global Change and Air-Sea Interactions (GASI-IPOVAI-03). Datasets including NCEP/NCAR Reanalysis, ERA40 Reanalysis, and ERSST are provided by the NOAA/OAR/ESRL PSD, Boulder, Colorado, USA, from their web site at http://www.esrl.noaa.gov/psd/. We acknowledge the World Climate Research Programme's Working Group on Coupled Modelling, which is responsible for CMIP, and we thank the climate modeling groups for producing and making available their model output.</t>
  </si>
  <si>
    <t>10.1002/joc.5262</t>
  </si>
  <si>
    <t>FY3OK</t>
  </si>
  <si>
    <t>WOS:000426729300029</t>
  </si>
  <si>
    <t>Bridgestock, L; Rehkämper, M; van de Flierdt, T; Paul, M; Milne, A; Lohan, MC; Achterberg, EP</t>
  </si>
  <si>
    <t>Bridgestock, Luke; Rehkaemper, Mark; van de Flierdt, Tina; Paul, Maxence; Milne, Angela; Lohan, Maeve C.; Achterberg, Eric P.</t>
  </si>
  <si>
    <t>The distribution of lead concentrations and isotope compositions in the eastern Tropical Atlantic Ocean</t>
  </si>
  <si>
    <t>Anthropogenic Pb; Pb isotopes; Transient tracers; Ocean circulation</t>
  </si>
  <si>
    <t>WESTERN NORTH-ATLANTIC; ANTHROPOGENIC LEAD; WATER MASSES; PB-ISOTOPES; CIRCULATION; SECTION; RECORD; RECONSTRUCTION; CONTAMINATION; VARIABILITY</t>
  </si>
  <si>
    <t>Anthropogenic emissions have dominated marine Pb sources during the past century. Here we present Pb concentrations and isotope compositions for ocean depth profiles collected in the eastern Tropical Atlantic Ocean (GEOTRACES section GA06), to trace the transfer of anthropogenic Pb into the ocean interior. Variations in Pb concentration and isotope composition were associated with changes in hydrography. Water masses ventilated in the southern hemisphere generally featured lower Pb-206/Pb-207 and Pb-208/Pb-207 ratios than those ventilated in the northern hemisphere, in accordance with Pb isotope data of historic anthropogenic Pb emissions. The distributions of Pb concentrations and isotope compositions in northern sourced waters were consistent with differences in their ventilation timescales. For example, a Pb concentration maximum at intermediate depth (600-900 m, 35 pmol kg(-1)) in waters sourced from the Irminger/Labrador Seas, is associated with Pb isotope compositions (Pb-206/Pb-207 = 1.1818-1.1824, Pb-208/Pb-207 = 2.4472-2.4483) indicative of northern hemispheric emissions during the 1950s and 1960s close to peak leaded petrol usage, and a transit time of similar to 50-60 years. In contrast, North Atlantic Deep Water (2000-4000 m water depth) featured lower Pb concentrations and isotope compositions (Pb-206/Pb-207 = 1.176 2-1.184, Pb-208/Pb-207 = 2.4482-2.4545) indicative of northern hemispheric emissions during the 1910s and 1930s and a transit time of similar to 80-100 years. This supports the notion that transient anthropogenic Pb inputs are predominantly transferred into the ocean interior by water mass transport. However, the interpretation of Pb concentration and isotope composition distributions in terms of ventilation timescales and pathways is complicated by (1) the chemical reactivity of Pb in the ocean, and (2) mixing of waters ventilated during different time periods. The complex effects of water mass mixing on Pb distributions is particularly apparent in seawater in the Tropical Atlantic Ocean which is ventilated from the southern hemisphere. In particular, South Atlantic Central Water and Antarctic Intermediate Water were dominated by anthropogenic Pb emitted during the last 50-100 years, despite estimates of much older average ventilation ages in this region. (C) 2018 The Author(s). Published by Elsevier Ltd.</t>
  </si>
  <si>
    <t>[Bridgestock, Luke; Rehkaemper, Mark; van de Flierdt, Tina; Paul, Maxence] Imperial Coll London, Dept Earth Sci &amp; Engn, London SW7 2AZ, England; [Milne, Angela] Univ Plymouth, Sch Geog Earth &amp; Environm Sci, Plymouth PL4 8AA, Devon, England; [Lohan, Maeve C.] Univ Southampton, Natl Oceanog Ctr Southampton, Ocean &amp; Earth Sci, Southampton SO14 3ZH, Hants, England; [Achterberg, Eric P.] GEOMARHelmholtz Ctr Ocean Res, D-24148 Kiel, Germany</t>
  </si>
  <si>
    <t>Imperial College London; University of Plymouth; NERC National Oceanography Centre; University of Southampton; Helmholtz Association; GEOMAR Helmholtz Center for Ocean Research Kiel</t>
  </si>
  <si>
    <t>Bridgestock, L (corresponding author), Univ Oxford, Dept Earth Sci, Oxford OX1 3AN, England.</t>
  </si>
  <si>
    <t>luke.bridgestock@earth.ox.ac.uk</t>
  </si>
  <si>
    <t>Achterberg, Eric P/C-5820-2009; Milne, Angela/O-2786-2016</t>
  </si>
  <si>
    <t>Bridgestock, Luke/0000-0001-7636-6090; Milne, Angela/0000-0002-3304-8962</t>
  </si>
  <si>
    <t>MAGIC research group; NERC [NE/J021636/1, NE/H005390/1, NE/G016267/1, NE/G015732/1]; MAGIC research group; NERC [NE/J021636/1, NE/H005390/1, NE/G016267/1, NE/G015732/1]; Natural Environment Research Council [NE/H005390/1, NE/J021636/1] Funding Source: researchfish; NERC [NE/H005390/1, NE/J021636/1] Funding Source: UKRI</t>
  </si>
  <si>
    <t>MAGIC research group; NERC(UK Research &amp; Innovation (UKRI)Natural Environment Research Council (NERC)); MAGIC research group; NERC(UK Research &amp; Innovation (UKRI)Natural Environment Research Council (NERC)); Natural Environment Research Council(UK Research &amp; Innovation (UKRI)Natural Environment Research Council (NERC)); NERC(UK Research &amp; Innovation (UKRI)Natural Environment Research Council (NERC))</t>
  </si>
  <si>
    <t>We thank the captain, crew and cruise participants of the RRS Discovery during the D361 cruise (GEOTRACES section GA06). Katharina Kreissig and Barry Coles are thanked for keeping the MAGIC clean labs and mass spectrometer running, and the MAGIC research group for their support and guidance. The authors acknowledge funding from the following NERC grants: L.B., T. v.d.F. and M.R. by NE/J021636/1 and NE/H005390/1; M.L by NE/G016267/1 and EPA by NE/G015732/1. Conflicts of interest: none.</t>
  </si>
  <si>
    <t>10.1016/j.gca.2018.01.018</t>
  </si>
  <si>
    <t>FW0HO</t>
  </si>
  <si>
    <t>WOS:000424974700003</t>
  </si>
  <si>
    <t>Liu, JG; Yan, W; Xu, WH; Zhong, LF</t>
  </si>
  <si>
    <t>Liu, Jianguo; Yan, Wen; Xu, Weihai; Zhong, Lifeng</t>
  </si>
  <si>
    <t>Sediment provenance in the western Pacific warm pool from the last glacial maximum to the early Holocene: Implications for ocean circulation and climatic change</t>
  </si>
  <si>
    <t>Rare earth elements; Clay minerals; Sediment transport; Climatic events; Frequency analysis; Solar insolation</t>
  </si>
  <si>
    <t>NORTH EQUATORIAL CURRENT; SEA-SURFACE TEMPERATURE; SOUTH CHINA SEA; CLAY MINERAL DISTRIBUTION; ATLANTIC-OCEAN; PLANKTONIC-FORAMINIFERA; CURRENT BIFURCATION; VARIABILITY; TRANSPORT; PATTERNS</t>
  </si>
  <si>
    <t>Sedimentary records including clay minerals, major elements, rare earth elements (REE) and C-14 ages, were analyzed in one core from the western Pacific warm pool (WPWP), in order to identify the sources of sediments in the warm pool region from the last glacial maximum (LGM) to the early Holocene. The results showed that the sedimentation rate at the studied core site has decreased continuously since the LGM. Both major elements and clay minerals experienced staged changes in the study area. In the studied core, most major elemental concentrations decreased prior to 22 kyr BP but increased gradually after 13 kyr BP. Sediment provenance based on clay minerals and REEs further revealed that sediments were likely a mixture of dominant New Guinea sediments and Asian dust. The South Equatorial Current was the main force transporting New Guinea particles, while the East Asian winter monsoon and the correlated North Equatorial Countercurrent might have loaded the Asian dust into the study area. Moreover, Heinrich events were well imprinted in the western Pacific, and another cold climatic event that occurred at approximately 21 kyr BP was also recorded in the study area. These events were similarly documented in ice from Greenland but were undistinguished in ice from the Antarctic and stalagmites from the Hulu Cave, China. A frequency analysis of multi-proxies confirmed that sun irradiance essentially controlled the variation in sedimentary records in the western Pacific from the LGM to the early Holocene.</t>
  </si>
  <si>
    <t>[Liu, Jianguo; Yan, Wen; Xu, Weihai; Zhong, Lifeng] Chinese Acad Sci, South China Sea Inst Oceanol, Key Lab Ocean &amp; Marginal Sea Geol, Guangzhou 510301, Guangdong, Peoples R China; [Liu, Jianguo] Qingdao Natl Lab Marine Sci &amp; Technol, Lab Marine Geol, Qingdao 266061, Peoples R China; [Yan, Wen] Univ Chinese Acad Sci, Beijing 100049, Peoples R China; [Zhong, Lifeng] Sun Yat Sen Univ, Sch Marine Sci, Guangzhou 510006, Guangdong, Peoples R China</t>
  </si>
  <si>
    <t>Chinese Academy of Sciences; South China Sea Institute of Oceanology, CAS; Laoshan Laboratory; Chinese Academy of Sciences; University of Chinese Academy of Sciences, CAS; Sun Yat Sen University</t>
  </si>
  <si>
    <t>Liu, JG (corresponding author), Qingdao Natl Lab Marine Sci &amp; Technol, Lab Marine Geol, Qingdao 266061, Peoples R China.;Yan, W (corresponding author), Univ Chinese Acad Sci, Beijing 100049, Peoples R China.</t>
  </si>
  <si>
    <t>jgliu@scsio.ac.cn; wyan@scsio.ac.cn</t>
  </si>
  <si>
    <t>Liu, Jianguo/0000-0002-8662-3772</t>
  </si>
  <si>
    <t>Chinese Academy of Sciences [XDA11030103]; National Program on Global Change and Air-Sea Interaction [GASI-GEOGE-03]; National Natural Science Foundation of China [91228207]</t>
  </si>
  <si>
    <t>Chinese Academy of Sciences(Chinese Academy of Sciences); National Program on Global Change and Air-Sea Interaction; National Natural Science Foundation of China(National Natural Science Foundation of China (NSFC))</t>
  </si>
  <si>
    <t>We thank the captains and crews of Science No. 1 for their support during the cruise. We thank the editor Thierry Correge, Zhaokai Xu and other reviewers for their critical reviews and helpful suggestions. This work was supported jointly by the Strategic Priority Research Program of the Chinese Academy of Sciences (XDA11030103), National Program on Global Change and Air-Sea Interaction (GASI-GEOGE-03) and the Project of National Natural Science Foundation of China (91228207).</t>
  </si>
  <si>
    <t>10.1016/j.palaeo.2017.12.040</t>
  </si>
  <si>
    <t>FW1PE</t>
  </si>
  <si>
    <t>WOS:000425071100006</t>
  </si>
  <si>
    <t>Majewski, W; Bart, PJ; McGlannan, AJ</t>
  </si>
  <si>
    <t>Majewski, Wojciech; Bart, Philip J.; McGlannan, Austin J.</t>
  </si>
  <si>
    <t>Foraminiferal assemblages from ice-proximal paleo-settings in the Whales Deep Basin, eastern Ross Sea, Antarctica</t>
  </si>
  <si>
    <t>PLEISTOCENE-HOLOCENE RETREAT; MCMURDO SOUND; BENTHIC FORAMINIFERA; CONTINENTAL-SHELF; EXPLORERS COVE; GLACIAL MARINE; SHEET SYSTEM; MAXWELL BAY; RECORD; ECOLOGY</t>
  </si>
  <si>
    <t>Reconstructions of Ross Sea paleoenvironments based on foraminifera are hindered by the dearth of actualistic data, especially from below the Ross Ice Shelf. To fill this gap, we used a recently developed well-resolved deglaciation record from the Whales Deep Basin of the eastern Ross Sea to understand the ecological affinities of different foraminiferal assemblages. During open-water conditions similar to the present, two benthic foraminiferal communities are strongly dominated by agglutinated species. However, in the underlying sediments that represent sub-ice-shelf and grounding-zone proximal settings on the outer continental shelf, we identified five different assemblages of calcareous foraminifera. By Antarctic margin standards, these calcareous assemblages are periodically truly abundant. Along with assemblages dominated by benthic calcareous species that are well known from many Antarctic settings,i.e., Globocossidulina biora, Trifarina earlandi, and Astrononion echolsi, two important assemblages are dominated by a heretofore undescribed pustulose morphotype of G. biora and poorly known spinose morphotype of T. earlandi. Based on our correlations to the deglacial record, these two assemblages live near the grounding line or in environments with especially intense bottom water currents. As grounded and floating ice retreated south to the middle continental shelf, these later sub-ice-shelf and grounding-zone proximal settings were largely devoid of calcareous foraminifera and instead were inhabited by agglutinated taxa. This improved understanding of foraminiferal assemblage distributions from a variety of environments within the eastern Ross Sea may contribute to better use of foraminiferal data to investigate the evolution of environmental changes in grounding-line proximal environments.</t>
  </si>
  <si>
    <t>[Majewski, Wojciech] Polish Acad Sci, Inst Paleobiol, Warsaw, Poland; [Bart, Philip J.; McGlannan, Austin J.] Louisiana State Univ, Dept Geol &amp; Geophys, Baton Rouge, LA 70803 USA</t>
  </si>
  <si>
    <t>Polish Academy of Sciences; Institute of Paleobiology of the Polish Academy of Sciences; Louisiana State University System; Louisiana State University</t>
  </si>
  <si>
    <t>Majewski, Wojciech/D-9255-2017</t>
  </si>
  <si>
    <t>Majewski, Wojciech/0000-0002-5407-1782</t>
  </si>
  <si>
    <t>National Science Foundation Office of Polar [1246357]; [NCN-2015/17/B/ST10/03346]; Office of Polar Programs (OPP); Directorate For Geosciences [1246357] Funding Source: National Science Foundation</t>
  </si>
  <si>
    <t>National Science Foundation Office of Polar; ; Office of Polar Programs (OPP); Directorate For Geosciences(National Science Foundation (NSF)NSF - Directorate for Geosciences (GEO))</t>
  </si>
  <si>
    <t>Fieldwork for this study was funded by a National Science Foundation Office of Polar Programs grant 1246357 to Philip J. Bart. Micropaleontological investigations were supported by Polish grant NCN-2015/17/B/ST10/03346 to Wojciech Majewski. We would like to thank two anonymous reviewers for their valuable comments and remarks.</t>
  </si>
  <si>
    <t>10.1016/j.palaeo.2017.12.041</t>
  </si>
  <si>
    <t>WOS:000425071100007</t>
  </si>
  <si>
    <t>Mleneck-Vautravers, MJ</t>
  </si>
  <si>
    <t>Mleneck-Vautravers, Maryline J.</t>
  </si>
  <si>
    <t>Quantitative planktonic foraminifers taphonomy and palaeoceanographic implications over the last 1 My from IODP Sites U1436 and U1437</t>
  </si>
  <si>
    <t>COGENT GEOSCIENCE</t>
  </si>
  <si>
    <t>planktonic foraminifers; calcium carbonate cycles; intermediate water depth circulation; Middle Pleistocene transition</t>
  </si>
  <si>
    <t>NORTH PACIFIC; INTERMEDIATE WATER; EQUATORIAL PACIFIC; OCEAN; PRESERVATION; CIRCULATION</t>
  </si>
  <si>
    <t>International Ocean Discovery Program Sites U1437 and U1436, two intermediate water depth sites located near the Kuroshio Current were studied for planktonic proxies, shell weights, percent fragments, foraminifers concentrations, and benthic/planktonic ratios. Over the last 1 My, the foraminifers assemblages responded to local temperature changes. The taphonomy of these assemblages limits their usefulness as palaeoclimatic records but greatly inform qualitatively of intermediate water mass changes on each side of the Izu Rise. Carbonate dissolution (CD) is pervasive and always more intense during interglacials at the shallowest Site U1436 to the East. Carbonate preservation improved during glacials after 0.6 Ma at U1437B (West) likely signaling changes within the glacial Antarctic Intermediate Water and therefore, its source water the Glacial North Atlantic Intermediate Water from Marine Isotope Stage 16. The first occurrence of a very large Laurentide ice-sheet at the time is proposed as a potential indirect cause for this observation. Both the intensification of carbonate dissolution during each interglacials from MIS17 onwards and the better preservation during succeeding glacials after that are attributed to the increasing influence of the North Atlantic Deep Water and the Glacial North Atlantic Intermediate Water via the Antarctic Intermediate Water during Interglacial and Glacial intervals, respectively.</t>
  </si>
  <si>
    <t>[Mleneck-Vautravers, Maryline J.] Univ Cambridge, Dept Earth Sci, Godwin Lab Palaeoclimate Res, Downing St, Cambridge CB2 3EQ, England</t>
  </si>
  <si>
    <t>University of Cambridge</t>
  </si>
  <si>
    <t>Mleneck-Vautravers, MJ (corresponding author), Univ Cambridge, Dept Earth Sci, Godwin Lab Palaeoclimate Res, Downing St, Cambridge CB2 3EQ, England.</t>
  </si>
  <si>
    <t>mv217@cam.ac.uk</t>
  </si>
  <si>
    <t>NERC UK-IODP [NE/M005178/1]; Natural Environment Research Council [NE/M005178/1] Funding Source: researchfish; NERC [NE/M005178/1] Funding Source: UKRI</t>
  </si>
  <si>
    <t>NERC UK-IODP; Natural Environment Research Council(UK Research &amp; Innovation (UKRI)Natural Environment Research Council (NERC)); NERC(UK Research &amp; Innovation (UKRI)Natural Environment Research Council (NERC))</t>
  </si>
  <si>
    <t>This work was supported by NERC UK-IODP [grant number NE/M005178/1].</t>
  </si>
  <si>
    <t>TAYLOR &amp; FRANCIS AS</t>
  </si>
  <si>
    <t>OSLO</t>
  </si>
  <si>
    <t>KARL JOHANS GATE 5, NO-0154 OSLO, NORWAY</t>
  </si>
  <si>
    <t>2331-2041</t>
  </si>
  <si>
    <t>COGENT GEOSCI</t>
  </si>
  <si>
    <t>Cogent Geosci.</t>
  </si>
  <si>
    <t>MAR 14</t>
  </si>
  <si>
    <t>UNSP 1447263</t>
  </si>
  <si>
    <t>10.1080/23312041.2018.1447263</t>
  </si>
  <si>
    <t>FZ6BW</t>
  </si>
  <si>
    <t>WOS:000427682900001</t>
  </si>
  <si>
    <t>Shen, Q; Wang, HS; Shum, CK; Jiang, LM; Hsu, HT; Dong, JL</t>
  </si>
  <si>
    <t>Shen, Qiang; Wang, Hansheng; Shum, C. K.; Jiang, Liming; Hsu, Hou Tse; Dong, Jinglong</t>
  </si>
  <si>
    <t>Recent high-resolution Antarctic ice velocity maps reveal increased mass loss in Wilkes Land, East Antarctica</t>
  </si>
  <si>
    <t>SOUTHERN-OCEAN; OUTLET GLACIERS; SHEET; BALANCE; SURFACE; DRIVEN; DISINTEGRATION; INSTABILITY; THWAITES; RETREAT</t>
  </si>
  <si>
    <t>We constructed Antarctic ice velocity maps from Landsat 8 images for the years 2014 and 2015 at a high spatial resolution (100 m). These maps were assembled from 10,690 scenes of displacement vectors inferred from more than 10,000 optical images acquired from December 2013 through March 2016. We estimated the mass discharge of the Antarctic ice sheet in 2008, 2014, and 2015 using the Landsat ice velocity maps, interferometric synthetic aperture radar (InSAR)-derived ice velocity maps (similar to 2008) available from prior studies, and ice thickness data. An increased mass discharge (53 +/- 14 Gt yr(-1)) was found in the East Indian Ocean sector since 2008 due to unexpected widespread glacial acceleration in Wilkes Land, East Antarctica, while the other five oceanic sectors did not exhibit significant changes. However, present-day increased mass loss was found by previous studies predominantly in west Antarctica and the Antarctic Peninsula. The newly discovered increased mass loss in Wilkes Land suggests that the ocean heat flux may already be influencing ice dynamics in the marine-based sector of the East Antarctic ice sheet (EAIS). The marine-based sector could be adversely impacted by ongoing warming in the Southern Ocean, and this process may be conducive to destabilization.</t>
  </si>
  <si>
    <t>[Shen, Qiang; Wang, Hansheng; Shum, C. K.; Jiang, Liming; Hsu, Hou Tse; Dong, Jinglong] Chinese Acad Sci, Inst Geodesy &amp; Geophys, State Key Lab Geodesy &amp; Earths Dynam, Wuhan 430077, Hubei, Peoples R China; [Shum, C. K.] Ohio State Univ, Sch Earth Sci, Div Geodet Sci, Columbus, OH 43210 USA; [Shen, Qiang; Wang, Hansheng; Jiang, Liming; Hsu, Hou Tse; Dong, Jinglong] Univ Chinese Acad Sci, Beijing 100049, Peoples R China</t>
  </si>
  <si>
    <t>Chinese Academy of Sciences; Innovation Academy for Precision Measurement Science &amp; Technology, CAS; University System of Ohio; Ohio State University; Chinese Academy of Sciences; University of Chinese Academy of Sciences, CAS</t>
  </si>
  <si>
    <t>Shen, Q (corresponding author), Chinese Acad Sci, Inst Geodesy &amp; Geophys, State Key Lab Geodesy &amp; Earths Dynam, Wuhan 430077, Hubei, Peoples R China.;Shen, Q (corresponding author), Univ Chinese Acad Sci, Beijing 100049, Peoples R China.</t>
  </si>
  <si>
    <t>cl980606@asch.whigg.ac.cn</t>
  </si>
  <si>
    <t>Jiang, Liming/O-1776-2013</t>
  </si>
  <si>
    <t>Jiang, Liming/0000-0002-1127-9823; Shum, C K/0000-0001-9378-4067</t>
  </si>
  <si>
    <t>National Key R &amp; D Program of China [2017YFA0603103]; National Natural Science Foundation of China [41431070, 41590854, 41621091]; Key Research Program of Frontier Sciences, CAS [QYZDB-SSW-DQC027, QYZDJ-SSW-DQC042]; U.S. National Aeronautics and Space Administration [NNX10AG31G]</t>
  </si>
  <si>
    <t>National Key R &amp; D Program of China; National Natural Science Foundation of China(National Natural Science Foundation of China (NSFC)); Key Research Program of Frontier Sciences, CAS; U.S. National Aeronautics and Space Administration(National Aeronautics &amp; Space Administration (NASA))</t>
  </si>
  <si>
    <t>We thank the National Aeronautics and Space Administration (NASA) and United States Geological Survey (USGS) for providing the Landsat 8 data. We thank E. Rignot at the Jet Propulsion Laboratory/California Institute of Technology and J. M. van Wessem, J.T.M. Lenaerts and S. Ligtenberg at Utrecht University for providing their ice velocity products and the surface mass balance and firn densification models, respectively. We thank Fernando S. Paolo at University of California, San Diego for providing ice shelf height change data. The Bedmap-2 data are from the British Antarctic Survey. This work was supported by the National Key R &amp; D Program of China (2017YFA0603103), the National Natural Science Foundation of China (Grant Nos. 41431070, 41590854 and 41621091), the Key Research Program of Frontier Sciences, CAS (Grant Nos. QYZDB-SSW-DQC027 and QYZDJ-SSW-DQC042), and the U.S. National Aeronautics and Space Administration (Grant No. NNX10AG31G).</t>
  </si>
  <si>
    <t>10.1038/s41598-018-22765-0</t>
  </si>
  <si>
    <t>FZ1VS</t>
  </si>
  <si>
    <t>WOS:000427366200007</t>
  </si>
  <si>
    <t>Neff, W; Crawford, J; Buhr, M; Nicovich, J; Chen, G; Davis, D</t>
  </si>
  <si>
    <t>Neff, William; Crawford, Jim; Buhr, Marty; Nicovich, John; Chen, Gao; Davis, Douglas</t>
  </si>
  <si>
    <t>The meteorology and chemistry of high nitrogen oxide concentrations in the stable boundary layer at the South Pole</t>
  </si>
  <si>
    <t>ISCAT 2000; DOME-C; INVESTIGATION ANTCI; EAST-ANTARCTICA; SURFACE SNOW; VARIABILITY; HEMISPHERE; NO; NITRATE; REASSESSMENT</t>
  </si>
  <si>
    <t>Four summer seasons of nitrogen oxide (NO) concentrations were obtained at the South Pole (SP) during the Sulfur Chemistry in the Antarctic Troposphere (ISCAT) program (1998 and 2000) and the Antarctic Tropospheric Chemistry Investigation (ANTCI) in (2003, 2005, 2006-2007). Together, analyses of the data collected from these studies provide insight into the large-to small-scale meteorology that sets the stage for extremes in NO and the significant variability that occurs day to day, within seasons, and year to year. In addition, these observations reveal the interplay between physical and chemical processes at work in the stable boundary layer of the high Antarctic plateau. We found a systematic evolution of the large-scale wind system over the ice sheet from winter to summer that controls the surface boundary layer and its effect on NO: initially in early spring (Days 280-310) the transport of warm air and clouds over West Antarctica dominates the environment over the SP; in late spring (Days 310-340), the winds at 300 hPa exhibit a bimodal behavior alternating between northwest and southeast quadrants, which is of significance to NO; in early summer (Days 340-375), the flow aloft is dominated by winds from the Weddell Sea; and finally, during late spring, winds aloft from the southeast are strongly associated with clear skies, shallow stable boundary layers, and light surface winds from the east - it is under these conditions that the highest NO occurs. Examination of the winds at 300 hPa from 1961 to 2013 shows that this seasonal pattern has not changed significantly, although the last twenty years have seen an increasing trend in easterly surface winds at the SP. What has also changed is the persistence of the ozone hole, often into early summer. With lower total ozone column density and higher sun elevation, the highest actinic flux responsible for the photolysis of snow nitrate now occurs in late spring under the shallow boundary layer conditions optimum for high accumulation of NO. This may occur via the non-linear HOX-NOx chemistry proposed after the first ISCAT field programs and NOx recycling to the surface where quantum yields may be large under the low-snow-accumulation regime of the Antarctic plateau. During the 2003 field program a sodar made direct measurements of the stable boundary layer depth (BLD), a key factor in explaining the chemistry of the high NO concentrations. Because direct measurements were not available in the other years, we developed an estimator for BLD using direct observations obtained in 2003 and step-wise linear regression with meteorological data from a 22m tower (that was tested against independent data obtained in 1993). These data were then used with assumptions about the column abundance of NO to estimate surface fluxes of NOx. These results agreed in magnitude with results at Concordia Station and confirmed significant daily, intraseasonal and interannual variability in NO and its flux from the snow surface. Finally, we found that synoptic to mesoscale eddies governed the boundary layer circulation and accumulation pathways for NO at the SP rather than katabatic forcing. It was the small-scale features of the circulation including the transition from cloudy to clear conditions that set the stage for short-term extremes in NO, whereas larger-scale features were associated with more moderate concentrations.</t>
  </si>
  <si>
    <t>[Neff, William] NOAA, ESRL, Div Phys Sci, Boulder, CO 80305 USA; [Neff, William] Univ Colorado, Cooperat Inst Res Environm Sci, Boulder, CO 80305 USA; [Crawford, Jim; Chen, Gao] NASA, Langley Res Ctr, Hampton, VA 23681 USA; [Buhr, Marty] Air Qual Design, Golden, CO 80403 USA; [Nicovich, John; Davis, Douglas] Georgia Inst Technol, Sch Earth &amp; Atmospher Sci, Atlanta, GA 30332 USA</t>
  </si>
  <si>
    <t>National Oceanic Atmospheric Admin (NOAA) - USA; University of Colorado System; University of Colorado Boulder; National Aeronautics &amp; Space Administration (NASA); NASA Langley Research Center; University System of Georgia; Georgia Institute of Technology</t>
  </si>
  <si>
    <t>Neff, W (corresponding author), NOAA, ESRL, Div Phys Sci, Boulder, CO 80305 USA.;Neff, W (corresponding author), Univ Colorado, Cooperat Inst Res Environm Sci, Boulder, CO 80305 USA.</t>
  </si>
  <si>
    <t>william.neff@noaa.gov</t>
  </si>
  <si>
    <t>Nicovich, John/0000-0002-6904-7072</t>
  </si>
  <si>
    <t>NSF's Office of Polar Programs [OPP-9725465, OPP-0230246]; NSF [OPP 91-1896]</t>
  </si>
  <si>
    <t>NSF's Office of Polar Programs; NSF(National Science Foundation (NSF))</t>
  </si>
  <si>
    <t>NOAA/ESRL Global Monitoring Division (GMD) personnel were responsible for SP data collection during the year 2006 starting on 5 February 2006 through 15 January 2007. GMD also maintained the data base for the 22m tower, Dobson ozone and radiation measurements at the SP (https://www.esrl.noaa.gov/gmd/dv/ftpdata.html).The Antarctic Meteorological Research Center data bases (AMRC, ftp://amrc.ssec.wisc.edu/pub/southpole/) provided rawinsonde, AWS, and climatological data. NSF's Office of Polar Programs grants OPP-9725465 and OPP-0230246 (PI, Douglas Davis) provided partial funding for the ISCAT and ANTCI projects. The sodar data obtained in 1993 were supported by NSF grant OPP 91-1896 (PI, William Neff). We are also indebted to one of the anonymous reviewers for their very thorough reading of the manuscript.</t>
  </si>
  <si>
    <t>10.5194/acp-18-3755-2018</t>
  </si>
  <si>
    <t>FZ5AK</t>
  </si>
  <si>
    <t>WOS:000427603500003</t>
  </si>
  <si>
    <t>Hu, A; Bates, SC</t>
  </si>
  <si>
    <t>Hu, Aixue; Bates, Susan C.</t>
  </si>
  <si>
    <t>Internal climate variability and projected future regional steric and dynamic sea level rise</t>
  </si>
  <si>
    <t>ANTARCTIC CIRCUMPOLAR CURRENT; PACIFIC DECADAL VARIABILITY; THERMOHALINE CIRCULATION; SOUTHERN-OCEAN; COUPLED MODEL; SYSTEM MODEL; INTENSIFICATION; OSCILLATION; UNCERTAINTY; COAST</t>
  </si>
  <si>
    <t>Observational evidence points to a warming global climate accompanied by rising sea levels which impose significant impacts on island and coastal communities. Studies suggest that internal climate processes can modulate projected future sea level rise (SLR) regionally. It is not clear whether this modulation depends on the future climate pathways. Here, by analyzing two sets of ensemble simulations from a climate model, we investigate the potential reduction of SLR, as a result of steric and dynamic oceanographic affects alone, achieved by following a lower emission scenario instead of business-as-usual one over the twenty-first century and how it may be modulated regionally by internal climate variability. Results show almost no statistically significant difference in steric and dynamic SLR on both global and regional scales in the near-term between the two scenarios, but statistically significant SLR reduction for the global mean and many regions later in the century (2061-2080). However, there are regions where the reduction is insignificant, such as the Philippines and west of Australia, that are associated with ocean dynamics and intensified internal variability due to external forcing.</t>
  </si>
  <si>
    <t>[Hu, Aixue; Bates, Susan C.] Natl Ctr Atmospher Res, Climate &amp; Global Dynam Lab, Boulder, CO 80307 USA</t>
  </si>
  <si>
    <t>National Center Atmospheric Research (NCAR) - USA</t>
  </si>
  <si>
    <t>Hu, A (corresponding author), Natl Ctr Atmospher Res, Climate &amp; Global Dynam Lab, Boulder, CO 80307 USA.</t>
  </si>
  <si>
    <t>ahu@ucar.edu</t>
  </si>
  <si>
    <t>Bates, Susan C/G-5089-2017; Hu, Aixue/E-1063-2013</t>
  </si>
  <si>
    <t>Hu, Aixue/0000-0002-1337-287X</t>
  </si>
  <si>
    <t>Regional and Global Climate Modelling Program (RGCM) of the US Department of Energy's Office of Science (BER) [DE-FC02-97ER62402]; National Science Foundation</t>
  </si>
  <si>
    <t>Regional and Global Climate Modelling Program (RGCM) of the US Department of Energy's Office of Science (BER)(United States Department of Energy (DOE)); National Science Foundation(National Science Foundation (NSF))</t>
  </si>
  <si>
    <t>A portion of this study was supported by the Regional and Global Climate Modelling Program (RGCM) of the US Department of Energy's Office of Science (BER), Cooperative Agreement No. DE-FC02-97ER62402. This research used computing resources of the Climate Simulation Laboratory at the National Center for Atmospheric Research (NCAR), which is sponsored by the National Science Foundation. The National Center for Atmospheric Research is sponsored by the National Science Foundation. We thank Warren G. Strand for his help with data processing.</t>
  </si>
  <si>
    <t>10.1038/s41467-018-03474-8</t>
  </si>
  <si>
    <t>FZ1ZR</t>
  </si>
  <si>
    <t>WOS:000427376600007</t>
  </si>
  <si>
    <t>Davis, EL; Hager, HA; Gedalof, Z</t>
  </si>
  <si>
    <t>Davis, Emma L.; Hager, Heather A.; Gedalof, Ze'ev</t>
  </si>
  <si>
    <t>Soil properties as constraints to seedling regeneration beyond alpine treelines in the Canadian Rocky Mountains</t>
  </si>
  <si>
    <t>Soil provenance; alpine treeline; tree seedling; species distributions; Picea Engelmannii</t>
  </si>
  <si>
    <t>CLIMATE-CHANGE; ASSISTED MIGRATION; LOCAL ADAPTATION; ESTABLISHMENT; RECRUITMENT; COLONIZATION; DYNAMICS; PATTERNS; GRADIENT; ALTITUDE</t>
  </si>
  <si>
    <t>Plants growing at the edges of their range limits are expected to be particularly sensitive to changes in precipitation and temperature regimes associated with climatic change. However, non-climatic factors are increasingly recognized as important constraints to species' range expansions. Therefore, we assessed the effects of soil provenance with respect to the alpine treeline on the germination, growth, and survival of Engelmann spruce (Picea engelmannii) seedlings. Seedlings were grown under controlled conditions in a growth chamber and greenhouse for ninety days in soils collected from four treeline ecotones in the Canadian Rocky Mountains. By controlling seed source and climatic conditions, and eliminating competition and predation, we attribute differences in seedling viability to soil properties that differed across elevation zones and individual treeline sites. Overall, alpine soils originating from beyond the species' current elevational range were least amenable to growth, and there was some indication of reduced germination and survival in high-elevation soils. Forest soils, which were coarser and more nutrient rich, hosted seedlings with greater above- and below-ground biomass. Thus, the physical and chemical characteristics of alpine soils in our study region may constrain future treeline expansion, underscoring the importance of incorporating soil properties when considering species' distributions under climate change.</t>
  </si>
  <si>
    <t>[Davis, Emma L.; Gedalof, Ze'ev] Univ Guelph, Dept Geog, Guelph, ON, Canada; [Hager, Heather A.] Univ Guelph, Dept Integrat Biol, Guelph, ON, Canada</t>
  </si>
  <si>
    <t>University of Guelph; University of Guelph</t>
  </si>
  <si>
    <t>Davis, EL (corresponding author), Univ Guelph, Dept Geog, Guelph, ON, Canada.</t>
  </si>
  <si>
    <t>edavis02@uoguelph.ca</t>
  </si>
  <si>
    <t>Hager, Heather/A-2984-2014; Davis, Emma/ABC-8518-2021</t>
  </si>
  <si>
    <t>Hager, Heather/0000-0002-0066-6844;</t>
  </si>
  <si>
    <t>NSERC Discovery grant; NSERC Canada Graduate Scholarship</t>
  </si>
  <si>
    <t>NSERC Discovery grant(Natural Sciences and Engineering Research Council of Canada (NSERC)); NSERC Canada Graduate Scholarship(Natural Sciences and Engineering Research Council of Canada (NSERC))</t>
  </si>
  <si>
    <t>This research was funded by an NSERC Discovery grant awarded to ZMG and an NSERC Canada Graduate Scholarship (Doctoral) awarded to ELD. The seeds for this study were kindly provided by the B. C. Tree Seed Centre, Surrey, British Columbia. We thank Parks Canada, Alberta Parks, and Fortress Mountain Ski Resort for allowing access to field sites; Sean Fox and Spencer Reitenbach for their insights into growing and caring for tree seeds and seedlings; and Christine Loziak for assistance in the field.</t>
  </si>
  <si>
    <t>MAR 13</t>
  </si>
  <si>
    <t>e1415625</t>
  </si>
  <si>
    <t>10.1080/15230430.2017.1415625</t>
  </si>
  <si>
    <t>GN1DY</t>
  </si>
  <si>
    <t>WOS:000438726900001</t>
  </si>
  <si>
    <t>Cook, JM; Sweet, M; Cavalli, O; Taggart, A; Edwards, A</t>
  </si>
  <si>
    <t>Cook, J. M.; Sweet, M.; Cavalli, O.; Taggart, A.; Edwards, A.</t>
  </si>
  <si>
    <t>Topographic shading influences cryoconite morphodynamics and carbon exchange</t>
  </si>
  <si>
    <t>Biogeochemistry; carbon cycling; biocryomorphology; cellular automata</t>
  </si>
  <si>
    <t>CELLULAR-AUTOMATA; HOLES; BIOGEOCHEMISTRY; GLACIERS; EROSION; FLOW</t>
  </si>
  <si>
    <t>Cryoconite holes are the most active and diverse microbial habitats on glacier and ice-sheet surfaces. In this article the authors demonstrate that the shape of cryoconite holes varies depending on ice-surface topography and that this has implications for the carbon cycling regime within. Net ecosystem production is shown to be controlled primarily by sediment thickness within holes. The authors show that irregular hole shapes are indicative of hole migration away from topographic shade, which promotes carbon fixation at the mesoscale on ice surfaces. A cellular automaton is used in conjunction with sediment-delivery experiments to show that migration is the result of simple sediment transfer processes, implying a relationship between ice-surface evolution and cryoconite biogeochemistry that has not previously been examined.</t>
  </si>
  <si>
    <t>[Cook, J. M.; Taggart, A.] Univ Sheffield, Dept Geog, Sheffield, S Yorkshire, England; [Cook, J. M.; Sweet, M.] Univ Derby, Coll Life &amp; Nat Sci, Environm Sustainabil Res Ctr, Derby, England; [Cavalli, O.; Edwards, A.] Aberystwyth Univ, Inst Biol Rural &amp; Environm Sci, Aberystwyth, Dyfed, Wales</t>
  </si>
  <si>
    <t>University of Sheffield; University of Derby; Aberystwyth University</t>
  </si>
  <si>
    <t>Cook, JM (corresponding author), Univ Sheffield, Dept Geog, Sheffield, S Yorkshire, England.;Cook, JM (corresponding author), Univ Derby, Coll Life &amp; Nat Sci, Environm Sustainabil Res Ctr, Derby, England.</t>
  </si>
  <si>
    <t>joe.cook@sheffield.ac.uk</t>
  </si>
  <si>
    <t>Sweet, Michael/E-9661-2012</t>
  </si>
  <si>
    <t>Sweet, Michael/0000-0003-4983-8333; Cook, Joseph/0000-0002-9270-363X</t>
  </si>
  <si>
    <t>British Society for Geomorphology; Mount Everest Foundation; Gino Watkins Memorial Fund; Andrew Croft Memorial Fund; Scottish Arctic Club; Gilchrist Educational Fund; Rolex Awards for Enterprise and Gradconsult; Natural Environment Research Council Consortium Grant Black and Bloom [NE/M021025/1]; NERC [NE/M021025/1] Funding Source: UKRI</t>
  </si>
  <si>
    <t>British Society for Geomorphology; Mount Everest Foundation; Gino Watkins Memorial Fund; Andrew Croft Memorial Fund; Scottish Arctic Club; Gilchrist Educational Fund; Rolex Awards for Enterprise and Gradconsult; Natural Environment Research Council Consortium Grant Black and Bloom; NERC(UK Research &amp; Innovation (UKRI)Natural Environment Research Council (NERC))</t>
  </si>
  <si>
    <t>The authors gratefully acknowledge funding from the British Society for Geomorphology, Mount Everest Foundation, Gino Watkins Memorial Fund, Andrew Croft Memorial Fund, Scottish Arctic Club, Gilchrist Educational Fund, and Rolex Awards for Enterprise and Gradconsult. JC also acknowledges UK-funded Natural Environment Research Council Consortium Grant Black and Bloom (NE/M021025/1).</t>
  </si>
  <si>
    <t>e1414463</t>
  </si>
  <si>
    <t>10.1080/15230430.2017.1414463</t>
  </si>
  <si>
    <t>GN1JL</t>
  </si>
  <si>
    <t>WOS:000438745700001</t>
  </si>
  <si>
    <t>Levy, LB; Kelly, MA; Applegate, PA; Howley, JA; Virginia, RA</t>
  </si>
  <si>
    <t>Levy, Laura B.; Kelly, Meredith A.; Applegate, Patrick A.; Howley, Jennifer A.; Virginia, Ross A.</t>
  </si>
  <si>
    <t>Middle to late Holocene chronology of the western margin of the Greenland Ice Sheet: A comparison with Holocene temperature and precipitation records</t>
  </si>
  <si>
    <t>Greenland; Holocene; moraines; Be-10 dating</t>
  </si>
  <si>
    <t>CLIMATE-CHANGE; SEA-LEVEL; BE-10; RETREAT; DEGLACIATION; RATES; AGE; CALIBRATION; HISTORY; MAXIMUM</t>
  </si>
  <si>
    <t>The response of the Greenland Ice Sheet to future climate change is relatively unconstrained. Determining the extents and rates of ice-margin fluctuations during the Holocene provides a longer-term perspective on ice-sheet changes and offers an analogue of how the ice-sheet may respond to future changes. Here, we present sixteen new Be-10 ages of boulders on moraines, boulders perched on bedrock, and bedrock surfaces that mark the timing of ice-margin fluctuations during the Holocene in the Kangerlussuaq region of southern west Greenland. We show that the Keglen moraines date to 8.0 +/- 0.3 ka (n = 6) and that the average ice-margin retreat rate slowed from about 49 to 13 m yr(-1) after about 8.0 ka, likely in response to the ice margin retreating onto land at the head of the fjord Kangerlussuaq at this time. The average retreat rate further slowed to less than 1 m yr(-1) between 6.8 ka and 4.2 cal kyr BP, a time when nearby paleoclimate records document warm summers and increased precipitation. Finally, we show that the historical advances of the ice margin occurred during the past 200 years, likely in response to cooler summer temperatures.</t>
  </si>
  <si>
    <t>[Levy, Laura B.] Aarhus Univ, Dept Geosci, Hoegh Guldbergs Gade 2, DK-8000 Aarhus, Denmark; [Levy, Laura B.] Humboldt State Univ, Dept Geol, Arcata, CA 95521 USA; [Kelly, Meredith A.; Howley, Jennifer A.] Dartmouth Coll, Dept Earth Sci, Hanover, NH 03755 USA; [Applegate, Patrick A.] Penn State Univ, Earth &amp; Environm Syst Inst, University Pk, PA 16802 USA; [Virginia, Ross A.] Dartmouth Coll, Environm Studies Program, Hanover, NH 03755 USA</t>
  </si>
  <si>
    <t>Aarhus University; California State University System; California State Polytechnic University, Humboldt; Dartmouth College; Pennsylvania Commonwealth System of Higher Education (PCSHE); Pennsylvania State University; Pennsylvania State University - University Park; Dartmouth College</t>
  </si>
  <si>
    <t>Levy, LB (corresponding author), Aarhus Univ, Dept Geosci, Hoegh Guldbergs Gade 2, DK-8000 Aarhus, Denmark.</t>
  </si>
  <si>
    <t>laura.b.levy@geo.au.dk</t>
  </si>
  <si>
    <t>Kelly, Meredith/0000-0001-8163-3907</t>
  </si>
  <si>
    <t>National Science Foundation Doctoral Dissertation Research Improvement grant [1128909]; Swedish Society for Anthropology and Geography; National Science Foundation Integrative Graduate and Research Traineeship grant [0801490]; Division Of Behavioral and Cognitive Sci; Direct For Social, Behav &amp; Economic Scie [1128909] Funding Source: National Science Foundation</t>
  </si>
  <si>
    <t>National Science Foundation Doctoral Dissertation Research Improvement grant; Swedish Society for Anthropology and Geography; National Science Foundation Integrative Graduate and Research Traineeship grant; Division Of Behavioral and Cognitive Sci; Direct For Social, Behav &amp; Economic Scie(National Science Foundation (NSF)NSF - Directorate for Social, Behavioral &amp; Economic Sciences (SBE))</t>
  </si>
  <si>
    <t>This study was funded by a National Science Foundation Doctoral Dissertation Research Improvement grant (Kelly and Levy, #1128909) and a grant from the Swedish Society for Anthropology and Geography (Applegate). Travel funding was provided by a National Science Foundation Integrative Graduate and Research Traineeship grant (#0801490).</t>
  </si>
  <si>
    <t>e1414477</t>
  </si>
  <si>
    <t>10.1080/15230430.2017.1414477</t>
  </si>
  <si>
    <t>GN1IR</t>
  </si>
  <si>
    <t>WOS:000438743300001</t>
  </si>
  <si>
    <t>Urbanowicz, C; Virginia, RA; Irwin, RE</t>
  </si>
  <si>
    <t>Urbanowicz, Christine; Virginia, Ross A.; Irwin, Rebecca E.</t>
  </si>
  <si>
    <t>Pollen limitation and reproduction of three plant species across a temperature gradient in western Greenland</t>
  </si>
  <si>
    <t>Arctic; Chamerion latifolium; pollination; pollen limitation; Vaccinium uliginosum; Salix glauca</t>
  </si>
  <si>
    <t>CLIMATE-CHANGE; COMMUNITY RESPONSES; ARCTIC VEGETATION; FLOWERING PLANTS; DRYAS-OCTOPETALA; SEED SET; TUNDRA; POLLINATION; VISITATION; GROWTH</t>
  </si>
  <si>
    <t>Rapid climate change in the Arctic may increase sexual reproduction in plants because of changes in both abiotic factors, such as temperature, and biotic factors, such as pollination. Pollination may currently limit plant reproduction in the Arctic, where cold temperatures hinder pollinator activity. To understand how warming may affect pollination and plant reproduction, we studied three plant species in western Greenland. Two species were hermaphroditic and insect-pollinated (Vaccinium uliginosum and Chamerion latifolium), and one was dioecious and insect- and wind-pollinated (Salix glauca). We measured how pollinator visitation and plant reproduction varied across three temperature zones. We also conducted pollinator exclusion and pollen supplementation experiments to measure pollinator dependence and pollen limitation. Proportion of fruit set in Vaccinium and Salix was pollen limited in every temperature zone, and Vaccinium and Chamerion depended on pollinator-mediated outcrossing for maximum reproductive success. Furthermore, higher pollinator visitation to Vaccinium in the warmer temperature zones mirrored lower pollen limitation and higher fruit set, suggesting that temperature zone indirectly influenced reproduction via changes in pollination. Taken together, our results demonstrate that both abiotic factors and pollination are important in limiting reproduction in the Arctic and that plant-pollinator interactions can mediate the response of plant reproduction to warming.</t>
  </si>
  <si>
    <t>[Urbanowicz, Christine; Irwin, Rebecca E.] Dartmouth Coll, Dept Biol Sci, Hanover, NH 03755 USA; [Virginia, Ross A.] Dartmouth Coll, Environm Studies Program, Hanover, NH 03755 USA; [Irwin, Rebecca E.] North Carolina State Univ, Dept Appl Ecol, Raleigh, NC USA</t>
  </si>
  <si>
    <t>Dartmouth College; Dartmouth College; North Carolina State University</t>
  </si>
  <si>
    <t>Urbanowicz, C (corresponding author), Dartmouth Coll, Dept Biol Sci, Hanover, NH 03755 USA.</t>
  </si>
  <si>
    <t>Christine.urbanowicz@gmail.com</t>
  </si>
  <si>
    <t>National Science Foundation (NSF) [0801490]; Direct For Education and Human Resources; Division Of Graduate Education [0801490] Funding Source: National Science Foundation</t>
  </si>
  <si>
    <t>National Science Foundation (NSF)(National Science Foundation (NSF)); Direct For Education and Human Resources; Division Of Graduate Education(National Science Foundation (NSF)NSF - Directorate for STEM Education (EDU))</t>
  </si>
  <si>
    <t>Funding was provided the National Science Foundation (NSF) Award Number 0801490.</t>
  </si>
  <si>
    <t>e1414485</t>
  </si>
  <si>
    <t>10.1080/15230430.2017.1414485</t>
  </si>
  <si>
    <t>GN1KN</t>
  </si>
  <si>
    <t>WOS:000438749000001</t>
  </si>
  <si>
    <t>Pathakoti, M; Gaddamidi, S; Gharai, B; Syamala, PS; Rao, PVN; Choudhury, SB; Raghavendra, KV; Dadhwal, VK</t>
  </si>
  <si>
    <t>Pathakoti, Mahesh; Gaddamidi, Sreenivas; Gharai, Biswadip; Syamala, Prijith Sudhakaran; Rao, Pamaraju Venkata Narasimha; Choudhury, Saroj Bandh; Raghavendra, Kaila Venkata; Dadhwal, Vinay Kumar</t>
  </si>
  <si>
    <t>Influence of meteorological parameters on atmospheric CO2 at Bharati, the Indian Antarctic research station</t>
  </si>
  <si>
    <t>Carbon dioxide; Li-Cor CO2/H2O analyser; precipitation; relative humidity; wind speed; long-range air-mass transport</t>
  </si>
  <si>
    <t>CH4</t>
  </si>
  <si>
    <t>During the 35th Indian Scientific Expedition to Antarctica, measurements of atmospheric carbon dioxide (CO2) were carried out using a Li-Cor CO2/H2O analyser at Bharati, the Indian Antarctic research station. This study examines the short-term variability of atmospheric CO2 during the austral summer (January-February) of 2016. An average of 396.25 +/- 4.20 ppm was observed during the study period. Meteorological parameters such as relative humidity, precipitation, wind speed, air temperature and atmospheric boundary layer height in conjunction with photosynthetically active radiation, the biological activity indicator which modulates atmospheric CO2 concentration have been investigated. High wind speed (&gt;20 m s(-1)) combined with precipitation scavenges CO2 in the atmosphere, resulting in low concentrations at the study site. The lowest CO2 concentration of 385 ppmcoincided with heavy precipitation of 15 mm during study period. Statistical analysis of the data shows that precipitation and relative humidity independently correlated 55% (r = -0.55) and 32% (r = -0.32), respectively, with the variability of CO2 mixing in the atmosphere at the study site. Atmospheric CO2 was significantly correlated with precipitation alone with a p value of 0.003. Further, multiple regression analysis was performed to test the significant relation between variability of atmospheric CO2 and meteorological parameters. Long-range air-mass transport analysis depicted that the majority of the air masses are reaching the study site through the oceanic region.</t>
  </si>
  <si>
    <t>[Pathakoti, Mahesh; Gaddamidi, Sreenivas; Gharai, Biswadip; Syamala, Prijith Sudhakaran; Rao, Pamaraju Venkata Narasimha; Choudhury, Saroj Bandh] Indian Space Res Org, Natl Remote Sensing Ctr, Earth &amp; Climate Sci Area, Atmospher Chem &amp; Proc Studies Div, Hyderabad 500037, Andhra Pradesh, India; [Gaddamidi, Sreenivas] Jawaharlal Nehru Technol Univ, Dept Phys, Hyderabad, Andhra Pradesh, India; [Raghavendra, Kaila Venkata] Indian Space Res Org, Natl Remote Sensing Ctr, Programme Planning Evaluat Grp, Hyderabad, Andhra Pradesh, India; [Dadhwal, Vinay Kumar] Indian Inst Space Sci &amp; Technol, Thiruvananthapuram, Kerala, India</t>
  </si>
  <si>
    <t>Department of Space (DoS), Government of India; Indian Space Research Organisation (ISRO); National Remote Sensing Centre (NRSC); Jawaharlal Nehru Technological University - Hyderabad; Department of Space (DoS), Government of India; Indian Space Research Organisation (ISRO); National Remote Sensing Centre (NRSC); Department of Space (DoS), Government of India; Indian Institute of Space Science &amp; Technology</t>
  </si>
  <si>
    <t>Pathakoti, M (corresponding author), Indian Space Res Org, Natl Remote Sensing Ctr, Earth &amp; Climate Sci Area, Atmospher Chem &amp; Proc Studies Div, Hyderabad 500037, Andhra Pradesh, India.</t>
  </si>
  <si>
    <t>mahi952@gmail.com</t>
  </si>
  <si>
    <t>Dadhwal, Vinay K/F-9825-2010</t>
  </si>
  <si>
    <t>Gaddamidi, Sreenivas/0000-0001-5153-3809; Pathakoti, Mahesh/0000-0002-1887-9792</t>
  </si>
  <si>
    <t>Atmospheric CO2 Retrieval and Monitoring of the National Carbon Project, under the umbrella of Climate and Atmospheric Processes of Indian Space Research Organization's Geosphere-Biosphere Program</t>
  </si>
  <si>
    <t>This work was carried out as part of Atmospheric CO2 Retrieval and Monitoring of the National Carbon Project, under the umbrella of Climate and Atmospheric Processes of Indian Space Research Organization's Geosphere-Biosphere Program.</t>
  </si>
  <si>
    <t>10.1080/17518369.2018.1442072</t>
  </si>
  <si>
    <t>FZ2IT</t>
  </si>
  <si>
    <t>WOS:000427402000001</t>
  </si>
  <si>
    <t>Sasgen, I; Martín-Español, A; Horvath, A; Klemann, V; Petrie, EJ; Wouters, B; Horwath, M; Pail, R; Bamber, JL; Clarke, PJ; Konrad, H; Wilson, T; Drinkwater, MR</t>
  </si>
  <si>
    <t>Sasgen, Ingo; Martin-Espanol, Alba; Horvath, Alexander; Klemann, Volker; Petrie, Elizabeth J.; Wouters, Bert; Horwath, Martin; Pail, Roland; Bamber, Jonathan L.; Clarke, Peter J.; Konrad, Hannes; Wilson, Terry; Drinkwater, Mark R.</t>
  </si>
  <si>
    <t>Altimetry, gravimetry, GPS and viscoelastic modeling data for the joint inversion for glacial isostatic adjustment in Antarctica (ESA STSE Project REGINA)</t>
  </si>
  <si>
    <t>WEST ANTARCTICA; SURFACE; UPLIFT; RADAR; ICESAT; ACCUMULATION; VELOCITY; GRAVITY; BENEATH; EARTH</t>
  </si>
  <si>
    <t>The poorly known correction for the ongoing deformation of the solid Earth caused by glacial isostatic adjustment (GIA) is a major uncertainty in determining the mass balance of the Antarctic ice sheet from measurements of satellite gravimetry and to a lesser extent satellite altimetry. In the past decade, much progress has been made in consistently modeling ice sheet and solid Earth interactions; however, forward-modeling solutions of GIA in Antarctica remain uncertain due to the sparsity of constraints on the ice sheet evolution, as well as the Earth's rheological properties. An alternative approach towards estimating GIA is the joint inversion of multiple satellite data - namely, satellite gravimetry, satellite altimetry and GPS, which reflect, with different sensitivities, trends in recent glacial changes and GIA. Crucial to the success of this approach is the accuracy of the space-geodetic data sets. Here, we present reprocessed rates of surface-ice elevation change (Envisat/Ice, Cloud, and land Elevation Satellite, ICESat; 2003-2009), gravity field change (Gravity Recovery and Climate Experiment, GRACE; 2003-2009) and bedrock uplift (GPS; 1995-2013). The data analysis is complemented by the forward modeling of viscoelastic response functions to disc load forcing, allowing us to relate GIA-induced surface displacements with gravity changes for different rheological parameters of the solid Earth. The data and modeling results presented here are available in the PANGAEA database (https://doi.org/10.1594/PANGAEA.875745). The data sets are the input streams for the joint inversion estimate of present-day ice-mass change and GIA, focusing on Antarctica. However, the methods, code and data provided in this paper can be used to solve other problems, such as volume balances of the Antarctic ice sheet, or can be applied to other geographical regions in the case of the viscoelastic response functions. This paper presents the first of two contributions summarizing the work carried out within a European Space Agency funded study: Regional glacial isostatic adjustment and CryoSat elevation rate corrections in Antarctica (REGINA).</t>
  </si>
  <si>
    <t>[Sasgen, Ingo; Konrad, Hannes] Alfred Wegener Inst, Div Climate Sci, Bussestr 24, D-27570 Bremerhaven, Germany; [Martin-Espanol, Alba; Bamber, Jonathan L.] Univ Bristol, Sch Geog Sci, Univ Rd, Bristol BS8 1SS, Avon, England; [Horvath, Alexander; Pail, Roland] Tech Univ Munich, Inst Astron &amp; Phys Geodas, Arcisstr 21, D-80333 Munich, Germany; [Klemann, Volker] GFZ German Res Ctr Geosci, Dept Geodesy, D-14473 Potsdam, Germany; [Petrie, Elizabeth J.] Univ Glasgow, Sch Geog &amp; Earth Sci, Glasgow G12 8QQ, Lanark, Scotland; [Wouters, Bert] Univ Utrecht, Inst Marine &amp; Atmospher Res, Princetonpl 5, NL-3584 CC Utrecht, Netherlands; [Horwath, Martin] Tech Univ Dresden, Inst Planetare Geodasie, Helmholtzstr 10, D-01069 Dresden, Germany; [Clarke, Peter J.] Newcastle Univ, Sch Civil Engn &amp; Geosci, Newcastle NE1 7RU, England; [Konrad, Hannes] Univ Leeds, Sch Earth &amp; Environm, Leeds LS2 9JT, W Yorkshire, England; [Wilson, Terry] Ohio State Univ, Sch Earth Sci, 275 Mendenhall Lab,125 South Oval Mall, Columbus, OH 43210 USA; [Drinkwater, Mark R.] European Space Agcy, European Space Res &amp; Technol Ctr, Mission Sci Div, NL-2201 AZ Noordwijk, Netherlands</t>
  </si>
  <si>
    <t>Helmholtz Association; Alfred Wegener Institute, Helmholtz Centre for Polar &amp; Marine Research; University of Bristol; Technical University of Munich; Helmholtz Association; Helmholtz-Center Potsdam GFZ German Research Center for Geosciences; University of Glasgow; Utrecht University; Technische Universitat Dresden; Newcastle University - UK; University of Leeds; University System of Ohio; Ohio State University; European Space Agency</t>
  </si>
  <si>
    <t>Sasgen, I (corresponding author), Alfred Wegener Inst, Div Climate Sci, Bussestr 24, D-27570 Bremerhaven, Germany.</t>
  </si>
  <si>
    <t>ingo.sasgen@awi.de</t>
  </si>
  <si>
    <t>Konrad, Hannes/H-7647-2013; Horwath, Martin/ABH-4320-2020; Wouters, Bert/A-5301-2017; Pail, Roland/H-5621-2011; Pail, Roland/ABE-8800-2021; Bamber, Jonathan/C-7608-2011; Wouters, Bert/AAA-4254-2019; Petrie, Elizabeth/B-8532-2008; Konrad, Hannes/A-1813-2016; Klemann, Volker/H-3660-2013</t>
  </si>
  <si>
    <t>Bamber, Jonathan/0000-0002-2280-2819; Wouters, Bert/0000-0002-1086-2435; Horwath, Martin/0000-0001-5797-244X; Petrie, Elizabeth/0000-0002-7124-2600; Martin, Alba/0000-0001-9495-9092; Konrad, Hannes/0000-0002-5058-8637; Clarke, Peter/0000-0003-1276-8300; Klemann, Volker/0000-0002-8342-8947; Horvath, Alexander/0000-0002-9549-4845</t>
  </si>
  <si>
    <t>Support To Science Element (STSE) of the European Space Agency (ESA) Earth Observation Envelope Programme; German Academic Exchange Services (DAAD); DFG [SA1734/4-1]; UK NERC [NE/I027401/1]; NERC [NE/I027401/1] Funding Source: UKRI</t>
  </si>
  <si>
    <t>Support To Science Element (STSE) of the European Space Agency (ESA) Earth Observation Envelope Programme; German Academic Exchange Services (DAAD)(Deutscher Akademischer Austausch Dienst (DAAD)); DFG(German Research Foundation (DFG)); UK NERC(UK Research &amp; Innovation (UKRI)Natural Environment Research Council (NERC)); NERC(UK Research &amp; Innovation (UKRI)Natural Environment Research Council (NERC))</t>
  </si>
  <si>
    <t>The www.regina-science.eu work was enabled through CryoSat + Cryosphere study funding from the Support To Science Element (STSE) of the European Space Agency (ESA) Earth Observation Envelope Programme. Ingo Sasgen acknowledges additional funding through the German Academic Exchange Services (DAAD) and DFG grant SA1734/4-1, and Peter J. Clarke and Elizabeth J. Petrie received funding from UK NERC grant NE/I027401/1 (RATES project). We thank Thomas Flament and Frederique Remy for the Envisat data and Veit Helm for providing the AWI L2 CryoSat-2 retracked and corrected elevation measurements. The GPS data used were mainly downloaded from publically available archives. We acknowledge work done by the International GNSS Service (Dow et al., 2009), UNAVCO and the Scientific Committee on Antarctic Research in maintaining such archives, together with the efforts of all the GPS site operators in collecting and making available the data, a particularly challenging task in Antarctica (see Table A2 for more information on individual sources).</t>
  </si>
  <si>
    <t>10.5194/essd-10-493-2018</t>
  </si>
  <si>
    <t>FZ0OX</t>
  </si>
  <si>
    <t>Green Submitted, gold, Green Accepted</t>
  </si>
  <si>
    <t>WOS:000427271500001</t>
  </si>
  <si>
    <t>Urmy, SS; Warren, JD</t>
  </si>
  <si>
    <t>Urmy, Samuel S.; Warren, Joseph D.</t>
  </si>
  <si>
    <t>Foraging hotspots of common and roseate terns: the influence of tidal currents, bathymetry, and prey density</t>
  </si>
  <si>
    <t>Acoustics; Marine predator; Physical-biological coupling; Radar; Seabird</t>
  </si>
  <si>
    <t>PRIBILOF ISLANDS; LOCAL ENHANCEMENT; ANTARCTIC KRILL; STERNA-HIRUNDO; RADAR IMAGES; WADDEN SEA; SEABIRDS; AGGREGATIONS; ECOLOGY; HABITAT</t>
  </si>
  <si>
    <t>Foraging seabirds face significant challenges because the distribution of their prey is often patchy and unpredictable. On the other hand, some environmental features do provide more predictable foraging habitats. Successful foragers presumably use both consistent and flexible strategies. However, our understanding of this balance is limited, because simultaneous high-resolution measurements of prey and predator distributions are rarely available. We used a marine radar to map flocks of common terns Sterna hirundo and roseate terns S. dougallii near their breeding colony on Great Gull Island, New York, USA, in 2014 and 2015. We also surveyed the terns' prey, and tidal currents, using acoustic instruments on small boats. Feeding flocks formed most often in areas where water accelerated over shallow topography. These locations were consistent from one tidal cycle to the next, although flocks did not always form there. A spatial generalized linear model for flock density explained 45% of the deviance in their observed distribution. The mean prey density was not significantly different under flocks than elsewhere, and there were no detectable spatial trends in the prey field. Our results show that terns rely on the physical action of tidal currents to make prey available near the surface, and that the spatial and temporal predictability of this process may be more important to them than the absolute density of the prey. These findings quantify important features of tern foraging habitat, and may prove useful for planning human activities (e.g. offshore wind energy facilities) to reduce their impacts on terns.</t>
  </si>
  <si>
    <t>[Urmy, Samuel S.; Warren, Joseph D.] SUNY Stony Brook, Sch Marine &amp; Atmospher Sci, 239 Montauk Hwy, Southampton, NY 11968 USA; [Urmy, Samuel S.] Monterey Bay Aquarium Res Inst, 7700 Sandholdt Rd, Moss Landing, CA 95039 USA</t>
  </si>
  <si>
    <t>State University of New York (SUNY) System; State University of New York (SUNY) Stony Brook; Monterey Bay Aquarium Research Institute</t>
  </si>
  <si>
    <t>Urmy, SS (corresponding author), SUNY Stony Brook, Sch Marine &amp; Atmospher Sci, 239 Montauk Hwy, Southampton, NY 11968 USA.;Urmy, SS (corresponding author), Monterey Bay Aquarium Res Inst, 7700 Sandholdt Rd, Moss Landing, CA 95039 USA.</t>
  </si>
  <si>
    <t>sam.urmy@gmail.com</t>
  </si>
  <si>
    <t>Warren, Joseph/Y-4078-2019</t>
  </si>
  <si>
    <t>Frank M. Chapman Memorial Fund of the AMNH</t>
  </si>
  <si>
    <t>We thank Helen Hays of the AMNH and Great Gull Island Project for allowing us to work on GGI. We also thank Captains Andy Brosnan and Brian Gagliardi for operating the survey craft. Chris Powers, Maija Niemisto, Hannah Blair, and Brandyn Lucca also assisted with boat surveys. This project would not have been possible without Maria Anderson, Emily Runnells, and Ana Livia Furtado, who provided invaluable assistance in the field. Joan Walsh shared unpublished data from nest observations in 2015. Ron Larkin, Michael Schrimpf, and Emily Runnels provided comments on various drafts. We are grateful to George Hunt and 2 anonymous referees for their helpful reviews of the manuscript. Funding was provided by the Frank M. Chapman Memorial Fund of the AMNH. This project was approved by the Stony Brook University Institutional Animal Care and Use Committee (application number 2014-2101).</t>
  </si>
  <si>
    <t>MAR 12</t>
  </si>
  <si>
    <t>10.3354/meps12451</t>
  </si>
  <si>
    <t>GB1NJ</t>
  </si>
  <si>
    <t>WOS:000428817200016</t>
  </si>
  <si>
    <t>Jogo, K; Ito, M; Nakamura, T; Kobayashi, S; Lee, JI</t>
  </si>
  <si>
    <t>Jogo, Kaori; Ito, Motoo; Nakamura, Tomoki; Kobayashi, Sachio; Lee, Jong Ik</t>
  </si>
  <si>
    <t>Redistribution of Sr and rare earth elements in the matrices of CV3 carbonaceous chondrites during aqueous alteration in their parent body</t>
  </si>
  <si>
    <t>Rare earth element; CV3 carbonaceous chondrite; Aqueous alteration; Solar nebula</t>
  </si>
  <si>
    <t>PARTITION-COEFFICIENTS; REE MOBILIZATION; ORTHO-PYROXENE; METEORITES; OLIVINE; ORIGIN; RIMS; MELT</t>
  </si>
  <si>
    <t>We measured the abundances of Sr and rare earth elements (REEs) in the matrices of five CV3 carbonaceous chondrites: Meteorite Hills (MET) 00430, MET 01070, La Paz ice field (LAP) 02206, Asuka (A) 881317 and Roberts Massif (RBT) 04143. In the MET 00430 and MET 01074 matrices, the Sr/CI and light REE (LREE, La-Nd)/CI ratios positively correlate with the amounts of Ca-rich secondary minerals, which formed during aqueous alteration in the CV3 chondrite parent body. In contrast, in the LAP 02206 and RBT 04143 matrices, although the Sr/CI ratios correlate with the amounts of Ca-rich secondary minerals, the LREE/CI ratios vary independently from the amounts of any secondary minerals. This suggests that the LREE/CI ratios in these matrices were produced prior to the parent body alteration, probably in the solar nebula. The LREE/CI ratios of the LAP 02206 and RBT 04143 matrices reveal the mixing process of matrix minerals prior to the accretion of the CV3 chondrite parent body. The mixing degrees of matrix minerals might be different between these two matrices. Because solid materials would be mixed over time according to the radial diffusion model of a turbulent disk, the matrix minerals consisting of LAP 02206 and RBT 04143 matrices might be incorporated into their parent body with different timing.</t>
  </si>
  <si>
    <t>[Jogo, Kaori] Korea Polar Res Inst, Div Earth Syst Sci, 26 Songdomirae Ro, Incheon 21990, South Korea; [Ito, Motoo; Kobayashi, Sachio] JAMSTEC, Kochi Inst Core Sample Res, Nanko Ku, B200 Monobe, Kochi 7838502, Japan; [Nakamura, Tomoki] Tohoku Univ, Div Earth &amp; Planetary Mat Sci, Sendai, Miyagi 9808578, Japan; [Lee, Jong Ik] Korea Polar Res Inst, Unit Antarctic Route Expedit K, 26 Songdomirae Ro, Incheon 21990, South Korea</t>
  </si>
  <si>
    <t>Korea Polar Research Institute (KOPRI); Japan Agency for Marine-Earth Science &amp; Technology (JAMSTEC); Tohoku University; Korea Polar Research Institute (KOPRI)</t>
  </si>
  <si>
    <t>Jogo, K (corresponding author), Korea Polar Res Inst, Div Earth Syst Sci, 26 Songdomirae Ro, Incheon 21990, South Korea.</t>
  </si>
  <si>
    <t>kaorijogo@kopri.re.kr</t>
  </si>
  <si>
    <t>Nakamura, Tomoki/Y-8551-2018</t>
  </si>
  <si>
    <t>KOPRI project [PM17030]; JSPS from the Shimadzu Science Foundation [26287142]; Kochi Core Center Open Facility System under the MEXT foundation; Grants-in-Aid for Scientific Research [25247091, 26287142] Funding Source: KAKEN</t>
  </si>
  <si>
    <t>KOPRI project(Korea Polar Research Institute of Marine Research Placement (KOPRI)); JSPS from the Shimadzu Science Foundation; Kochi Core Center Open Facility System under the MEXT foundation; Grants-in-Aid for Scientific Research(Ministry of Education, Culture, Sports, Science and Technology, Japan (MEXT)Japan Society for the Promotion of ScienceGrants-in-Aid for Scientific Research (KAKENHI))</t>
  </si>
  <si>
    <t>This work was supported by KOPRI project PM17030. MI was supported by the JSPS Grants-in-Aid for Science Research (no. 26287142) from the Shimadzu Science Foundation (2016). This work was supported in part by the Kochi Core Center Open Facility System under the MEXT foundation.</t>
  </si>
  <si>
    <t>10.1186/s40623-018-0809-5</t>
  </si>
  <si>
    <t>FZ5PE</t>
  </si>
  <si>
    <t>WOS:000427646500001</t>
  </si>
  <si>
    <t>Niedbala, W; Liu, D</t>
  </si>
  <si>
    <t>Niedbala, Wojciech; Liu, Dong</t>
  </si>
  <si>
    <t>Catalogue of ptyctimous mites (Acari, Oribatida) of the world</t>
  </si>
  <si>
    <t>soil mites; oribatid mites; ptyctimous mites; adult; juvenile; taxonomy; nomenclature; geographic distribution; catalogue</t>
  </si>
  <si>
    <t>FAMILY PHTHIRACARIDAE ACARI; SABAH EAST-MALAYSIA; NEW-SPECIES ACARI; PTYCHOID DEFENSIVE-MECHANISM; NEOTROPICAL REGION ACARI; NEWLY RECORDED GENUS; ST-LUCIA ANTILLES; INTERESTING MITES; GENEVA-MUSEUM; NEW-ZEALAND</t>
  </si>
  <si>
    <t>As important representatives of Oribatida (Acari), ptyctimous mites comprise more than 1400 described species in 40 genera and subgenera, with nearly cosmopolitan distribution except for the Arctic and Antarctic Regions. They are capable of folding the aspidosoma under the opisthosoma to protect their appendages, and are primarily soil and litter inhabitants, feeding on fungi and decaying plant remains with various levels of specificity. Our purpose was to provide a detailed catalogue of all known ptyctimous mite species in the world with information of distribution, taxonomic issues and some remarks. Data of known juvenile instars of ptyctimous mites which were not included in Norton &amp; Ermilov (2014) were added. We hope that our catalogue with bibliography will be helpful in taxonomic and ecological studies. The catalogue presents taxonomic information and geographic distribution of 1431 known species of the world belonging to 42 genera and eight families (not including data of genus and species inquirenda, nomina nuda and species without author name). Among them, 261 species are listed as synonyms, 43 species inquirenda, nine homonyms, 17 new synonyms, one new subgenus Mahuntritia subgenus nov. and three new names are included in the catalogue.</t>
  </si>
  <si>
    <t>[Niedbala, Wojciech] Adam Mickiewicz Univ, Fac Biol, Dept Anim Taxon &amp; Ecol, Poznan, Poland; [Liu, Dong] Chinese Acad Sci, Northeast Inst Geog &amp; Agroecol, Key Lab Wetland Ecol &amp; Environm, Changchun 130102, Jilin, Peoples R China</t>
  </si>
  <si>
    <t>Adam Mickiewicz University; Chinese Academy of Sciences; Northeast Institute of Geography &amp; Agroecology, CAS</t>
  </si>
  <si>
    <t>Liu, D (corresponding author), Chinese Acad Sci, Northeast Inst Geog &amp; Agroecol, Key Lab Wetland Ecol &amp; Environm, Changchun 130102, Jilin, Peoples R China.</t>
  </si>
  <si>
    <t>wojciech.niedbala@amu.edu.pl; liudong@iga.ac.cn</t>
  </si>
  <si>
    <t>Liu, Dong/N-3419-2015</t>
  </si>
  <si>
    <t>National Natural Science Foundation of China [31672256]; Special Foundation of Russia, Ukraine and Belarus of the International Cooperation Bureau, CAS; National Basic Research Program of China [2016YFA0602303-1]; State Key Program of National Natural Science of China [41430857]; Funds for The Young Scientists Group of IGA, CAS [DLSXZ1601]; Youth Innovation Promotion Association, CAS [2016209]; Major Program of National Natural Science Foundation of China-Fauna Sinica [31493021]; General and Special Program of China Postdoctoral Science Foundation [2015M580243, 2016T90249]; Jilin Province Postdoctoral Science Foundation; Key Laboratory of Wetland Ecology and Environment of the Chinese Academy of Sciences [20160704]</t>
  </si>
  <si>
    <t>National Natural Science Foundation of China(National Natural Science Foundation of China (NSFC)); Special Foundation of Russia, Ukraine and Belarus of the International Cooperation Bureau, CAS; National Basic Research Program of China(National Basic Research Program of China); State Key Program of National Natural Science of China(National Natural Science Foundation of China (NSFC)); Funds for The Young Scientists Group of IGA, CAS; Youth Innovation Promotion Association, CAS; Major Program of National Natural Science Foundation of China-Fauna Sinica; General and Special Program of China Postdoctoral Science Foundation; Jilin Province Postdoctoral Science Foundation; Key Laboratory of Wetland Ecology and Environment of the Chinese Academy of Sciences</t>
  </si>
  <si>
    <t>We are very grateful to Karl-Heinz Schmidt (Oderwitz, Germany) and Dr. Heinrich Schatz (Institute of Zoology, University of Innsbruck, Austria) who provided constructive comments. The second author's work was supported by the National Natural Science Foundation of China (grant number 31672256), the Special Foundation of Russia, Ukraine and Belarus of the International Cooperation Bureau, CAS (2018-2019), the National Basic Research Program of China (No. 2016YFA0602303-1), the State Key Program of National Natural Science of China (grant number 41430857), the Funds for The Young Scientists Group of IGA, CAS (grant number DLSXZ1601), the Youth Innovation Promotion Association, CAS (grant number 2016209), the Major Program of National Natural Science Foundation of China-Fauna Sinica (grant number 31493021), the General and Special Program of China Postdoctoral Science Foundation (grant numbers 2015M580243 and 2016T90249), the Jilin Province Postdoctoral Science Foundation, and the grant from the Key Laboratory of Wetland Ecology and Environment of the Chinese Academy of Sciences (grant number 20160704).</t>
  </si>
  <si>
    <t>10.11646/zootaxa.4393.1.1</t>
  </si>
  <si>
    <t>FY9CT</t>
  </si>
  <si>
    <t>WOS:000427163600001</t>
  </si>
  <si>
    <t>Tripati, A; Darby, D</t>
  </si>
  <si>
    <t>Tripati, Aradhna; Darby, Dennis</t>
  </si>
  <si>
    <t>Evidence for ephemeral middle Eocene to early Oligocene Greenland glacial ice and pan-Arctic sea ice</t>
  </si>
  <si>
    <t>BIPOLAR GLACIATION; ANTARCTIC GLACIATION; CALCITE COMPENSATION; SEDIMENT SOURCES; NORWEGIAN SEAS; SOUTHERN-OCEAN; NORTH-ATLANTIC; RAFTED DEBRIS; CIRCULATION; MA</t>
  </si>
  <si>
    <t>Earth's modern climate is defined by the presence of ice at both poles, but that ice is now disappearing. Therefore understanding the origin and causes of polar ice stability is more critical than ever. Here we provide novel geochemical data that constrain past dynamics of glacial ice on Greenland and Arctic sea ice. Based on accurate source determinations of individual ice-rafted Fe-oxide grains, we find evidence for episodic glaciation of distinct source regions on Greenland as far-ranging as similar to 68 degrees N and similar to 80 degrees N synchronous with ice-rafting from circum-Arctic sources, beginning in the middle Eocene. Glacial intervals broadly coincide with reduced CO2, with a potential threshold for glacial ice stability near similar to 500 p.p.m.v. The middle Eocene represents the Cenozoic onset of a dynamic cryosphere, with ice in both hemispheres during transient glacials and substantial regional climate heterogeneity. A more stable cryosphere developed at the Eocene-Oligocene transition, and is now threatened by anthropogenic emissions.</t>
  </si>
  <si>
    <t>[Tripati, Aradhna] Univ Calif Los Angeles, Dept Earth Planetary &amp; Space Sci, Dept Atmospher &amp; Ocean Sci,Calif Nanosyst Inst, Inst Environm &amp; Sustainabil,Inst Geophys &amp; Planet, Los Angeles, CA 90095 USA; [Tripati, Aradhna] Univ Brest, European Inst Marine Sci IUEM, UMR 6538, Domaines Ocean, Rue Dumont DUrville, F-29280 Plouzane, France; [Tripati, Aradhna] IFREMER, F-29280 Plouzane, France; [Darby, Dennis] Old Dominion Univ, Dept Ocean Earth &amp; Atmospher Sci, Norfolk, VA 23529 USA</t>
  </si>
  <si>
    <t>University of California System; University of California Los Angeles; Universite de Bretagne Occidentale; Centre National de la Recherche Scientifique (CNRS); CNRS - National Institute for Earth Sciences &amp; Astronomy (INSU); Ifremer; Old Dominion University</t>
  </si>
  <si>
    <t>Tripati, A (corresponding author), Univ Calif Los Angeles, Dept Earth Planetary &amp; Space Sci, Dept Atmospher &amp; Ocean Sci,Calif Nanosyst Inst, Inst Environm &amp; Sustainabil,Inst Geophys &amp; Planet, Los Angeles, CA 90095 USA.;Tripati, A (corresponding author), Univ Brest, European Inst Marine Sci IUEM, UMR 6538, Domaines Ocean, Rue Dumont DUrville, F-29280 Plouzane, France.;Tripati, A (corresponding author), IFREMER, F-29280 Plouzane, France.;Darby, D (corresponding author), Old Dominion Univ, Dept Ocean Earth &amp; Atmospher Sci, Norfolk, VA 23529 USA.</t>
  </si>
  <si>
    <t>atripati@g.ucla.edu; ddarby@odu.edu</t>
  </si>
  <si>
    <t>Tripati, Aradhna Eagle/C-9419-2011</t>
  </si>
  <si>
    <t>NSF [NSF-ARC 1107942]; Department of Energy through BES grant [DE-FG02-13ER16402]; NSF through CAREER award [EAR-1325054]; Laboratoire d'Excellence LabexMER [ANR-10-LABX-19]; French government under the program Investissements d'Avenir; Directorate For Geosciences; Division Of Earth Sciences [1352212] Funding Source: National Science Foundation</t>
  </si>
  <si>
    <t>NSF(National Science Foundation (NSF)); Department of Energy through BES grant(United States Department of Energy (DOE)); NSF through CAREER award(National Science Foundation (NSF)); Laboratoire d'Excellence LabexMER; French government under the program Investissements d'Avenir(Agence Nationale de la Recherche (ANR)); Directorate For Geosciences; Division Of Earth Sciences(National Science Foundation (NSF)NSF - Directorate for Geosciences (GEO))</t>
  </si>
  <si>
    <t>This manuscript is dedicated to the memory of Michele Darby. We thank Robert Eagle for initiating this study, Ruediger Stein, Kate Ledger, Franek Hasiuk, Beth Caissie, and Al Wanamaker, Jr. for their comments on earlier drafts of this manuscript. This project uses samples from the Integrated Ocean Drilling Program. The Fe grain analyses were supported by NSF grant NSF-ARC 1107942. A.T. acknowledges support from the Department of Energy through BES grant DE-FG02-13ER16402 and NSF through CAREER award EAR-1325054. This work was also supported by the Laboratoire d'Excellence LabexMER (ANR-10-LABX-19) and co-funded by a grant from the French government under the program Investissements d'Avenir.</t>
  </si>
  <si>
    <t>10.1038/s41467-018-03180-5</t>
  </si>
  <si>
    <t>FY8NP</t>
  </si>
  <si>
    <t>WOS:000427122100002</t>
  </si>
  <si>
    <t>Le Quéré, C; Andrew, RM; Friedlingstein, P; Sitch, S; Pongratz, J; Manning, AC; Korsbakken, JI; Peters, GP; Canadell, JG; Jackson, RB; Boden, TA; Tans, PP; Andrews, OD; Arora, VK; Bakker, DCE; Barbero, L; Becker, M; Betts, RA; Bopp, L; Chevallier, F; Chini, LP; Ciais, P; Cosca, CE; Cross, J; Currie, K; Gasser, T; Harris, I; Hauck, J; Haverd, V; Houghton, RA; Hunt, CW; Hurtt, G; Ilyina, T; Jain, AK; Kato, E; Kautz, M; Keeling, RF; Goldewijk, KK; Körtzinger, A; Landschützer, P; Lefèvre, N; Lenton, A; Lienert, S; Lima, I; Lombardozzi, D; Metzl, N; Millero, F; Monteiro, PMS; Munro, DR; Nabel, JEMS; Nakaoka, S; Nojiri, Y; Padin, XA; Peregon, A; Pfeil, B; Pierrot, D; Poulter, B; Rehder, G; Reimer, J; Rödenbeck, C; Schwinger, J; Séférian, R; Skjelvan, I; Stocker, BD; Tian, HQ; Tilbrook, B; Tubiello, FN; van der Laan-Luijkx, IT; van der Werf, GR; van Heuven, S; Viovy, N; Vuichard, N; Walker, AP; Watson, AJ; Wiltshire, AJ; Zaehle, S; Zhu, D</t>
  </si>
  <si>
    <t>Le Quere, Corinne; Andrew, Robbie M.; Friedlingstein, Pierre; Sitch, Stephen; Pongratz, Julia; Manning, Andrew C.; Korsbakken, Jan Ivar; Peters, Glen P.; Canadell, Josep G.; Jackson, Robert B.; Boden, Thomas A.; Tans, Pieter P.; Andrews, Oliver D.; Arora, Vivek K.; Bakker, Dorothee C. E.; Barbero, Leticia; Becker, Meike; Betts, Richard A.; Bopp, Laurent; Chevallier, Frederic; Chini, Louise P.; Ciais, Philippe; Cosca, Catherine E.; Cross, Jessica; Currie, Kim; Gasser, Thomas; Harris, Ian; Hauck, Judith; Haverd, Vanessa; Houghton, Richard A.; Hunt, Christopher W.; Hurtt, George; Ilyina, Tatiana; Jain, Atul K.; Kato, Etsushi; Kautz, Markus; Keeling, Ralph F.; Goldewijk, Kees Klein; Koertzinger, Arne; Landschuetzer, Peter; Lefevre, Nathalie; Lenton, Andrew; Lienert, Sebastian; Lima, Ivan; Lombardozzi, Danica; Metzl, Nicolas; Millero, Frank; Monteiro, Pedro M. S.; Munro, David R.; Nabel, Julia E. M. S.; Nakaoka, Shin-ichiro; Nojiri, Yukihiro; Padin, X. Antonio; Peregon, Anna; Pfeil, Benjamin; Pierrot, Denis; Poulter, Benjamin; Rehder, Gregor; Reimer, Janet; Roedenbeck, Christian; Schwinger, Jorg; Seferian, Roland; Skjelvan, Ingunn; Stocker, Benjamin D.; Tian, Hanqin; Tilbrook, Bronte; Tubiello, Francesco N.; van der Laan-Luijkx, Ingrid T.; van der Werf, Guido R.; van Heuven, Steven; Viovy, Nicolas; Vuichard, Nicolas; Walker, Anthony P.; Watson, Andrew J.; Wiltshire, Andrew J.; Zaehle, Soenke; Zhu, Dan</t>
  </si>
  <si>
    <t>Global Carbon Budget 2017</t>
  </si>
  <si>
    <t>LAND-COVER CHANGE; EARTH SYSTEM MODEL; ENVIRONMENT SIMULATOR JULES; ANTHROPOGENIC CO2 UPTAKE; DIOXIDE EMISSIONS; ATMOSPHERIC CO2; FLUX VARIABILITY; FIRE EMISSIONS; OCEAN; NITROGEN</t>
  </si>
  <si>
    <t>Accurate assessment of anthropogenic carbon dioxide (CO2) emissions and their redistribution among the atmosphere, ocean, and terrestrial biosphere - the global carbon budget - is important to better understand the global carbon cycle, support the development of climate policies, and project future climate change. Here we describe data sets and methodology to quantify the five major components of the global carbon budget and their uncertainties. CO2 emissions from fossil fuels and industry (E-FF) are based on energy statistics and cement production data, respectively, while emissions from land-use change (E-LUC), mainly deforestation, are based on land-cover change data and bookkeeping models. The global atmospheric CO2 concentration is measured directly and its rate of growth (G(ATM)) is computed from the annual changes in concentration. The ocean CO2 sink (S-OCEAN) and terrestrial CO2 sink (S-LAND) are estimated with global process models constrained by observations. The resulting carbon budget imbalance (B-IM), the difference between the estimated total emissions and the estimated changes in the atmosphere, ocean, and terrestrial biosphere, is a measure of imperfect data and understanding of the contemporary carbon cycle. All uncertainties are reported as +/- 1 sigma. For the last decade available (2007-2016), E-FF was 9.4 +/- 0.5 GtC yr(-1), E-LUC 1.3 +/- 0.7 GtC yr(-1), G(ATM) 4.7 +/- 0.1 GtC yr(-1), S-OCEAN 2.4 +/- 0.5 GtC yr(-1), and S-LAND 3.0 +/- 0.8 GtC yr(-1), with a budget imbalance B-IM of 0.6 GtC yr(-1) indicating overestimated emissions and/or underestimated sinks. For year 2016 alone, the growth in E-FF was approximately zero and emissions remained at 9.9 +/- 0.5 GtC yr(-1). Also for 2016, E-LUC was 1.3 +/- 0.7 GtC yr(-1), G(ATM) was 6.1 +/- 0.2 GtC yr(-1), S-OCEAN was 2.6 +/- 0.5 GtC yr(-1), and S-LAND was 2.7 +/- 1.0 GtC yr(-1), with a small B-IM of 0.3 GtC. G(ATM) continued to be higher in 2016 compared to the past decade (2007-2016), reflecting in part the high fossil emissions and the small S-LAND consistent with El Nino conditions. The global atmospheric CO2 concentration reached 402.8 +/- 0.1 ppm averaged over 2016. For 2017, preliminary data for the first 6-9 months indicate a renewed growth in E-FF of +2.0% (range of 0.8 to 3.0 %) based on national emissions projections for China, USA, and India, and projections of gross domestic product (GDP) corrected for recent changes in the carbon intensity of the economy for the rest of the world. This living data update documents changes in the methods and data sets used in this new global carbon budget compared with previous publications of this data set (Le Quere et al., 2016, 2015b, a, 2014, 2013). All results presented here can be downloaded from https://doi.org/10.18160/GCP-2017 (GCP, 2017).</t>
  </si>
  <si>
    <t>[Le Quere, Corinne; Andrews, Oliver D.] Univ East Anglia, Tyndall Ctr Climate Change Res, Norwich Res Pk, Norwich NR4 7TJ, Norfolk, England; [Andrew, Robbie M.; Korsbakken, Jan Ivar; Peters, Glen P.] CICERO Ctr Int Climate Res, N-0349 Oslo, Norway; [Friedlingstein, Pierre] Univ Exeter, Coll Engn Math &amp; Phys Sci, Exeter EX4 4QF, Devon, England; [Sitch, Stephen; Betts, Richard A.; Wiltshire, Andrew J.] Univ Exeter, Coll Life &amp; Environm Sci, Exeter EX4 4RJ, Devon, England; [Pongratz, Julia; Ilyina, Tatiana; Landschuetzer, Peter; Nabel, Julia E. M. S.] Max Planck Inst Meteorol, Hamburg, Germany; [Manning, Andrew C.; Bakker, Dorothee C. E.] Univ East Anglia, Sch Environm Sci, Ctr Ocean &amp; Atmospher Sci, Norwich Res Pk, Norwich NR4 7TJ, Norfolk, England; [Canadell, Josep G.] CSIRO Oceans &amp; Atmosphere, Global Carbon Project, GPO Box 1700, Canberra, ACT 2601, Australia; [Jackson, Robert B.] Stanford Univ, Woods Inst Environm, Dept Earth Syst Sci, Stanford, CA 94305 USA; [Jackson, Robert B.] Stanford Univ, Precourt Inst Energy, Stanford, CA 94305 USA; [Boden, Thomas A.] Oak Ridge Natl Lab, Climate Change Sci Inst, Oak Ridge, TN 37831 USA; [Tans, Pieter P.] NOAA, ESRL, Boulder, CO 80305 USA; [Arora, Vivek K.] Environm &amp; Climate Change Canada, Canadian Ctr Climate Modelling &amp; Anal, Climate Res Div, Victoria, BC, Canada; [Barbero, Leticia; Pierrot, Denis] Univ Miami, Rosenstiel Sch Marine &amp; Atmospher Sci, Cooperat Inst Marine &amp; Atmospher Studies, Miami, FL 33149 USA; [Barbero, Leticia; Pierrot, Denis] NOAA, AOML, Miami, FL 33149 USA; [Becker, Meike; Pfeil, Benjamin] Univ Bergen, Geophys Inst, N-5020 Bergen, Norway; [Becker, Meike; Pfeil, Benjamin] Bjerknes Ctr Climate Res, N-5007 Bergen, Norway; [Betts, Richard A.; Wiltshire, Andrew J.] Met Off Hadley Ctr, FitzRoy Rd, Exeter EX1 3PB, Devon, England; [Bopp, Laurent] CNRS ENS UPMC X, Dept Geosci, Ecole Normale Super, Inst Pierre Simon Laplace,Lab Meteorol Dynam, 24 Rue Lhomond, F-75005 Paris, France; [Chevallier, Frederic; Ciais, Philippe; Peregon, Anna; Viovy, Nicolas; Vuichard, Nicolas; Zhu, Dan] CEA CNRS UVSQ, Inst Pierre Simon Laplace, Lab Sci Climat &amp; Environm, CE Orme Merisiers, F-91191 Gif Sur Yvette, France; [Chini, Louise P.; Hurtt, George] Univ Maryland, Dept Geog Sci, College Pk, MD 20742 USA; [Cosca, Catherine E.; Cross, Jessica] NOAA, Pacific Marine Environm Lab, Seattle, WA 98115 USA; [Currie, Kim] Natl Inst Water &amp; Atmospher Res NIWA, Dunedin 9054, New Zealand; [Gasser, Thomas] IIASA, A-2361 Laxenburg, Austria; [Harris, Ian] Univ East Anglia, Sch Environm Sci, NCAS Climate Climat Res Unit, Norwich Res Pk, Norwich NR4 7TJ, Norfolk, England; [Hauck, Judith] Helmholtz Ctr Polar &amp; Marine Res, Alfred Wegener Inst, Postfach 120161, D-27515 Bremerhaven, Germany; [Haverd, Vanessa] CSIRO Oceans &amp; Atmosphere, GPO Box 1700, Canberra, ACT 2601, Australia; [Houghton, Richard A.] WHRC, Falmouth, MA 02540 USA; [Hunt, Christopher W.] Univ New Hampshire, Ocean Proc Anal Lab, Durham, NH 03824 USA; [Jain, Atul K.] Univ Illinois, Dept Atmospher Sci, Urbana, IL 61801 USA; [Kato, Etsushi] IAE, Minato Ku, Tokyo 1050003, Japan; [Kautz, Markus] Karlsruhe Inst Technol, Inst Meteorol &amp; Climate Research Atmospher Enviro, D-82467 Garmisch Partenkirchen, Germany; [Keeling, Ralph F.] Univ Calif San Diego, Scripps Inst Oceanog, La Jolla, CA 92093 USA; [Goldewijk, Kees Klein] PBL Netherlands Environm Assessment Agcy, Bezuidenhoutseweg 30,POB 30314, NL-2500 GH The Hague, Netherlands; [Goldewijk, Kees Klein] Copernicus Inst Sustainable Dev, Dept IMEW, Fac Geosci, Heidelberglaan 2,POB 80115, NL-3508 TC Utrecht, Netherlands; [Koertzinger, Arne] GEOMAR Helmholtz Ctr Ocean Res Kiel, Dusternbrooker Weg 20, D-24105 Kiel, Germany; [Lefevre, Nathalie; Metzl, Nicolas] Univ Paris 06, UPMC, Sorbonne Univ, CNRS,IRD,MNHN,LOCEAN IPSL Lab, F-75252 Paris, France; [Lenton, Andrew; Tilbrook, Bronte] CSIRO Oceans &amp; Atmosphere, POB 1538, Hobart, Tas, Australia; [Lenton, Andrew; Tilbrook, Bronte] Univ Tasmania, Antarctic Climate &amp; Ecosyst Cooperat Res Ctr, Hobart, Tas, Australia; [Lienert, Sebastian] Univ Bern, Phys Inst, Climate &amp; Environm Phys, Bern, Switzerland; [Lienert, Sebastian] Univ Bern, Oeschger Ctr Climate Change Res, Bern, Switzerland; [Lima, Ivan] WHOI, Woods Hole, MA 02543 USA; [Lombardozzi, Danica] Natl Ctr Atmospher Res, Terr Sci Sect, Climate &amp; Global Dynam, Boulder, CO 80305 USA; [Millero, Frank] Univ Miami, RSMAS MAC, Dept Ocean Sci, 4600 Rickenbacker Causeway, Miami, FL 33149 USA; [Monteiro, Pedro M. S.] CSIR CHPC, Ocean Syst &amp; Climate, ZA-7700 Cape Town, South Africa; [Munro, David R.] Univ Colorado, Dept Atmospher &amp; Ocean Sci, Campus Box 450, Boulder, CO 80309 USA; [Munro, David R.] Univ Colorado, Inst Arctic &amp; Alpine Res, Campus Box 450, Boulder, CO 80309 USA; [Nakaoka, Shin-ichiro; Nojiri, Yukihiro] Natl Inst Environm Studies, Ctr Global Environm Res, 16-2 Onogawa, Tsukuba, Ibaraki 3058506, Japan; [Padin, X. Antonio] CSIC, Inst Invest Marinas, Vigo 36208, Spain; [Poulter, Benjamin] NASA, Goddard Space Flight Ctr, Biospher Sci Lab, Greenbelt, MD 20771 USA; [Poulter, Benjamin] Montana State Univ, Dept Ecol, Bozeman, MT 59717 USA; [Rehder, Gregor] Leibniz Inst Balt Sea Res Warnemunde, D-18119 Rostock, Germany; [Reimer, Janet] Univ Delaware, Sch Marine Sci &amp; Policy, Newark, DE 19716 USA; [Roedenbeck, Christian; Zaehle, Soenke] Max Planck Inst Biogeochem, POB 600164,Hans Knoll Str 10, D-07745 Jena, Germany; [Schwinger, Jorg; Skjelvan, Ingunn] Bjerknes Ctr Climate Res, Uni Res Climate, N-5007 Bergen, Norway; [Seferian, Roland] Ctr Natl Rech Meteorol, Unite Mixte Rech, Meteo France CNRS 3589, 42 Ave Gaspard Coriolis, F-31100 Toulouse, France; [Stocker, Benjamin D.] CREAF, E-08193 Bellaterra, Spain; [Tian, Hanqin] Auburn Univ, Sch Forestry &amp; Wildlife Sci, 602 Ducan Dr, Auburn, AL 36849 USA; [Tubiello, Francesco N.] Food &amp; Agr Org United Nat, Stat Div, Via Terme di Caracalla, I-00153 Rome, Italy; [van der Laan-Luijkx, Ingrid T.] Wageningen Univ &amp; Res, Dept Meteorol &amp; Air Qual, POB 47, NL-6700 AA Wageningen, Netherlands; [van der Werf, Guido R.] Vrije Univ Amsterdam, Fac Sci, Amsterdam, Netherlands; [van Heuven, Steven] Univ Groningen, ESRIG, Groningen, Netherlands; [Walker, Anthony P.] Oak Ridge Natl Lab, Div Environm Sci, POB 2008, Oak Ridge, TN 37831 USA; [Walker, Anthony P.] Oak Ridge Natl Lab, Climate Change Sci Inst, Oak Ridge, TN USA</t>
  </si>
  <si>
    <t>University of East Anglia; University of Exeter; University of Exeter; Max Planck Society; University of East Anglia; Commonwealth Scientific &amp; Industrial Research Organisation (CSIRO); Stanford University; Stanford University; United States Department of Energy (DOE); Oak Ridge National Laboratory; National Oceanic Atmospheric Admin (NOAA) - USA; Environment &amp; Climate Change Canada; Canadian Centre for Climate Modelling &amp; Analysis (CCCma); University of Miami; National Oceanic Atmospheric Admin (NOAA) - USA; Atlantic Oceanographic &amp; Meteorological Laboratory (AOML); University of Bergen; Bjerknes Centre for Climate Research; Met Office - UK; Hadley Centre; Centre National de la Recherche Scientifique (CNRS); CNRS - National Institute for Earth Sciences &amp; Astronomy (INSU); Universite PSL; Ecole Normale Superieure (ENS); Sorbonne Universite; Universite Paris Cite; Universite Paris Saclay; Universite Paris Cite; Universite Paris Saclay; CEA; Centre National de la Recherche Scientifique (CNRS); University System of Maryland; University of Maryland College Park; National Oceanic Atmospheric Admin (NOAA) - USA; International Institute for Applied Systems Analysis (IIASA); University of East Anglia; Helmholtz Association; Alfred Wegener Institute, Helmholtz Centre for Polar &amp; Marine Research; Commonwealth Scientific &amp; Industrial Research Organisation (CSIRO); University System Of New Hampshire; University of New Hampshire; University of Illinois System; University of Illinois Urbana-Champaign; Helmholtz Association; Karlsruhe Institute of Technology; University of California System; University of California San Diego; Scripps Institution of Oceanography; Helmholtz Association; GEOMAR Helmholtz Center for Ocean Research Kiel; Institut de Recherche pour le Developpement (IRD); Sorbonne Universite; Centre National de la Recherche Scientifique (CNRS); Museum National d'Histoire Naturelle (MNHN); Commonwealth Scientific &amp; Industrial Research Organisation (CSIRO); Antarctic Climate &amp; Ecosystems Cooperative Research Centre (ACE CRC); University of Tasmania; University of Bern; University of Bern; National Center Atmospheric Research (NCAR) - USA; University of Miami; University of Colorado System; University of Colorado Boulder; University of Colorado System; University of Colorado Boulder; National Institute for Environmental Studies - Japan; Consejo Superior de Investigaciones Cientificas (CSIC); CSIC - Instituto de Investigaciones Marinas (IIM); National Aeronautics &amp; Space Administration (NASA); NASA Goddard Space Flight Center; Montana State University System; Montana State University Bozeman; Leibniz Institut fur Ostseeforschung Warnemunde; University of Delaware; Max Planck Society; Bjerknes Centre for Climate Research; Meteo France; Centro de Investigacion Ecologica y Aplicaciones Forestales (CREAF-CERCA); Auburn University System; Auburn University; Food &amp; Agriculture Organization of the United Nations (FAO); Wageningen University &amp; Research; Vrije Universiteit Amsterdam; University of Groningen; United States Department of Energy (DOE); Oak Ridge National Laboratory; United States Department of Energy (DOE); Oak Ridge National Laboratory</t>
  </si>
  <si>
    <t>Le Quéré, C (corresponding author), Univ East Anglia, Tyndall Ctr Climate Change Res, Norwich Res Pk, Norwich NR4 7TJ, Norfolk, England.</t>
  </si>
  <si>
    <t>c.lequere@uea.ac.uk</t>
  </si>
  <si>
    <t>Wiltshire, Andy/C-2848-2008; Séférian, Roland/ABD-5465-2021; Hauck, Judith/AAC-3967-2019; Chevallier, Frederic/E-9608-2016; Nojiri, Yukihiro/D-1999-2010; Tans, Pieter/AAG-8273-2019; Peters, Glen P/B-1012-2008; Kautz, Markus/E-1352-2014; Manning, Andrew/AAN-5629-2021; Körtzinger, Arne/A-4141-2014; Hurtt, George/A-8450-2012; Klein Goldewijk, Kees/L-5567-2013; van der Werf, Guido/JXY-9197-2024; Jain, Atul/D-2851-2016; Luijkx, Ingrid/G-9169-2011; bopp, laurent/ABF-5302-2020; Le Quéré, Corinne/C-2631-2017; Zaehle, Sönke/C-9528-2017; Tilbrook, Bronte/W-4007-2019; Lenton, Andrew/D-2077-2012; Kato, Etsushi/Q-2623-2018; Lima, Ivan D/A-6823-2016; Barbero, Leticia/B-5237-2011; Poulter, Ben/ABB-5886-2021; Schwinger, Jörg/AAN-6573-2021; Friedlingstein, Pierre/H-2700-2014; Canadell, Pep/E-9419-2010; Monteiro, Pedro M. S./D-3767-2009; Walker, Anthony P/G-2931-2016; Padin, X.A./AAA-1305-2019; ramon, anna/O-1249-2019; Shin-ichiro, Nakaoka/I-7222-2018; Viovy, Nicolas/S-2631-2018; Ciais, Philippe/A-6840-2011; Landschützer, Peter/IQU-3835-2023; Stocker, Benjamin David/K-3194-2015; Zhu, Dan/J-4450-2019; Andrew, Robbie/B-4204-2008; Harris, Ian C/O-7772-2014; van der Laan-Luijkx, Ingrid/P-4925-2019; Pierrot, Denis/AAH-7687-2020; Pongratz, Julia/AAG-3274-2019; haverd, vanessa/G-8683-2011; Betts, Richard A/P-8976-2015; Gasser, Thomas/E-9815-2018; Munro, David/ABA-2074-2020; Ilyina, Tatiana/ABE-9164-2020; Sitch, Stephen/F-8034-2015; Tian, Hanqin/A-6484-2012; Bakker, Dorothee/E-4951-2015</t>
  </si>
  <si>
    <t>Séférian, Roland/0000-0002-2571-2114; Hauck, Judith/0000-0003-4723-9652; Chevallier, Frederic/0000-0002-4327-3813; Nojiri, Yukihiro/0000-0001-9885-9195; Tans, Pieter/0000-0002-9883-0787; Peters, Glen P/0000-0001-7889-8568; Manning, Andrew/0000-0001-6952-7773; Hurtt, George/0000-0001-7278-202X; Jain, Atul/0000-0002-4051-3228; bopp, laurent/0000-0003-4732-4953; Le Quéré, Corinne/0000-0003-2319-0452; Zaehle, Sönke/0000-0001-5602-7956; Tilbrook, Bronte/0000-0001-9385-3827; Kato, Etsushi/0000-0001-8814-804X; Poulter, Ben/0000-0002-9493-8600; Schwinger, Jörg/0000-0002-7525-6882; Friedlingstein, Pierre/0000-0003-3309-4739; Canadell, Pep/0000-0002-8788-3218; Walker, Anthony P/0000-0003-0557-5594; Shin-ichiro, Nakaoka/0000-0002-3870-1721; Viovy, Nicolas/0000-0002-9197-6417; Ciais, Philippe/0000-0001-8560-4943; Landschützer, Peter/0000-0002-7398-3293; Stocker, Benjamin David/0000-0003-2697-9096; Zhu, Dan/0000-0002-5857-1899; Andrew, Robbie/0000-0001-8590-6431; van der Laan-Luijkx, Ingrid/0000-0002-3990-6737; Betts, Richard A/0000-0002-4929-0307; Gasser, Thomas/0000-0003-4882-2647; Ilyina, Tatiana/0000-0002-3475-4842; Sitch, Stephen/0000-0003-1821-8561; Tian, Hanqin/0000-0002-1806-4091; Bakker, Dorothee/0000-0001-9234-5337; Jackson, Robert/0000-0001-8846-7147</t>
  </si>
  <si>
    <t>NERC [NE/P021417/1] Funding Source: UKRI; Directorate For Geosciences; Div Atmospheric &amp; Geospace Sciences [1243071] Funding Source: National Science Foundation; Directorate For Geosciences; Office of Polar Programs (OPP) [1543457] Funding Source: National Science Foundation</t>
  </si>
  <si>
    <t>NERC(UK Research &amp; Innovation (UKRI)Natural Environment Research Council (NERC)); Directorate For Geosciences; Div Atmospheric &amp; Geospace Sciences(National Science Foundation (NSF)NSF - Directorate for Geosciences (GEO)); Directorate For Geosciences; Office of Polar Programs (OPP)(National Science Foundation (NSF)NSF - Directorate for Geosciences (GEO))</t>
  </si>
  <si>
    <t>10.5194/essd-10-405-2018</t>
  </si>
  <si>
    <t>FZ0OV</t>
  </si>
  <si>
    <t>Green Submitted, Green Published, Green Accepted, gold</t>
  </si>
  <si>
    <t>WOS:000427271100001</t>
  </si>
  <si>
    <t>Fernández-Méndez, M; Olsen, LM; Kauko, HM; Meyer, A; Rösel, A; Merkouriadi, I; Mundy, CJ; Ehn, JK; Johansson, AM; Wagner, PM; Ervik, Å; Sorrell, BK; Duarte, P; Wold, A; Hop, H; Assmy, P</t>
  </si>
  <si>
    <t>Fernandez-Mendez, Mar; Olsen, Lasse M.; Kauko, Hanna M.; Meyer, Amelie; Rosel, Anja; Merkouriadi, Ioanna; Mundy, Christopher J.; Ehn, Jens K.; Johansson, A. Malin; Wagner, Penelope M.; Ervik, Ase; Sorrell, Brian K.; Duarte, Pedro; Wold, Anette; Hop, Haakon; Assmy, Philipp</t>
  </si>
  <si>
    <t>Algal Hot Spots in a Changing Arctic Ocean: Sea-Ice Ridges and the Snow-Ice Interface</t>
  </si>
  <si>
    <t>Arctic ecosystem; ice algae; phytoplankton; infiltration communities; sea-ice ridges; community composition; climate change</t>
  </si>
  <si>
    <t>MICROBIAL COMMUNITIES; PHYTOPLANKTON BLOOMS; MCMURDO SOUND; BARENTS SEA; LARGE-SCALE; ASSEMBLAGES; PHAEOCYSTIS; MORPHOLOGY; VARIABILITY; MICROALGAE</t>
  </si>
  <si>
    <t>During the N-ICE2015 drift expedition north-west of Svalbard, we observed the establishment and development of algal communities in first-year ice (FYI) ridges and at the snow-ice interface. Despite some indications of being hot spots for biological activity, ridges are under-studied largely because they are complex structures that are difficult to sample. Snow infiltration communities can grow at the snow-ice interface when flooded. They have been commonly observed in the Antarctic, but rarely in the Arctic, where flooding is less common mainly due to a lower snow-to-ice thickness ratio. Combining biomass measurements and algal community analysis with under-ice irradiance and current measurements as well as light modeling, we comprehensively describe these two algal habitats in an Arctic pack ice environment. High biomass accumulation in ridges was facilitated by complex surfaces for algal deposition and attachment, increased light availability, and protection against strong under-ice currents. Notably, specific locations within the ridges were found to host distinct ice algal communities. The pennate diatoms Nitzschia frigida and Navicula species dominated the underside and inclined walls of submerged ice blocks, while the centric diatom Shionodiscus bioculatus dominated the top surfaces of the submerged ice blocks. Higher light levels than those in and below the sea ice, low mesozooplankton grazing, and physical concentration likely contributed to the high algal biomass at the snow-ice interface. These snow infiltration communities were dominated by Phaeocystis pouchetii and chain-forming pelagic diatoms (Fragilariopsis oceanica and Chaetoceros gelidus). Ridges are likely to form more frequently in a thinner and more dynamic ice pack, while the predicted increase in Arctic precipitation in some regions in combination with the thinning Arctic icescape might lead to larger areas of sea ice with negative freeboard and subsequent flooding during the melt season. Therefore, these two habitats are likely to become increasingly important in the new Arctic with implications for carbon export and transfer in the ice-associated ecosystem.</t>
  </si>
  <si>
    <t>[Fernandez-Mendez, Mar; Olsen, Lasse M.; Kauko, Hanna M.; Meyer, Amelie; Rosel, Anja; Merkouriadi, Ioanna; Duarte, Pedro; Wold, Anette; Hop, Haakon; Assmy, Philipp] Norwegian Polar Res Inst, Fram Ctr, Tromso, Norway; [Mundy, Christopher J.; Ehn, Jens K.] Univ Manitoba, Ctr Earth Observat Sci, Winnipeg, MB, Canada; [Johansson, A. Malin] UiT Arctic Univ Norway, Dept Phys &amp; Technol, Tromso, Norway; [Wagner, Penelope M.] Norwegian Meteorol Inst, Norwegian Ice Serv, Tromso, Norway; [Ervik, Ase] Norwegian Univ Sci &amp; Technol, Ctr Res Based Innovat, Sustainable Arctic Marine &amp; Coastal Technol, Trondheim, Norway; [Ervik, Ase] Univ Ctr Svalbard, Longyearbyen, Norway; [Sorrell, Brian K.] Aarhus Univ, Dept Biosci, Aarhus, Denmark; [Hop, Haakon] UiT Arctic Univ Norway, Fac Biosci Fisheries &amp; Econ, Dept Arctic &amp; Marine Biol, Tromso, Norway</t>
  </si>
  <si>
    <t>Norwegian Polar Institute; University of Manitoba; UiT The Arctic University of Tromso; Norwegian Meteorological Institute; Norwegian University of Science &amp; Technology (NTNU); University Centre Svalbard (UNIS); Aarhus University; UiT The Arctic University of Tromso</t>
  </si>
  <si>
    <t>Fernández-Méndez, M (corresponding author), Norwegian Polar Res Inst, Fram Ctr, Tromso, Norway.</t>
  </si>
  <si>
    <t>mar.fdez.mendez@gmail.com</t>
  </si>
  <si>
    <t>Wold, Anette/JXN-7159-2024; Wagner, Penelope Mae/ABQ-4377-2022; Duarte, Pedro/F-1247-2014; Sorrell, Brian/L-1351-2013</t>
  </si>
  <si>
    <t>Wagner, Penelope Mae/0000-0001-5268-4510; Duarte, Pedro/0000-0001-7461-605X; Johansson, Malin/0000-0003-0129-2239; Fernandez-Mendez, Mar/0000-0002-4968-1156; Meyer, Amelie/0000-0003-0447-795X; Ehn, Jens/0000-0002-8885-7441; Mundy, C.J./0000-0001-5945-8305; Kauko, Hanna Maria/0000-0002-3384-6454; Sorrell, Brian/0000-0002-2460-8438</t>
  </si>
  <si>
    <t>Centre of Ice, Climate and Ecosystems at the Norwegian Polar Institute through the N-ICE2015 project; Research Council of Norway [244646]; Ministry of Foreign Affairs, Norway, through the ID Arctic project; Norwegian Research Council (NFR) through the NORRUSS program [233896]; CIRFA (NFR) [237906]; Canada Foundation for Innovation (CFI) grant</t>
  </si>
  <si>
    <t>Centre of Ice, Climate and Ecosystems at the Norwegian Polar Institute through the N-ICE2015 project; Research Council of Norway(Research Council of Norway); Ministry of Foreign Affairs, Norway, through the ID Arctic project; Norwegian Research Council (NFR) through the NORRUSS program; CIRFA (NFR); Canada Foundation for Innovation (CFI) grant</t>
  </si>
  <si>
    <t>@ This study was supported by the Centre of Ice, Climate and Ecosystems at the Norwegian Polar Institute through the N-ICE2015 project. PA, PD, LO, HK, CM, BS, and HH were supported by the Research Council of Norway (project Boom or Bust no. 244646). MF-M, PA, CM, AR, and HH were supported by the Ministry of Foreign Affairs, Norway, through the ID Arctic project. AJ was funded by the Norwegian Research Council (NFR) through the NORRUSS program (NFR project no. 233896) and we were thankful for using resources developed under CIRFA (NFR number 237906). The ROV purchase was funded by the Canada Foundation for Innovation (CFI) grant to CM and JE.</t>
  </si>
  <si>
    <t>10.3389/fmars.2018.00075</t>
  </si>
  <si>
    <t>HJ1PD</t>
  </si>
  <si>
    <t>WOS:000456934900001</t>
  </si>
  <si>
    <t>Heindel, RC; Chipman, JW; Dietrich, JT; Virginia, RA</t>
  </si>
  <si>
    <t>Heindel, Ruth C.; Chipman, Jonathan W.; Dietrich, James T.; Virginia, Ross A.</t>
  </si>
  <si>
    <t>Quantifying rates of soil deflation with Structure-from-Motion photogrammetry in west Greenland</t>
  </si>
  <si>
    <t>Photogrammetry; Structure-from-Motion; soil erosion; Arctic; aeolian processes</t>
  </si>
  <si>
    <t>HOLOCENE CLIMATE; TOPOGRAPHY; KANGERLUSSUAQ; IMPACTS; EROSION; DUST; UAV</t>
  </si>
  <si>
    <t>Aeolian processes are important drivers of geomorphic change in cold regions. Because these processes often occur at slow timescales over large areas, it can be difficult to quantify rates using traditional field methods. In the Kangerlussuaq region of Greenland, strong katabatic winds have shaped distinct erosional landforms, or deflation patches, that appear to expand across the landscape. The modern erosion rate along the active margins, or scarps, of these deflation patches is unknown. We use Structure-from-Motion (SfM) photogrammetry to quantify the geomorphic change of ten deflation patches between 2014 and 2016. During the two-year study period, significant positive and negative change occurred at all sites, suggesting that deflation patches are active landforms and that geomorphic change is highly heterogeneous and localized. We observed significant change primarily along the scarps, while little to no change occurred in the center of the patches. Along the scarps, the mean negative change ranged from -0.7 to -2.5 cm, and erosion dominated in eight out of the ten deflation patches. The modern erosion rate appears to be lower than the century-scale rate of 2.5 cm yr(-1) estimated from prior work using lichenometry, potentially because of the episodic nature of scarp retreat. Longer-term monitoring using these methods will help quantify the geomorphic response of this landscape to a rapidly changing regional climate.</t>
  </si>
  <si>
    <t>[Heindel, Ruth C.] Dartmouth Coll, Dept Earth Sci, Hanover, NH 03755 USA; [Heindel, Ruth C.] Univ Colorado, Inst Arctic &amp; Alpine Res, Boulder, CO 80309 USA; [Chipman, Jonathan W.; Dietrich, James T.] Dartmouth Coll, Dept Geog, Hanover, NH 03755 USA; [Dietrich, James T.] Dartmouth Coll, William H Neukom Inst Computat Sci, Hanover, NH 03755 USA; [Dietrich, James T.] Univ Northern Iowa, Dept Geog, Cedar Falls, IA USA; [Virginia, Ross A.] Dartmouth Coll, Environm Studies Program, Hanover, NH 03755 USA</t>
  </si>
  <si>
    <t>Dartmouth College; University of Colorado System; University of Colorado Boulder; Dartmouth College; Dartmouth College; University of Northern Iowa; Dartmouth College</t>
  </si>
  <si>
    <t>Heindel, RC (corresponding author), Dartmouth Coll, Dept Earth Sci, Hanover, NH 03755 USA.;Heindel, RC (corresponding author), Univ Colorado, Inst Arctic &amp; Alpine Res, Boulder, CO 80309 USA.</t>
  </si>
  <si>
    <t>ruth.heindel@colorado.edu</t>
  </si>
  <si>
    <t>; Dietrich, James/J-9832-2012</t>
  </si>
  <si>
    <t>Heindel, Ruth/0000-0001-6292-2076; Dietrich, James/0000-0002-2432-5243; Chipman, Jonathan/0000-0003-4629-5273</t>
  </si>
  <si>
    <t>NSF IGERT [0801490]</t>
  </si>
  <si>
    <t>NSF IGERT(National Science Foundation (NSF))</t>
  </si>
  <si>
    <t>This research was supported in part by NSF IGERT award #0801490 to RAV.</t>
  </si>
  <si>
    <t>MAR 9</t>
  </si>
  <si>
    <t>e1415852</t>
  </si>
  <si>
    <t>10.1080/15230430.2017.1415852</t>
  </si>
  <si>
    <t>GN1JH</t>
  </si>
  <si>
    <t>WOS:000438745200001</t>
  </si>
  <si>
    <t>Brainard, J</t>
  </si>
  <si>
    <t>Brainard, Jeffrey</t>
  </si>
  <si>
    <t>Ice blocks Antarctic mission</t>
  </si>
  <si>
    <t>SCIENCE</t>
  </si>
  <si>
    <t>0036-8075</t>
  </si>
  <si>
    <t>1095-9203</t>
  </si>
  <si>
    <t>Science</t>
  </si>
  <si>
    <t>FY4ZM</t>
  </si>
  <si>
    <t>WOS:000426835900010</t>
  </si>
  <si>
    <t>D'Acoz, CD; Degrave, S</t>
  </si>
  <si>
    <t>D'Acoz, Cedric D'Udekem; Degrave, Sammy</t>
  </si>
  <si>
    <t>A new genus and species of large-bodied caridean shrimp from the Crozet Islands, Southern Ocean (Crustacea, Decapoda, Lipkiidae) with a checklist of Antarctic and sub-Antarctic shrimps</t>
  </si>
  <si>
    <t>Fresnerhynchus; Lipkius; systematics; Southern Ocean; deep-sea</t>
  </si>
  <si>
    <t>EASTERN WEDDELL SEA; NAUTICARIS-MAGELLANICA EDWARDS,A.MILNE; H. MILNE-EDWARDS; CHORISMUS-ANTARCTICUS; LARVAL DEVELOPMENT; ATLANTIC-OCEAN; NEW-ZEALAND; NEMATOCARCINUS LANCEOPES; PELAGIC SHRIMPS; N-LONGIROSTRIS</t>
  </si>
  <si>
    <t>A new, over 10 cm long, sub-Antarctic shrimp, Fresnerhynchus crozeti n. gen., n. sp. is described based on a unique specimen collected with long lines at 1889 m on the slope of a seamount northwest of the Crozet Islands. It is included in the previously monotypic family Lipkiidae Burukovsky, 2012 based on morphological and molecular data. However, the posterior pereiopods of Fresnerhynchus are reminiscent to those of the Rhynchocinetidae, especially by the short spinose dactyli, and by the absence of a sternal plate. The elusive nature of F. crozeti, which is a large and highly characteristic shrimp, is attributed to its putative habitat (hard bottom, steep deep sea slopes), which is difficult to sample with conventional gear, and the remote geographical location. A brief discussion on the biogeography of Antarctic and sub-Antarctic decapods is provided. A review of Antarctic and sub-Antarctic dendrobranchiate and caridean shrimps is appended.</t>
  </si>
  <si>
    <t>[D'Acoz, Cedric D'Udekem] Royal Belgian Inst Nat Sci, Rue Vautier 29, B-1000 Brussels, Belgium; [Degrave, Sammy] Univ Oxford, Museum Nat Hist, Parks Rd, Oxford OX1 3PW, England</t>
  </si>
  <si>
    <t>Royal Belgian Institute of Natural Sciences; University of Oxford</t>
  </si>
  <si>
    <t>D'Acoz, CD (corresponding author), Royal Belgian Inst Nat Sci, Rue Vautier 29, B-1000 Brussels, Belgium.</t>
  </si>
  <si>
    <t>cdudekem@naturalsciences.be; sammy.degrave@oum.ox.ac.uk</t>
  </si>
  <si>
    <t>Belgian Science Policy Office (BELSPO) [BR/132/A1/vERSO, BR/154/A1/RECTO, 3, 24]</t>
  </si>
  <si>
    <t>Belgian Science Policy Office (BELSPO)(Belgian Federal Science Policy Office)</t>
  </si>
  <si>
    <t>Cyril Gallut (Universite Pierre et Marie Curie) and Marc Eleaume (MNHN) are acknowledged for inviting the first author to the Antarctic Biodiversity Workshop in Concarneau, 24 Oct. -2 Nov. 2016, where he found a jar with the new shrimp. We would also express all our gratitude to Laure Corbari (MNHN) for giving us the authorization to study the specimen, and to Alexis Martin (MNHN) for making the material of the COPEC available at the workshop (collecting by Eric Vicinati) and information on this material. We would like to thank the UMR BOREA team at the Museum national d'Histoire naturelle, Paris, which is in charge of the scientific monitoring of the southern French fisheries. Kareen Schnabel (NIWA) kindly provided us with important publications unavailable to us and Sadie Mills who provided Lipkius specimens, which were collected under the following research project: Seamounts: their importance to fisheries and marine ecosystems, undertaken by NIWA and funded by the former New Zealand Foundation for Science, Research and Technology, with complimentary funding from the former New Zealand Ministry of Fisheries. Yunshi Liao (Chinese University of Hong Kong) and Sancia van der Meij (OUMH) facilitated the genetic part of this study, whilst Arthur Anker translated relevant Russian literature. This is contribution nr 24 to the vERSO project (www.versoproject.be), funded by the Belgian Science Policy Office (BELSPO, contract no BR/132/A1/vERSO) Nr 3 for rECTO (BELSPO, contract no BR/154/A1/RECTO). The participation of the first author to the workshop was carried out in the framework of these projects.</t>
  </si>
  <si>
    <t>10.11646/zootaxa.4392.2.1</t>
  </si>
  <si>
    <t>FY4UK</t>
  </si>
  <si>
    <t>WOS:000426821900001</t>
  </si>
  <si>
    <t>Fanciulli, PP; Leo, C; Convey, P; Frati, F; Carapelli, A</t>
  </si>
  <si>
    <t>Fanciulli, Pietro Paolo; Leo, Chiara; Convey, Peter; Frati, Francesco; Carapelli, Antonio</t>
  </si>
  <si>
    <t>Redescription and neotype designation of the Antarctic springtail Folsomotoma octooculata (Collembola: Isotomidae)</t>
  </si>
  <si>
    <t>Antarctic Peninsula; taxonomy; chaetotaxy; identification key</t>
  </si>
  <si>
    <t>The growing interest in Antarctic collembolan species has led us to re-evaluate both the morphological and molecular aspects of different species adapted to the extreme Antarctic environment. The genus Folsomotoma includes nine species mainly distributed in Antarctic and subantarctic areas and a few additionally from Australia and South America. We herein designate the neotype of Folsomotoma octooculata (Willem 1901) and redescribe its morphological characters with particular emphasis on the sensory and ordinary chaetotaxy. Furthermore, based on analyses of both our new and previously published morphological data for F. octooculata, we propose a systematic key of the species for the genus.</t>
  </si>
  <si>
    <t>[Fanciulli, Pietro Paolo; Leo, Chiara; Frati, Francesco; Carapelli, Antonio] Univ Siena, Dept Life Sci, Via Aldo Moro 2, I-53100 Siena, Italy; [Convey, Peter] British Antarctic Survey, NERC, Madingley Rd, Cambridge CB3 0ET, England</t>
  </si>
  <si>
    <t>University of Siena; UK Research &amp; Innovation (UKRI); Natural Environment Research Council (NERC); NERC British Antarctic Survey</t>
  </si>
  <si>
    <t>Fanciulli, PP (corresponding author), Univ Siena, Dept Life Sci, Via Aldo Moro 2, I-53100 Siena, Italy.</t>
  </si>
  <si>
    <t>paolo.fanciulli@unisi.it; leo6@student.unisi.it; pcon@bas.ac.uk; francesco.frati@unisi.it; antonio.carapelli@unisi.it</t>
  </si>
  <si>
    <t>Carapelli, Antonio/H-9216-2019; Convey, Peter/AAV-5728-2020; Leo, Chiara/AAG-7672-2021</t>
  </si>
  <si>
    <t>Carapelli, Antonio/0000-0002-3165-9620; Convey, Peter/0000-0001-8497-9903; Leo, Chiara/0000-0003-0510-2535</t>
  </si>
  <si>
    <t>Italian National Antarctic Research Program (PNRA); NERC [bas0100036] Funding Source: UKRI</t>
  </si>
  <si>
    <t>Italian National Antarctic Research Program (PNRA)(Ministry of Education, Universities and Research (MIUR)); NERC(UK Research &amp; Innovation (UKRI)Natural Environment Research Council (NERC))</t>
  </si>
  <si>
    <t>This work was funded by the Italian National Antarctic Research Program (PNRA). The logistic support of the BAS and HMS Endurance was crucial for the collection of the material. We thank Professor Mikhail Potapov and the anonymous reviewer for their constructive and helpful comments and suggestions that improved the manuscript.</t>
  </si>
  <si>
    <t>250F Marua Road Mt Wellington, AUCKLAND, ST LUKES 1023, NEW ZEALAND</t>
  </si>
  <si>
    <t>10.11646/zootaxa.4392.2.11</t>
  </si>
  <si>
    <t>WOS:000426821900011</t>
  </si>
  <si>
    <t>Martins, RM; Nedel, F; Guimaraes, VBS; da Silva, AF; Colepicolo, P; de Pereira, CMP; Lund, RG</t>
  </si>
  <si>
    <t>Martins, Rosiane M.; Nedel, Fernanda; Guimaraes, Victoria B. S.; da Silva, Adriana F.; Colepicolo, Pio; de Pereira, Claudio M. P.; Lund, Rafael G.</t>
  </si>
  <si>
    <t>Macroalgae Extracts From Antarctica Have Antimicrobial and Anticancer Potential</t>
  </si>
  <si>
    <t>marine natural products; seaweeds; antibacterial agents; antifungal agents; antineoplastic agents</t>
  </si>
  <si>
    <t>MARINE; ANTIBACTERIAL; SEAWEEDS; IDENTIFICATION; DISCOVERY; APOPTOSIS; ARREST; DRUGS</t>
  </si>
  <si>
    <t>Background: Macroalgae are sources of bioactive compounds due to the large number of secondary metabolites they synthesize. The Antarctica region is characterized by extreme weather conditions and abundant aggregations of macroalgae. However, current knowledge on their biodiversity and their potential for bio-prospecting is still fledging. This study evaluates the antimicrobial and cytotoxic activity of different extracts of four macroalgae (Cystosphaera jacquinotii, Iridaea cordata, Himantothallus grandifolius, and Pyropia endiviifolia) from the Antarctic region against cancer and non-cancer cell lines. Methods: The antimicrobial activity of macroalgae was evaluated by the broth microdilution method. Extracts were assessed against Staphylococcus aureus ATCC 19095, Enterococcus faecalis ATCC 4083, Escherichia coli ATCC29214, Pseudomonas aeruginosa ATCC 9027, Candida albicans ATCC 62342, and the clinical isolates from the human oral cavity, namely, C. albicans (3), C. parapsilosis, C. glabrata, C. lipolytica, and C. famata. Cytotoxicity against human epidermoid carcinoma (A-431) and mouse embryonic fibroblast (NIH/3T3) cell lines was evaluated with MTT colorimetric assay. Results: An ethyl acetate extract of H. grandifolius showed noticeable antifungal activity against all fungal strains tested, including fluconazole-resistant samples. Cytotoxicity investigation with a cancer cell line revealed that the ethyl acetate extract of I. cordata was highly cytotoxic against A-431 cancer cell line, increasing the inhibitory ratio to 91.1 and 95.6% after 24 and 48 h exposure, respectively, for a concentration of 500 mu g mL(-1). Most of the algal extracts tested showed little or no cytotoxicity against fibroblasts. Conclusion: Data suggest that macroalgae extracts from Antarctica may represent a source of therapeutic agents. HIGHLIGHTS Different macroalgae samples from Antarctica were collected and the lyophilized biomass of each macroalgae was extracted sequentially with different solvents The antimicrobial and anticancer potential of macroalgae extracts were evaluated Ethyl acetate extract of H. grandifolius showed noticeable antifungal activity against all the fungal strains tested, including fluconazole-resistant samples Ethyl acetate extract of I. cordata was highly cytotoxic against the A-431 cancer cell line Most of the algal extracts tested showed little or no cytotoxicity against normal cell lines</t>
  </si>
  <si>
    <t>[Martins, Rosiane M.] Univ Fed Pelotas, Postgrad Program Biochem &amp; Bioprospecting, Pelotas, Brazil; [Nedel, Fernanda; Guimaraes, Victoria B. S.; da Silva, Adriana F.; Lund, Rafael G.] Univ Fed Pelotas, Sch Dent, Postgrad Program Dent, Pelotas, Brazil; [Colepicolo, Pio] State Univ Sao Paulo, Inst Chem, Dept Biochem, Sao Paulo, Brazil; [de Pereira, Claudio M. P.] Univ Fed Pelotas, Ctr Chem Pharmaceut &amp; Food Sci, Pelotas, Brazil</t>
  </si>
  <si>
    <t>Universidade Federal de Pelotas; Universidade Federal de Pelotas; Universidade Estadual Paulista; Universidade Federal de Pelotas</t>
  </si>
  <si>
    <t>Lund, RG (corresponding author), Univ Fed Pelotas, Sch Dent, Postgrad Program Dent, Pelotas, Brazil.</t>
  </si>
  <si>
    <t>rafael.lund@gmail.com</t>
  </si>
  <si>
    <t>Lund, Rafael/AAA-2560-2019; da Silva, Adriana Fernandes/D-7816-2013; Nedel, Fernanda/N-6830-2013; de Pereira, Claudio Pereira/T-7512-2019; Fapesp, Biota/F-8655-2017; Lund, Rafael Guerra/B-5364-2017</t>
  </si>
  <si>
    <t>Lund, Rafael/0000-0003-1006-3809; da Silva, Adriana Fernandes/0000-0002-3942-7138; Nedel, Fernanda/0000-0002-9055-8328; de Pereira, Claudio Pereira/0000-0002-2818-4281; Fapesp, Biota/0000-0002-9887-8449;</t>
  </si>
  <si>
    <t>Brazilian research funding agency FAPESP; Brazilian research funding agency CNPq; Brazilian research funding agency FAPERGS; Brazilian research funding agency CAPES</t>
  </si>
  <si>
    <t>Brazilian research funding agency FAPESP(Fundacao de Amparo a Pesquisa do Estado de Sao Paulo (FAPESP)); Brazilian research funding agency CNPq(Conselho Nacional de Desenvolvimento Cientifico e Tecnologico (CNPQ)); Brazilian research funding agency FAPERGS; Brazilian research funding agency CAPES(Coordenacao de Aperfeicoamento de Pessoal de Nivel Superior (CAPES))</t>
  </si>
  <si>
    <t>We wish to thank the Brazilian Antarctic Program (ProAntar) and Botanical Institute of Sao Paulo for the collection and identification of the algal species used in this study and the Brazilian research funding agencies FAPERGS, FAPESP, CAPES, and CNPq.</t>
  </si>
  <si>
    <t>MAR 8</t>
  </si>
  <si>
    <t>10.3389/fmicb.2018.00412</t>
  </si>
  <si>
    <t>FY5BI</t>
  </si>
  <si>
    <t>WOS:000426840700002</t>
  </si>
  <si>
    <t>Abbott, AS; Schaefer, HF</t>
  </si>
  <si>
    <t>Abbott, Adam S.; Schaefer, Henry F., III</t>
  </si>
  <si>
    <t>The Structure and Cl-O Dissociation Energy of the ClOO Radical: Finally, the Right Answers for the Right Reason</t>
  </si>
  <si>
    <t>JOURNAL OF PHYSICAL CHEMISTRY A</t>
  </si>
  <si>
    <t>DENSITY-FUNCTIONAL THEORY; COMPLETE BASIS-SET; ANTARCTIC OZONE; WAVE-FUNCTIONS; AB-INITIO; RELATIVISTIC CORRECTIONS; SYSTEMATIC SEQUENCES; ELECTRON-AFFINITIES; PERTURBATION-THEORY; MATRIX-ISOLATION</t>
  </si>
  <si>
    <t>The chlorine peroxy radical (ClOO) has historically been a highly problematic system for theoretical studies. In particular, the erratic ab initio predictions of the Cl-O bond length reported in the literature thus far exhibit unacceptable errors with respect to the experimental structure. In light of the widespread disagreement observed, we present a careful and systematic investigation of the ClOO geometry toward the basis set and correlation limits of single reference ab initio theory, employing the cc-pVXZ (X = D, T, Q, 5, 6) basis sets extrapolated to the complete basis set limit and coupled cluster theory through single, double, triple, and perturbative quadruple excitations [CCSDT(Q)]. We demonstrate a considerable sensitivity of the Cl-O bond length to both electron correlation and basis set size. The CCSDT(Q)/CBS structure is found to be r(e)(ClO) = 2.082, r(e)(OO) = 1.208, and theta(e)(ClOO) = 115.4 degrees, in remarkable agreement with Endo's semi-experimentally determined values r(e)(ClO) = 2.084(I), r(e)(OO) = 1.206(2), and theta(e)(ClOO) = 115.4(I)degrees. Moreover, we compute a Cl-O bond dissociation energy of 4.77 kcal mol(-1), which is likewise in excellent agreement with the most recent experimental value of 4.69 +/- 0.10 kcal mol(-1).</t>
  </si>
  <si>
    <t>[Abbott, Adam S.; Schaefer, Henry F., III] Univ Georgia, Ctr Computat Quantum Chem, Athens, GA 30602 USA</t>
  </si>
  <si>
    <t>University System of Georgia; University of Georgia</t>
  </si>
  <si>
    <t>Schaefer, HF (corresponding author), Univ Georgia, Ctr Computat Quantum Chem, Athens, GA 30602 USA.</t>
  </si>
  <si>
    <t>ccq@uga.edu</t>
  </si>
  <si>
    <t>Schaefer III, Henry F./0000-0003-0252-2083</t>
  </si>
  <si>
    <t>U.S. National Science Foundation [CHE-1661604]</t>
  </si>
  <si>
    <t>U.S. National Science Foundation(National Science Foundation (NSF))</t>
  </si>
  <si>
    <t>We gratefully acknowledge the helpful discussions, comments, and suggestions by B. Zhang; K. B. Moore, III; P. R Hoobler; and A. V. Copan. This research was supported by the U.S. National Science Foundation (CHE-1661604).</t>
  </si>
  <si>
    <t>1089-5639</t>
  </si>
  <si>
    <t>J PHYS CHEM A</t>
  </si>
  <si>
    <t>J. Phys. Chem. A</t>
  </si>
  <si>
    <t>10.1021/acs.jpca.8b00394</t>
  </si>
  <si>
    <t>FZ1IU</t>
  </si>
  <si>
    <t>WOS:000427331100027</t>
  </si>
  <si>
    <t>Dawson, AL; Kawaguchi, S; King, CK; Townsend, KA; King, R; Huston, WM; Nash, SMB</t>
  </si>
  <si>
    <t>Dawson, Amanda L.; Kawaguchi, So; King, Catherine K.; Townsend, Kathy A.; King, Robert; Huston, Wilhelmina M.; Nash, Susan M. Bengtson</t>
  </si>
  <si>
    <t>Turning microplastics into nanoplastics through digestive fragmentation by Antarctic krill</t>
  </si>
  <si>
    <t>EUPHAUSIA-SUPERBA; INGESTION; STOMACH; MORPHOLOGY; PHYSIOLOGY; PARTICLES; EXPOSURE</t>
  </si>
  <si>
    <t>Microplastics (plastics &lt; 5mm diameter) are at the forefront of current environmental pollution research, however, little is known about the degradation of microplastics through ingestion. Here, by exposing Antarctic krill (Euphausia superba) to microplastics under acute static renewal conditions, we present evidence of physical size alteration of microplastics ingested by a planktonic crustacean. Ingested microplastics (31.5 mu m) are fragmented into pieces less than 1 mu m in diameter. Previous feeding studies have shown spherical microplastics either; pass unaffected through an organism and are excreted, or are sufficiently small for translocation to occur. We identify a new pathway; microplastics are fragmented into sizes small enough to cross physical barriers, or are egested as a mixture of triturated particles. These findings suggest that current laboratory-based feeding studies may be oversimplifying interactions between zooplankton and microplastics but also introduces a new role of Antarctic krill, and potentially other species, in the biogeochemical cycling and fate of plastic.</t>
  </si>
  <si>
    <t>[Dawson, Amanda L.; Nash, Susan M. Bengtson] Griffith Univ, Griffith Sch Environm, Southern Ocean Persistent Organ Pollutants Progra, Environm Futures Res Inst, 170 Kessels Rd, Nathan, Qld 4111, Australia; [Kawaguchi, So; King, Catherine K.; King, Robert] Australian Antarctic Div, Dept Environm &amp; Energy, 203 Channel Highway, Kingston, Tas 7050, Australia; [Townsend, Kathy A.] Univ Queensland, Moreton Bay Res Stn, Sch Biomed Sci, North Stradbroke Isl, Qld 4183, Australia; [Huston, Wilhelmina M.] Univ Technol Sydney, Fac Sci, Sch Life Sci, 15 Broadway Ultimo, Sydney, NSW 2007, Australia</t>
  </si>
  <si>
    <t>Griffith University; Australian Antarctic Division; University of Queensland; University of Technology Sydney</t>
  </si>
  <si>
    <t>Dawson, AL (corresponding author), Griffith Univ, Griffith Sch Environm, Southern Ocean Persistent Organ Pollutants Progra, Environm Futures Res Inst, 170 Kessels Rd, Nathan, Qld 4111, Australia.</t>
  </si>
  <si>
    <t>amanda.dawson@griffithuni.edu.au</t>
  </si>
  <si>
    <t>Kawaguchi, So/N-1795-2017; King, Catherine K/G-7059-2017; Townsend, Kathy Ann/K-9486-2016; Huston, Wilhelmina/S-7269-2019; Bengtson Nash, Susan/I-3942-2015; Bengtson Nash, Susan/GMX-4611-2022; Huston, Wilhelmina/B-9984-2008</t>
  </si>
  <si>
    <t>King, Catherine K/0000-0003-3356-0381; Townsend, Kathy Ann/0000-0002-2581-2158; Bengtson Nash, Susan/0000-0001-5928-0850; Bengtson Nash, Susan/0000-0001-5928-0850; Huston, Wilhelmina/0000-0002-0879-1287; Kawaguchi, So/0000-0002-2042-5095; King, Robert/0000-0002-4650-2335</t>
  </si>
  <si>
    <t>SOPOPP</t>
  </si>
  <si>
    <t>A.D. was supported by PHD scholarship from SOPOPP. We thank S. Wild and P. Eisenmann. for assistance with laboratory work, and staff at the Australian Antarctic Division for maintenance of krill in the Marine Research Facilities. We thank M. Arthur and C. Wild for providing statistical advice. N. Waterhouse for assisting design of imaging methods, T. Nguyen for imaging samples and staff at the QIMR Berghofer Medical Research Institute for sectioning the krill.</t>
  </si>
  <si>
    <t>10.1038/s41467-018-03465-9</t>
  </si>
  <si>
    <t>FY6YB</t>
  </si>
  <si>
    <t>WOS:000427007700010</t>
  </si>
  <si>
    <t>Richardson, PL; Wakefield, ED; Phillips, RA</t>
  </si>
  <si>
    <t>Richardson, Philip L.; Wakefield, Ewan D.; Phillips, Richard A.</t>
  </si>
  <si>
    <t>Flight speed and performance of the wandering albatross with respect to wind</t>
  </si>
  <si>
    <t>MOVEMENT ECOLOGY</t>
  </si>
  <si>
    <t>Soaring; Dynamic soaring; Seabird; Airspeed; Ground speed; GPS-tracking; Bird flight performance; Flight polar diagram; ECMWF; Model</t>
  </si>
  <si>
    <t>FORAGING ALBATROSSES; DIOMEDEA-EXULANS; PETRELS; PROCELLARIIFORMES; DIRECTION; SEABIRDS; STRENGTH; OCEAN</t>
  </si>
  <si>
    <t>Background: Albatrosses and other large seabirds use dynamic soaring to gain sufficient energy from the wind to travel large distances rapidly and with little apparent effort. The recent development of miniature bird-borne tracking devices now makes it possible to explore the physical and biological implications of this means of locomotion in detail. Here we use GPS tracking and concurrent reanalyzed wind speed data to model the flight performance of wandering albatrosses Diomedea exulans soaring over the Southern Ocean. We investigate the extent to which flight speed and performance of albatrosses is facilitated or constrained by wind conditions encountered during foraging trips. Results: We derived simple equations to model observed albatross ground speed as a function of wind speed and relative wind direction. Ground speeds of the tracked birds in the along-wind direction varied primarily by wind-induced leeway, which averaged 0.51 (+/- 0.02) times the wind speed at a reference height of 5 m. By subtracting leeway velocity from ground velocity, we were able to estimate airspeed (the magnitude of the bird's velocity through the air). As wind speeds increased from 3 to 18 m/s, the airspeed of wandering albatrosses flying in an across-wind direction increased by 0.42 (+/- 0.04) times the wind speed (i.e. similar to 6 m/s). At low wind speeds, tracked birds increased their airspeed in upwind flight relative to that in downwind flight. At higher wind speeds they apparently limited their airspeeds to a maximum of around 20 m/s, probably to keep the forces on their wings in dynamic soaring well within tolerable limits. Upwind airspeeds were nearly constant and downwind leeway increased with wind speed. Birds therefore achieved their fastest upwind ground speeds (similar to 9 m/s) at low wind speeds (similar to 3 m/s). Conclusions: This study provides insights into which flight strategies are optimal for dynamic soaring. Our results are consistent with the prediction that the optimal range speed of albatrosses is higher in headwind than tailwind flight but only in wind speeds of up to similar to 7 m/s. Our models predict that wandering albatrosses have oval-shaped airspeed polars, with the fastest airspeeds similar to 20 m/s centered in the across-wind direction. This suggests that in upwind flight in high winds, albatrosses can increase their ground speed by tacking like sailboats.</t>
  </si>
  <si>
    <t>[Richardson, Philip L.] Woods Hole Oceanog Inst, Dept Phys Oceanog, MS 21,360 Woods Hole Rd, Woods Hole, MA 02543 USA; [Wakefield, Ewan D.] Univ Glasgow, Inst Biodivers, Anim Hlth &amp; Comparat Med, Graham Kerr Bldg, Glasgow G12 8QQ, Lanark, Scotland; [Phillips, Richard A.] British Antarctic Survey, Nat Environm Res Council, Madingley Rd, Cambridge CB3 0ET, England</t>
  </si>
  <si>
    <t>Woods Hole Oceanographic Institution; University of Glasgow; UK Research &amp; Innovation (UKRI); Natural Environment Research Council (NERC); NERC British Antarctic Survey</t>
  </si>
  <si>
    <t>Wakefield, ED (corresponding author), Univ Glasgow, Inst Biodivers, Anim Hlth &amp; Comparat Med, Graham Kerr Bldg, Glasgow G12 8QQ, Lanark, Scotland.</t>
  </si>
  <si>
    <t>Ewan.Wakefield@glasgow.ac.uk</t>
  </si>
  <si>
    <t>Richardson, Philip L./AAV-5976-2021</t>
  </si>
  <si>
    <t>F. Livermore Trust; Woods Hole Oceanographic Institution emeritus fund; UK Natural Environment Research Council [NE/M017990/1]; Natural Environment Research Council; NERC [bas0100035, NE/M017990/1] Funding Source: UKRI; Natural Environment Research Council [bas0100035, NE/M017990/1] Funding Source: researchfish</t>
  </si>
  <si>
    <t>F. Livermore Trust; Woods Hole Oceanographic Institution emeritus fund; UK Natural Environment Research Council(UK Research &amp; Innovation (UKRI)Natural Environment Research Council (NERC));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</si>
  <si>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Financial support was provided by the F. Livermore Trust, the Woods Hole Oceanographic Institution emeritus fund and the UK Natural Environment Research Council (grant NE/M017990/1). This study represents a contribution to the Ecosystems component of the British Antarctic Survey Polar Science for Planet Earth Programme, funded by The Natural Environment Research Council.</t>
  </si>
  <si>
    <t>2051-3933</t>
  </si>
  <si>
    <t>MOV ECOL</t>
  </si>
  <si>
    <t>Mov. Ecol.</t>
  </si>
  <si>
    <t>MAR 7</t>
  </si>
  <si>
    <t>10.1186/s40462-018-0121-9</t>
  </si>
  <si>
    <t>FY8NN</t>
  </si>
  <si>
    <t>WOS:000427121900001</t>
  </si>
  <si>
    <t>Duursma, DE; Gallagher, RV; Price, JJ; Griffith, SC</t>
  </si>
  <si>
    <t>Duursma, Daisy Englert; Gallagher, Rachael V.; Price, J. Jordan; Griffith, Simon C.</t>
  </si>
  <si>
    <t>Variation in avian egg shape and nest structure is explained by climatic conditions</t>
  </si>
  <si>
    <t>GAS-EXCHANGE; HUMIDITY; EMBRYOS; BIRDS; ENVIRONMENT; INCUBATION; PHYLOGENY</t>
  </si>
  <si>
    <t>Why are avian eggs ovoid, while the eggs of most other vertebrates are symmetrical? The interaction between an egg and its environment likely drives selection that will shape eggs across evolutionary time. For example, eggs incubated in hot, arid regions face acute exposure to harsh climatic conditions relative to those in temperate zones, and this exposure will differ across nest types, with eggs in open nests being more exposed to direct solar radiation than those in enclosed nests. We examined the idea that the geographical distribution of both egg shapes and nest types should reflect selective pressures of key environmental parameters, such as ambient temperature and the drying capacity of air. We took a comparative approach, using 310 passerine species from Australia, many of which are found in some of the most extreme climates on earth. We found that, across the continent, egg elongation decreases and the proportion of species with domed nests with roofs increases in hotter and drier areas with sparse plant canopies. Eggs are most spherical in open nests in the hottest environments, and most elongate in domed nests in wetter, shadier environments. Our findings suggest that climatic conditions played a key role in the evolution of passerine egg shape.</t>
  </si>
  <si>
    <t>[Duursma, Daisy Englert; Gallagher, Rachael V.; Griffith, Simon C.] Macquarie Univ, Dept Biol Sci, N Ryde, NSW, Australia; [Price, J. Jordan] St Marys Coll Maryland, Dept Biol, St Marys City, MD 20686 USA</t>
  </si>
  <si>
    <t>Duursma, DE (corresponding author), Macquarie Univ, Dept Biol Sci, N Ryde, NSW, Australia.</t>
  </si>
  <si>
    <t>daisy.duursma@gmail.com</t>
  </si>
  <si>
    <t>Griffith, Simon/AAH-3706-2021</t>
  </si>
  <si>
    <t>Griffith, Simon/0000-0001-7612-4999; Gallagher, Rachael/0000-0002-4680-8115</t>
  </si>
  <si>
    <t>Australian Postgraduate Award; Macquarie University Research Fellowship; Australian Research Council Future Fellowship; St Mary's College of Maryland</t>
  </si>
  <si>
    <t>Australian Postgraduate Award(Australian Government); Macquarie University Research Fellowship; Australian Research Council Future Fellowship(Australian Research Council); St Mary's College of Maryland</t>
  </si>
  <si>
    <t>We are grateful to the many field ornithologists who contribute to the Handbook of Australian, New Zealand and Antarctic Birds and observational repositories. We would like to thank BirdLife Australia, Australia Bird and Bat Banding Scheme, Online Zoological Collections of Australian Museums, Australian Museum, Australian National Wildlife Collection, CSIRO, eBird, Museum and Art Gallery of the Northern Territory, Museum Victoria, Queen Victoria Museum and Art Gallery, Queensland Museum, South Australian Museum, Tasmanian Museum and Art Gallery, Western Australian Museum for making data available and Clare Holleley for assisting with photos of eggs. This work was funded by an Australian Postgraduate Award to DED, a Macquarie University Research Fellowship to RVG, an Australian Research Council Future Fellowship to SCG, and funding from St Mary's College of Maryland for JJP. The funders had no influence on the context of this manuscript and they do not require approval of the final manuscript.</t>
  </si>
  <si>
    <t>10.1038/s41598-018-22436-0</t>
  </si>
  <si>
    <t>FY4RS</t>
  </si>
  <si>
    <t>WOS:000426814000039</t>
  </si>
  <si>
    <t>Kellerman, AM; Guillemette, F; Podgorski, DC; Aiken, GR; Butler, KD; Spencer, RGM</t>
  </si>
  <si>
    <t>Kellerman, Anne M.; Guillemette, Francois; Podgorski, David C.; Aiken, George R.; Butler, Kenna D.; Spencer, Robert G. M.</t>
  </si>
  <si>
    <t>Unifying Concepts Linking Dissolved Organic Matter Composition to Persistence in Aquatic Ecosystems</t>
  </si>
  <si>
    <t>ENVIRONMENTAL SCIENCE &amp; TECHNOLOGY</t>
  </si>
  <si>
    <t>RESOLUTION MASS DATA; FLUORESCENCE SPECTROSCOPY; MOLECULAR SIGNATURES; OPTICAL-PROPERTIES; FULVIC-ACIDS; ATLANTIC; QUALITY; ORIGIN; SOILS; INDEX</t>
  </si>
  <si>
    <t>The link between composition and reactivity of dissolved organic matter (DOM) is central to understanding the role aquatic systems play in the global carbon cycle; yet, unifying concepts driving molecular composition have yet to be established. We characterized 37 DOM isolates from diverse aquatic ecosystems, including their stable and radiocarbon isotopes (delta C-13-dissolved organic carbon (DOC) and Delta C-14-DOC), optical properties (absorbance and fluorescence), and molecular composition (ultrahigh resolution mass spectrometry). Isolates encompassed end-members of allochthonous and autochthonous DOM from sites across the United States, the Pacific Ocean, and Antarctic lakes. Modern Delta C-14-DOC and optical properties reflecting increased aromaticity, such as carbon specific UV absorbance at 254 nm (SUVA(254)), were directly related to polyphenolic and polycyclic aromatic compounds, whereas enriched delta C-13-DOC and optical properties reflecting autochthonous end-members were positively correlated to more aliphatic compounds. Furthermore, the two sets of autochthonous end-members (Pacific Ocean and Antarctic lakes) exhibited distinct molecular composition due to differences in extent of degradation. Across all sites and end-members studied, we find a consistent shift in composition with aging, highlighting the persistence of certain biomolecules concurrent with degradation time.</t>
  </si>
  <si>
    <t>[Kellerman, Anne M.; Guillemette, Francois; Podgorski, David C.; Spencer, Robert G. M.] Florida State Univ, Natl High Magnet Field Lab Geochem Grp, Tallahassee, FL 32306 USA; [Kellerman, Anne M.; Guillemette, Francois; Podgorski, David C.; Spencer, Robert G. M.] Florida State Univ, Dept Earth Ocean &amp; Atmospher Sci, Tallahassee, FL 32306 USA; [Aiken, George R.; Butler, Kenna D.] US Geol Survey, 3215 Marine St, Boulder, CO 80303 USA; [Guillemette, Francois] Univ Quebec Trois Rivieres, Res Ctr Watershed Aquat Ecosyst Interact RIVE, Trois Rivieres, PQ, Canada; [Podgorski, David C.] Univ New Orleans, Dept Chem, Pontchartrain Inst Environm Sci, New Orleans, LA 70148 USA</t>
  </si>
  <si>
    <t>State University System of Florida; Florida State University; State University System of Florida; Florida State University; United States Department of the Interior; United States Geological Survey; University of Quebec; University of Quebec Trois Rivieres; University of Louisiana System; University of New Orleans</t>
  </si>
  <si>
    <t>Kellerman, AM (corresponding author), Florida State Univ, Natl High Magnet Field Lab Geochem Grp, Tallahassee, FL 32306 USA.;Kellerman, AM (corresponding author), Florida State Univ, Dept Earth Ocean &amp; Atmospher Sci, Tallahassee, FL 32306 USA.</t>
  </si>
  <si>
    <t>akellerman@fsu.edu</t>
  </si>
  <si>
    <t>Kellerman, Anne M./F-8153-2015; Podgorski, David/A-5532-2010</t>
  </si>
  <si>
    <t>Kellerman, Anne M./0000-0002-7348-4814; Guillemette, Francois/0000-0003-2333-8410; Podgorski, David/0000-0002-1070-5923</t>
  </si>
  <si>
    <t>National Science Foundation [ANT 1203885, OCE 1333157, OCE 1464396, PLR 1500169, DMR 11-57490]; U.S. Geological Survey National Stream Quality Accounting Network; U.S. Geological Survey National Research Program; Fond de Recherche du Quebec - Nature et Technologies</t>
  </si>
  <si>
    <t>National Science Foundation(National Science Foundation (NSF)); U.S. Geological Survey National Stream Quality Accounting Network; U.S. Geological Survey National Research Program(United States Geological Survey); Fond de Recherche du Quebec - Nature et Technologies</t>
  </si>
  <si>
    <t>George Aiken passed away in December 2016, as this manuscript was being prepared. The legacy he leaves behind cannot be measured solely by the quality of his science but more importantly by those he mentored along the way. All authors are eternally grateful to have been his colleague and his friend. We thank S.E. Johnston and P. Zito for help with sample preparation and data processing and Greg Fiske for making the base map. This research was supported by grants to R.G.M.S. from the National Science Foundation (Grant#: ANT 1203885, OCE 1333157, OCE 1464396, PLR 1500169) and supported by the U.S. Geological Survey National Stream Quality Accounting Network (http://water.usgs.gov/nasqan) and the U.S. Geological Survey National Research Program (http://water.usgs.gov/nrp). The National High Magnetic Field Laboratory is funded by the National Science Foundation (DMR 11-57490). F. Guillemette was partly supported by a postdoctoral fellowship from the Fond de Recherche du Quebec - Nature et Technologies. The use of brand names in this report is for identification purposes only and does not imply endorsement by the U.S. Geological Survey.</t>
  </si>
  <si>
    <t>0013-936X</t>
  </si>
  <si>
    <t>1520-5851</t>
  </si>
  <si>
    <t>ENVIRON SCI TECHNOL</t>
  </si>
  <si>
    <t>Environ. Sci. Technol.</t>
  </si>
  <si>
    <t>MAR 6</t>
  </si>
  <si>
    <t>10.1021/acs.est.7b05513</t>
  </si>
  <si>
    <t>FY9RA</t>
  </si>
  <si>
    <t>WOS:000427202700015</t>
  </si>
  <si>
    <t>Uemura, R; Motoyama, H; Masson-Delmotte, V; Jouzel, J; Kawamura, K; Goto-Azuma, K; Fujita, S; Kuramoto, T; Hirabayashi, M; Miyake, T; Ohno, H; Fujita, K; Abe-Ouchi, A; Iizuka, Y; Horikawa, S; Igarashi, M; Suzuki, K; Suzuki, T; Fujii, Y</t>
  </si>
  <si>
    <t>Uemura, Ryu; Motoyama, Hideaki; Masson-Delmotte, Valerie; Jouzel, Jean; Kawamura, Kenji; Goto-Azuma, Kumiko; Fujita, Shuji; Kuramoto, Takayuki; Hirabayashi, Motohiro; Miyake, Takayuki; Ohno, Hiroshi; Fujita, Koji; Abe-Ouchi, Ayako; Iizuka, Yoshinori; Horikawa, Shinichiro; Igarashi, Makoto; Suzuki, Keisuke; Suzuki, Toshitaka; Fujii, Yoshiyuki</t>
  </si>
  <si>
    <t>Asynchrony between Antarctic temperature and CO2 associated with obliquity over the past 720,000 years</t>
  </si>
  <si>
    <t>GLACIAL-INTERGLACIAL CHANGES; DEUTERIUM EXCESS RECORD; VOSTOK ICE CORE; ATMOSPHERIC CO2; DOME FUJI; CARBON-DIOXIDE; SOUTHERN-HEMISPHERE; CHRONOLOGY AICC2012; CLIMATE VARIABILITY; EAST ANTARCTICA</t>
  </si>
  <si>
    <t>The delta D temperature proxy in Antarctic ice cores varies in parallel with CO2 through glacial cycles. However, these variables display a puzzling asynchrony. Well-dated records of Southern Ocean temperature will provide crucial information because the Southern Ocean is likely key in regulating CO2 variations. Here, we perform multiple isotopic analyses on an Antarctic ice core and estimate temperature variations at this site and in the oceanic moisture source over the past 720,000 years, which extend the longest records by 300,000 years. Antarctic temperature is affected by large variations in local insolation that are induced by obliquity. At the obliquity periodicity, the Antarctic and ocean temperatures lag annual mean insolation. Further, the magnitude of the phase lag is minimal during low eccentricity periods, suggesting that secular changes in the global carbon cycle and the ocean circulation modulate the phase relationship among temperatures, CO2 and insolation in the obliquity frequency band.</t>
  </si>
  <si>
    <t>[Uemura, Ryu] Univ Ryukyus, Dept Chem Biol &amp; Marine Sci, 1 Senbaru, Nishihara, Okinawa 9030213, Japan; [Motoyama, Hideaki; Kawamura, Kenji; Goto-Azuma, Kumiko; Fujita, Shuji; Kuramoto, Takayuki; Hirabayashi, Motohiro; Miyake, Takayuki; Ohno, Hiroshi; Fujii, Yoshiyuki] Natl Inst Polar Res, Res Org Informat &amp; Syst, 10-3 Midori Cho, Tachikawa, Tokyo 1908518, Japan; [Motoyama, Hideaki; Kawamura, Kenji; Goto-Azuma, Kumiko; Fujita, Shuji; Hirabayashi, Motohiro] Grad Univ Adv Studies SOKENDAI, Dept Polar Sci, 10-3 Midori Cho, Tachikawa, Tokyo 1908518, Japan; [Masson-Delmotte, Valerie; Jouzel, Jean] Univ Paris Saclay, CEA CNRS UVSQ, Inst Pierre Simon Laplace, LSCE,UMR 8212, Gif Sur Yvette, France; [Fujita, Koji] Nagoya Univ, Grad Sch Environm Studies, Nagoya, Aichi 4648601, Japan; [Abe-Ouchi, Ayako] Univ Tokyo, Atmosphere &amp; Ocean Res Inst, Kashiwa, Chiba 2778568, Japan; [Abe-Ouchi, Ayako] Japan Agcy Marine Earth Sci &amp; Technol, Kanazawa Ku, 3173-25 Showamachi, Yokohama, Kanagawa 2360001, Japan; [Iizuka, Yoshinori] Hokkaido Univ, Inst Low Temp Sci, Kita Ku, North 19 West 8, Sapporo, Hokkaido 0600819, Japan; [Igarashi, Makoto] RIKEN, Nishina Ctr, Hirosawa 2-1, Wako, Saitama 3510198, Japan; [Suzuki, Keisuke] Shinshu Univ, Dept Environm Sci, Asahi 3-1-1, Matsumoto, Nagano 3908621, Japan; [Suzuki, Toshitaka] Yamagata Univ, Dept Earth &amp; Environm Sci, Kojirakawa 1-4-12, Yamagata 9908560, Japan; [Kuramoto, Takayuki] Fukushima Prefectural Ctr Environm Creat, Res Dept, 10-2 Fukasaku, Miharu, Fukushima 9637700, Japan; [Ohno, Hiroshi] Kitami Inst Technol, Dept Global Environm Engn, 165 Koen Cho, Kitami, Hokkaido 0908507, Japan; [Horikawa, Shinichiro] Nagoya Univ, Grad Sch Environm Studies, Earthquake &amp; Volcano Res Ctr, Nagoya, Aichi, Japan</t>
  </si>
  <si>
    <t>University of the Ryukyus; Research Organization of Information &amp; Systems (ROIS); National Institute of Polar Research (NIPR) - Japan; Graduate University for Advanced Studies - Japan; Universite Paris Cite; CEA; Centre National de la Recherche Scientifique (CNRS); Universite Paris Saclay; CNRS - National Institute for Earth Sciences &amp; Astronomy (INSU); Nagoya University; University of Tokyo; Japan Agency for Marine-Earth Science &amp; Technology (JAMSTEC); Hokkaido University; RIKEN; Shinshu University; Yamagata University; Kitami Institute of Technology; Nagoya University</t>
  </si>
  <si>
    <t>Uemura, R (corresponding author), Univ Ryukyus, Dept Chem Biol &amp; Marine Sci, 1 Senbaru, Nishihara, Okinawa 9030213, Japan.</t>
  </si>
  <si>
    <t>ruemura@sci.u-ryukyu.ac.jp</t>
  </si>
  <si>
    <t>Ohno, Hiroshi/L-7899-2014; Motoyama, Hideaki/E-6103-2013; Fujita, Koji/E-6104-2010; Masson-Delmotte, Valerie L/G-1995-2011; Uemura, Ryu/AGR-0677-2022; Uemura, Ryu/C-9793-2012; Abe-Ouchi, Ayako A/M-6359-2013; Kawamura, Kenji/C-7660-2011; Iizuka, Yoshinori/D-9112-2012; Fujita, Shuji/A-7884-2016</t>
  </si>
  <si>
    <t>Motoyama, Hideaki/0000-0003-2533-320X; Fujita, Koji/0000-0003-3753-4981; Masson-Delmotte, Valerie L/0000-0001-8296-381X; Uemura, Ryu/0000-0002-4236-0085; Uemura, Ryu/0000-0002-4236-0085; Abe-Ouchi, Ayako A/0000-0003-1745-5952; Goto-Azuma, Kumiko/0000-0003-0992-1079; Kawamura, Kenji/0000-0003-1163-700X; Iizuka, Yoshinori/0000-0001-7241-6062; Fujita, Shuji/0000-0003-0127-0777</t>
  </si>
  <si>
    <t>JSPS Postdoctoral Fellowship for Research Abroad; JSPS KAKENHI [21221002, 26550013, 17H06104, 17H06320]; ANR Dome A project; ASUMA project; National Institute of Polar Research (NIPR) [KP305]; Grants-in-Aid for Scientific Research [15H02958, 26400462, 26550013, 15KK0027, 17H01621, 17H06320] Funding Source: KAKEN</t>
  </si>
  <si>
    <t>JSPS Postdoctoral Fellowship for Research Abroad(Ministry of Education, Culture, Sports, Science and Technology, Japan (MEXT)Japan Society for the Promotion of Science); JSPS KAKENHI(Ministry of Education, Culture, Sports, Science and Technology, Japan (MEXT)Japan Society for the Promotion of ScienceGrants-in-Aid for Scientific Research (KAKENHI)); ANR Dome A project(Agence Nationale de la Recherche (ANR)); ASUMA project; 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</si>
  <si>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We thank Maki Nakada, Hironobu Yamada and Satoru Kikuchi (NIPR) for supporting the sample preparation and the isotopic measurements of the ice. We acknowledge support from a JSPS Postdoctoral Fellowship for Research Abroad. This study was supported by JSPS KAKENHI (grant numbers 21221002, 26550013, 17H06104 and 17H06320). This study was also supported by the ANR Dome A and ASUMA projects; and by National Institute of Polar Research (NIPR) through Project Research KP305.</t>
  </si>
  <si>
    <t>10.1038/s41467-018-03328-3</t>
  </si>
  <si>
    <t>FY2QA</t>
  </si>
  <si>
    <t>WOS:000426659300007</t>
  </si>
  <si>
    <t>Dawson, A; Huston, W; Kawaguchi, S; King, C; Cropp, R; Wild, S; Eisenmann, P; Townsend, K; Nash, SB</t>
  </si>
  <si>
    <t>Dawson, Amanda; Huston, Wilhelmina; Kawaguchi, So; King, Catherine; Cropp, Roger; Wild, Seanan; Eisenmann, Pascale; Townsend, Kathy; Nash, Susan Bengtson</t>
  </si>
  <si>
    <t>Uptake and Depuration Kinetics Influence Microplastic Bioaccumulation and Toxicity in Antarctic KriII (Euphausia superba)</t>
  </si>
  <si>
    <t>MYTILUS-EDULIS L.; PLASTIC DEBRIS; NORTH-SEA; KRILL; INGESTION; RETENTION; PARTICLES; AMPHIPOD; CONTAMINATION; ASSIMILATION</t>
  </si>
  <si>
    <t>The discarding of plastic products has led to the ubiquitous occurrence of microplastic particles in the marine environment. The uptake and depuration kinetics of ingested microplastics for many marine species still remain unknown despite its importance for understanding bioaccumulation potential to higher trophic level consumers. In this study, Antarctic krill (Euphausia superba) were exposed to polyethylene microplastics to quantify acute toxicity and ingestion kinetics, providing insight into the bioaccumulation potential of micro plastics at the first-order consumer level. In the 10 day acute toxicity assay, no mortality or dose-dependent weight loss occurred in exposed krill, at any of the exposure concentrations (0, 10, 20, 40, or 80% plastic diet). Krill exposed to a 20% plastic diet for 24 h displayed fast uptake (22 ng mg(-1) h(-1)) and depuration (0.22 h(-1)) rates, but plastic uptake did not reach steady state. Efficient elimination also resulted in no bioaccumulation over an extended 25 day assay, with most individuals completely eliminating their microplastic burden in less than 5 days post exposure. Our results support recent findings of limited acute toxicity of ingested microplastics at this trophic level, and suggest sublethal chronic end points should be the focus of further ecotoxicological investigation.</t>
  </si>
  <si>
    <t>[Dawson, Amanda; Cropp, Roger; Wild, Seanan; Eisenmann, Pascale; Nash, Susan Bengtson] Griffith Univ, Environm Futures Res Inst, SOPOPP, Griffith Sch Environm, 170 Kessels Rd, Nathan, Qld 4111, Australia; [Huston, Wilhelmina] Univ Technol Sydney, Sch Life Sci, Fac Sci, 15 Broadway, Ultimo, NSW 2007, Australia; [Kawaguchi, So; King, Catherine] Australian Antarctic Div, Dept Environm &amp; Energy, 203 Channel Highway, Kingston, Tas 7050, Australia; [Townsend, Kathy] Univ Queensland, Moreton Bay Res Stn, Sch Biol Sci, North Stradbroke Isl, Qld 4183, Australia</t>
  </si>
  <si>
    <t>Griffith University; University of Technology Sydney; Australian Antarctic Division; University of Queensland</t>
  </si>
  <si>
    <t>Dawson, A (corresponding author), Griffith Univ, Environm Futures Res Inst, SOPOPP, Griffith Sch Environm, 170 Kessels Rd, Nathan, Qld 4111, Australia.</t>
  </si>
  <si>
    <t>Kawaguchi, So/N-1795-2017; Townsend, Kathy Ann/K-9486-2016; Cropp, Roger/C-1019-2008; Huston, Wilhelmina/S-7269-2019; King, Catherine K/G-7059-2017; Bengtson Nash, Susan/I-3942-2015; Bengtson Nash, Susan/GMX-4611-2022; Huston, Wilhelmina/B-9984-2008</t>
  </si>
  <si>
    <t>Townsend, Kathy Ann/0000-0002-2581-2158; King, Catherine K/0000-0003-3356-0381; Bengtson Nash, Susan/0000-0001-5928-0850; Bengtson Nash, Susan/0000-0001-5928-0850; Kawaguchi, So/0000-0002-2042-5095; Huston, Wilhelmina/0000-0002-0879-1287</t>
  </si>
  <si>
    <t>Southern Ocean Persistent Organic Pollutants Program; Griffith University</t>
  </si>
  <si>
    <t>Southern Ocean Persistent Organic Pollutants Program; Griffith University(Griffith University - Gold Coast Campus)</t>
  </si>
  <si>
    <t>The authors would like to acknowledge Rob King, and the staff at the Australian Antarctic Division, for assisting with experiments and for collecting and maintaining the hill; Michael Arthur for advice on statistical analysis; Dr Nigel Waterhouse and Dr Tam Hong Nguyen for assistance with microscopic imaging; Dr Alan White for access to his laboratory facilities; and Lynne Turnbull and Cynthia Whitchurch for useful discussions about the image analysis. A.D was supported by a PhD scholarship from the Southern Ocean Persistent Organic Pollutants Program and a Publication Assistance Scholarship from Griffith University.</t>
  </si>
  <si>
    <t>10.1021/acs.est.7b05759</t>
  </si>
  <si>
    <t>WOS:000427202700086</t>
  </si>
  <si>
    <t>Yde, JC; Anderson, NJ; Post, E; Saros, JE; Telling, J</t>
  </si>
  <si>
    <t>Yde, Jacob C.; Anderson, N. John; Post, Eric; Saros, Jasmine E.; Telling, Jon</t>
  </si>
  <si>
    <t>Environmental change and impacts in the Kangerlussuaq area, west Greenland</t>
  </si>
  <si>
    <t>LAKE-SEDIMENTS; EXPEDITION; MATTER; FJORD</t>
  </si>
  <si>
    <t>[Yde, Jacob C.] Western Norway Univ Appl Sci, Dept Environm Sci, Sogndal, Norway; [Anderson, N. John] Loughborough Univ, Dept Geog, Loughborough, Leics, England; [Post, Eric] Univ Calif Davis, Dept Wildlife Fish &amp; Conservat Biol, Davis, CA 95616 USA; [Saros, Jasmine E.] Univ Maine, Climate Change Inst, Orono, ME USA; [Saros, Jasmine E.] Univ Maine, Sch Biol &amp; Ecol, Orono, ME USA; [Telling, Jon] Newcastle Univ, Sch Nat &amp; Environm Sci, Newcastle Upon Tyne, Tyne &amp; Wear, England</t>
  </si>
  <si>
    <t>Western Norway University of Applied Sciences; Loughborough University; University of California System; University of California Davis; University of Maine System; University of Maine Orono; University of Maine System; University of Maine Orono; Newcastle University - UK</t>
  </si>
  <si>
    <t>Yde, JC (corresponding author), Western Norway Univ Appl Sci, Dept Environm Sci, Sogndal, Norway.</t>
  </si>
  <si>
    <t>Jacob.Yde@hvl.no</t>
  </si>
  <si>
    <t>Telling, Jon/HZJ-3880-2023</t>
  </si>
  <si>
    <t>Yde, Jacob Clement/0000-0002-6211-2601; Saros, Jasmine/0000-0002-7652-9985</t>
  </si>
  <si>
    <t>Kangerlussuaq International Science Support (KISS)</t>
  </si>
  <si>
    <t>We express our sincere thanks to the many contributing authors and reviewers who have made this special section possible. We are very grateful to the editors and staff of Arctic, Antarctic, and Alpine Research, who have provided efficient assistance throughout the entire publication process even though the journal has been through a period of change. Finally, we are in debt to the brilliant support that we have received from different managers at Kangerlussuaq International Science Support (KISS) over the years.</t>
  </si>
  <si>
    <t>MAR 5</t>
  </si>
  <si>
    <t>e1433786</t>
  </si>
  <si>
    <t>10.1080/15230430.2018.1433786</t>
  </si>
  <si>
    <t>GN1II</t>
  </si>
  <si>
    <t>WOS:000438742200001</t>
  </si>
  <si>
    <t>Crespo, MC; Tomé-Carneiro, J; Gómez-Coronado, D; Burgos-Ramos, E; García-Serrano, A; Martín-Hernández, R; Baliyan, S; Fontecha, J; Venero, C; Dávalos, A; Visioli, F</t>
  </si>
  <si>
    <t>Carmen Crespo, M.; Tome-Carneiro, Joao; Gomez-Coronado, Diego; Burgos-Ramos, Emma; Garcia-Serrano, Alba; Martin-Hernandez, Roberto; Baliyan, Shishir; Fontecha, Javier; Venero, Cesar; Davalos, Alberto; Visioli, Francesco</t>
  </si>
  <si>
    <t>Modulation of miRNA expression in aged rat hippocampus by buttermilk and krill oil</t>
  </si>
  <si>
    <t>FAT GLOBULE-MEMBRANE; RANDOMIZED DOUBLE-BLIND; UNTIL 12 MO; HEALTHY-ADULTS; CHOLESTEROL-METABOLISM; SUPPLEMENTATION; CONSUMPTION; CERAMIDE; DISEASE; NUTRITION</t>
  </si>
  <si>
    <t>The increasing incidence of age-induced cognitive decline justifies the search for complementary ways of prevention or delay. We studied the effects of concentrates of phospholipids, sphingolipids, and/or 3-n fatty acids on the expression of genes or miRNAs related to synaptic activity and/or neurodegeneration, in the hippocampus of aged Wistar rats following a 3-month supplementation. The combination of two phospholipidic concentrates of krill oil (KOC) and buttermilk (BMFC) origin modulated the hippocampal expression of 119 miRNAs (11 were common to both BMFC and BMFC + KOC groups). miR-191a-5p and miR-29a-3p changed significantly only in the BMFC group, whereas miR-195-3p and miR-148a-5p did so only in the combined-supplemented group. Thirty-eight, 58, and 72 differentially expressed genes (DEG) were found in the groups supplemented with KOC, BMFC and BMFC + KOC, respectively. Interaction analysis unveiled networks of selected miRNAs with their potential target genes. DEG found in the KOC and BMFC groups were mainly involved in neuroactive processes, whereas they were associated with lysosomes and mRNA surveillance pathways in the BMFC + KOC group. We also report a significant reduction in hippocampal ceramide levels with BMFC + KOC. Our results encourage additional in-depth investigations regarding the potential beneficial effects of these compounds.</t>
  </si>
  <si>
    <t>[Carmen Crespo, M.; Tome-Carneiro, Joao; Martin-Hernandez, Roberto; Visioli, Francesco] IMDEA Food, Bioact Ingredients Food Grp, Madrid 28049, Spain; [Davalos, Alberto] IMDEA Food, Epigenet Lipid Metab Grp, Madrid 28049, Spain; [Burgos-Ramos, Emma] Univ Castilla La Mancha, Area Bioquim, Toledo 45071, Spain; [Visioli, Francesco] Univ Padua, Dept Mol Med, I-35121 Padua, Italy; [Garcia-Serrano, Alba; Fontecha, Javier] CSIC UAM, CIAL, Bioact &amp; Food Anal Dept, Madrid 28049, Spain; [Gomez-Coronado, Diego] Hosp Univ Ramon y Cajal, Serv Bioquim Invest, Madrid 28034, Spain; [Gomez-Coronado, Diego] Inst Salud Carlos III, CIBER Fisiopatol Obesidad &amp; Nutr CIBEROBN, Madrid 28029, Spain; [Baliyan, Shishir; Venero, Cesar] UNED, Fac Psychol, Dept Psychobiol, Madrid 28040, Spain</t>
  </si>
  <si>
    <t>IMDEA Food Institute; IMDEA Food Institute; Universidad de Castilla-La Mancha; University of Padua; Consejo Superior de Investigaciones Cientificas (CSIC); CSIC-UAM - Instituto de Investigacion en Ciencias de la Alimentacion (CIAL); Hospital Universitario Ramon y Cajal; CIBER - Centro de Investigacion Biomedica en Red; CIBEROBN; Instituto de Salud Carlos III; Universidad Nacional de Educacion a Distancia (UNED)</t>
  </si>
  <si>
    <t>Dávalos, A (corresponding author), IMDEA Food, Epigenet Lipid Metab Grp, Madrid 28049, Spain.</t>
  </si>
  <si>
    <t>alberto.davalos@imdea.org</t>
  </si>
  <si>
    <t>Burgos-Ramos, Emma/AAI-7833-2020; FONTECHA, JAVIER/K-7213-2012; Davalos, Alberto/AAA-9949-2021; baliyan, shishir/GRR-8434-2022; Venero, César/AAP-7263-2021; Tomé Carneiro, Joao/J-6976-2014; Garcia-Serrano, Alba/U-5101-2019; Visioli, Francesco/AAE-8510-2020; Visioli, Francesco/J-9356-2013; del Carmen Crespo, María/P-3925-2015; Martin-Hernandez, Roberto/M-8161-2014</t>
  </si>
  <si>
    <t>Burgos-Ramos, Emma/0000-0002-6942-3023; FONTECHA, JAVIER/0000-0001-5719-2304; baliyan, shishir/0000-0001-5225-756X; Venero, César/0000-0003-4879-3495; Tomé Carneiro, Joao/0000-0002-3597-9234; Visioli, Francesco/0000-0002-1756-1723; del Carmen Crespo, María/0000-0003-0546-2143; Garcia-Serrano, Alba/0000-0002-0829-6403; Martin-Hernandez, Roberto/0000-0002-2723-6289; Gomez-Coronado Caceres, Diego/0000-0002-8382-3920</t>
  </si>
  <si>
    <t>Spanish Ministerio de Economia y Competitividad [AGL2014-56464R1, AGL2014-54565R2]; Comunidad de Madrid through the Programa de actividades en tecnologias [ALIBIRD-CM S2013/ABU-2728]; Spanish Agencia Estatal de Investigacion; European Feder Funds [AGL2016-78922-R]; Fundacion Ramon Areces, Madrid, Spain</t>
  </si>
  <si>
    <t>Spanish Ministerio de Economia y Competitividad(Spanish Government); Comunidad de Madrid through the Programa de actividades en tecnologias(Comunidad de Madrid); Spanish Agencia Estatal de Investigacion(Spanish Government); European Feder Funds(European Union (EU)); Fundacion Ramon Areces, Madrid, Spain</t>
  </si>
  <si>
    <t>Buttermilk powder was a kind gift of Reny Picot (Asturias, Spain). Antarctic krill oil from Euphausia superba was kindly donated by AKO3 (TM) (Aker Biomarine Antarctic AS, Oslo, Norway). This study was supported by grants from the Spanish Ministerio de Economia y Competitividad (AGL2014-56464R1 and AGL2014-54565R2); and by the Comunidad de Madrid through the Programa de actividades en tecnologias (ALIBIRD-CM S2013/ABU-2728). Also supported in part by the Spanish Agencia Estatal de Investigacion and European Feder Funds (AGL2016-78922-R) to AD. AD lab is supported in part by the Fundacion Ramon Areces, Madrid, Spain. CIBEROBN is an initiative of the Instituto de Salud Carlos III, Spain.</t>
  </si>
  <si>
    <t>10.1038/s41598-018-22148-5</t>
  </si>
  <si>
    <t>FY0ZI</t>
  </si>
  <si>
    <t>WOS:000426540800026</t>
  </si>
  <si>
    <t>Molina-Kescher, M; Hathorne, EC; Osborne, AH; Behrens, MK; Kölling, M; Pahnke, K; Frank, M</t>
  </si>
  <si>
    <t>Molina-Kescher, Mario; Hathorne, Ed C.; Osborne, Anne H.; Behrens, Melanie K.; Koelling, Martin; Pahnke, Katharina; Frank, Martin</t>
  </si>
  <si>
    <t>The Influence of Basaltic Islands on the Oceanic REE Distribution: A Case Study From the Tropical South Pacific</t>
  </si>
  <si>
    <t>Rare Earth Elements; Nd isotope compositions; Tahiti; tropical South Pacific; Submarine Groundwater Discharge (SGD); Antarctic Intermediate Water (AAIW)</t>
  </si>
  <si>
    <t>RARE-EARTH-ELEMENTS; NEODYMIUM ISOTOPIC COMPOSITION; ATLANTIC DEEP-WATER; ND-ISOTOPES; DISSOLVED ND; GEOTRACES INTERCALIBRATION; INTERMEDIATE WATER; TAHITI-NUI; CIRCULATION; SEAWATER</t>
  </si>
  <si>
    <t>The Rare Earth Elements (REEs) have been widely used to investigate marine biogeochemical processes as well as the sources and mixing of water masses. However, there are still important uncertainties about the global aqueous REE cycle with respect to the contributions of highly reactive basaltic minerals originating from volcanic islands and the role of Submarine Groundwater Discharge (SGD). Here we present dissolved REE concentrations obtained from waters at the island-ocean interface (including SGD, river, lagoon and coastal waters) from the island of Tahiti and from three detailed open ocean profiles on the Manihiki Plateau (including neodymium (Nd) isotope compositions), which are located in ocean currents downstream of Tahiti. Tahitian fresh waters have highly variable REE concentrations that likely result from variable water-rock interaction and removal by secondary minerals. In contrast to studies on other islands, the SGD samples do not exhibit elevated REE concentrations but have distinctive REE distributions and Y/Ho ratios. The basaltic Tahitian rocks impart a REE pattern to the waters characterized by a middle REE enrichment, with a peak at europium similar to groundwaters and coastal waters of other volcanic islands in the Pacific. However, the basaltic island REE characteristics (with the exception of elevated Y/Ho ratios) are lost during transport to the Manihiki Plateau within surface waters that also exhibit highly radiogenic Nd isotope signatures. Our new data demonstrate that REE concentrations are enriched in Tahitian coastal water, but without multidimensional sampling, basaltic island Nd flux estimates range over orders of magnitude from relatively small to globally significant. Antarctic Intermediate Water (AAIW) loses its characteristic Nd isotopic signature (-6 to -9) around the Manihiki Plateau as a consequence of mixing with South Equatorial Pacific Intermediate Water (SEqPIW), which shows more positive values (-1 to -2). However, an additional Nd input/exchange along the pathway of AAIW, eventually originating from the volcanic Society, Tuamotu and Tubuai Islands (including Tahiti), is indicated by an offset from the mixing array of AAIW and SEqPIW to more radiogenic Nd isotope compositions.</t>
  </si>
  <si>
    <t>[Molina-Kescher, Mario; Hathorne, Ed C.; Osborne, Anne H.; Frank, Martin] GEOMAR Helmholtz Ctr Ocean Res Kiel, Kiel, Germany; [Behrens, Melanie K.; Pahnke, Katharina] Carl von Ossietzky Univ Oldenburg, Inst Chem &amp; Biol Marine Environm, Max Planck Res Grp Marine Isotope Geochem, Oldenburg, Germany; [Koelling, Martin] Univ Bremen, Zentrum Marine Umweltwissensch, Bremen, Germany</t>
  </si>
  <si>
    <t>Helmholtz Association; GEOMAR Helmholtz Center for Ocean Research Kiel; Carl von Ossietzky Universitat Oldenburg; University of Bremen</t>
  </si>
  <si>
    <t>Molina-Kescher, M (corresponding author), GEOMAR Helmholtz Ctr Ocean Res Kiel, Kiel, Germany.</t>
  </si>
  <si>
    <t>mariomolinakescher@hotmail.com</t>
  </si>
  <si>
    <t>Hathorne, Ed/AAC-6315-2020</t>
  </si>
  <si>
    <t>Hathorne, Ed/0000-0002-7813-2455; Behrens, Melanie K./0000-0001-6013-6178; Koelling, Martin/0000-0003-2720-2211; Molina-Kescher, Mario/0000-0002-3064-040X; Frank, Martin/0000-0002-8606-4421; Pahnke, Katharina/0000-0001-9114-8411</t>
  </si>
  <si>
    <t>German Ministry of Education and Research (BMBF, Bundesministerium fur Bildung und Forschung) as part of Manihiki II [03G0225B]; GEOMAR Helmholtz Centre for Ocean Research Kiel; Alfred Wegener Institute Helmholtz Centre for Polar and Marine Research (AWI); DFG [PA2411/1-1, FR1198/8-1, OS499/2-1]</t>
  </si>
  <si>
    <t>German Ministry of Education and Research (BMBF, Bundesministerium fur Bildung und Forschung) as part of Manihiki II; GEOMAR Helmholtz Centre for Ocean Research Kiel(Helmholtz Association); Alfred Wegener Institute Helmholtz Centre for Polar and Marine Research (AWI); DFG(German Research Foundation (DFG))</t>
  </si>
  <si>
    <t>The RV Sonne Cruise SO225 was funded by the German Ministry of Education and Research (BMBF, Bundesministerium fur Bildung und Forschung) as part of Manihiki II (03G0225B), a joint project of the GEOMAR Helmholtz Centre for Ocean Research Kiel and the Alfred Wegener Institute Helmholtz Centre for Polar and Marine Research (AWI). AO was funded by DFG grants FR1198/8-1 and OS499/2-1; MK and KP were funded by DFG grant PA2411/1-1. We thank Jan Hoffmann for collecting andmeasuring Tahitian samples of the 2009 campaign. We appreciate the editorial handling by Prof. Sunil Singh and the constructive comments of Dr. Hiroshi Amakawa and Dr. Vineet Goswami that improved the quality of the manuscript.</t>
  </si>
  <si>
    <t>MAR 2</t>
  </si>
  <si>
    <t>10.3389/fmars.2018.00050</t>
  </si>
  <si>
    <t>HJ1NT</t>
  </si>
  <si>
    <t>WOS:000456931000001</t>
  </si>
  <si>
    <t>Yan, P; Li, ZW; Li, F; Yang, YD; Hao, WF; Bao, F</t>
  </si>
  <si>
    <t>Yan, Peng; Li, Zhiwei; Li, Fei; Yang, Yuande; Hao, Weifeng; Bao, Feng</t>
  </si>
  <si>
    <t>Antarctic ice sheet thickness estimation using the horizontal-to-vertical spectral ratio method with single-station seismic ambient noise</t>
  </si>
  <si>
    <t>DISSIPATIVE LAYERED EARTH; AVERAGE H/V RATIOS; WAVE-FIELD; RECEIVER FUNCTIONS; EAST ANTARCTICA; MICROTREMOR; INVERSION; SEDIMENTS; GLACIER; MODEL</t>
  </si>
  <si>
    <t>We report on a successful application of the horizontal-to-vertical spectral ratio (H / V) method, generally used to investigate the subsurface velocity structures of the shallow crust, to estimate the Antarctic ice sheet thickness for the first time. Using three-component, five-day long, seismic ambient noise records gathered from more than 60 temporary seismic stations located on the Antarctic ice sheet, the ice thickness measured at each station has comparable accuracy to the Bedmap2 database. Preliminary analysis revealed that 60 out of 65 seismic stations on the ice sheet obtained clear peak frequencies (f0) related to the ice sheet thickness in the H / V spectrum. Thus, assuming that the isotropic ice layer lies atop a high velocity half-space bedrock, the ice sheet thickness can be calculated by a simple approximation formula. About half of the calculated ice sheet thicknesses were consistent with the Bedmap2 ice thickness values. To further improve the reliability of ice thickness measurements, two-type models were built to fit the observed H / V spectrum through non-linear inversion. The two-type models represent the isotropic structures of single-and twolayer ice sheets, and the latter depicts the non-uniform, layered characteristics of the ice sheet widely distributed in Antarctica. The inversion results suggest that the ice thicknesses derived from the two-layer ice models were in good concurrence with the Bedmap2 ice thickness database, and that ice thickness differences between the two were within 300m at almost all stations. Our results support previous finding that the Antarctic ice sheet is stratified. Extensive data processing indicates that the time length of seismic ambient noise records can be shortened to two hours for reliable ice sheet thickness estimation using the H / V method. This study extends the application fields of the H / V method and provides an effective and independent way to measure ice sheet thickness in Antarctica.</t>
  </si>
  <si>
    <t>[Yan, Peng; Li, Fei; Yang, Yuande; Hao, Weifeng] Wuhan Univ, Chinese Antarct Ctr Surveying &amp; Mapping, Wuhan 430079, Hubei, Peoples R China; [Li, Zhiwei; Bao, Feng] Chinese Acad Sci, Inst Geodesy &amp; Geophys, State Key Lab Geodesy &amp; Earths Dynam, Wuhan 430077, Hubei, Peoples R China; [Li, Fei] Wuhan Univ, State Key Lab Informat Engn Surveying Mapping &amp;, Wuhan 430079, Hubei, Peoples R China</t>
  </si>
  <si>
    <t>Wuhan University; Chinese Academy of Sciences; Innovation Academy for Precision Measurement Science &amp; Technology, CAS; Wuhan University</t>
  </si>
  <si>
    <t>Li, F (corresponding author), Wuhan Univ, Chinese Antarct Ctr Surveying &amp; Mapping, Wuhan 430079, Hubei, Peoples R China.;Li, F (corresponding author), Wuhan Univ, State Key Lab Informat Engn Surveying Mapping &amp;, Wuhan 430079, Hubei, Peoples R China.</t>
  </si>
  <si>
    <t>fli@whu.edu.cn</t>
  </si>
  <si>
    <t>Li, Zhiwei/GMX-3670-2022</t>
  </si>
  <si>
    <t>Li, Zhiwei/0000-0001-7505-5899; Yan, Peng/0000-0003-4210-533X</t>
  </si>
  <si>
    <t>State Key Program of National Natural Science of China [41531069]; Chinese Polar Environment Comprehensive Investigation and Assessment Programs [CHINARE2017-02-03]; Special Funds for Basic Scientific Research of Universities [2015644020201]</t>
  </si>
  <si>
    <t>State Key Program of National Natural Science of China(National Natural Science Foundation of China (NSFC)); Chinese Polar Environment Comprehensive Investigation and Assessment Programs; Special Funds for Basic Scientific Research of Universities</t>
  </si>
  <si>
    <t>We thank the editor, Kenny Matsuoka, and two reviewers, Andreas Kohler and Adam Booth for their critical and helpful comments and suggestions that greatly improved the manuscript. We thank Sidao Ni for helpful discussion on the manuscript. This work was supported by the State Key Program of National Natural Science of China under grant no. 41531069, the Chinese Polar Environment Comprehensive Investigation and Assessment Programs under grant no. CHINARE2017-02-03 and the Special Funds for Basic Scientific Research of Universities under grant no. 2015644020201. Seismic data are obtained from the Incorporated Research Institutions for Seismology (IRIS). Figures in this study were plotted using Generic Mapping Tools (GMT).</t>
  </si>
  <si>
    <t>10.5194/tc-12-795-2018</t>
  </si>
  <si>
    <t>FY3XM</t>
  </si>
  <si>
    <t>WOS:000426754500001</t>
  </si>
  <si>
    <t>Wan, XS; Sheng, HX; Dai, MH; Zhang, Y; Shi, D; Trull, TW; Zhu, YF; Lomas, MW; Kao, SJ</t>
  </si>
  <si>
    <t>Wan, Xianhui Sean; Sheng, Hua-Xia; Dai, Minhan; Zhang, Yao; Shi, Dalin; Trull, Thomas W.; Zhu, Yifan; Lomas, Michael W.; Kao, Shuh-Ji</t>
  </si>
  <si>
    <t>Ambient nitrate switches the ammonium consumption pathway in the euphotic ocean</t>
  </si>
  <si>
    <t>PHYTOPLANKTON COMMUNITY COMPOSITION; PRIMARY NITRITE MAXIMUM; ATLANTIC TIME-SERIES; NITRIFICATION RATES; SARGASSO SEA; RIVER PLUME; ISOTOPIC COMPOSITION; OXIDATION-KINETICS; OXIDIZING ARCHAEA; NORTH PACIFIC</t>
  </si>
  <si>
    <t>Phytoplankton assimilation and microbial oxidation of ammonium are two critical conversion pathways in the marine nitrogen cycle. The underlying regulatory mechanisms of these two competing processes remain unclear. Here we show that ambient nitrate acts as a key variable to bifurcate ammonium flow through assimilation or oxidation, and the depth of the nitracline represents a robust spatial boundary between ammonium assimilators and oxidizers in the stratified ocean. Profiles of ammonium utilization show that phytoplankton assemblages in nitrate-depleted regimes have higher ammonium affinity than nitrifiers. In nitrate replete conditions, by contrast, phytoplankton reduce their ammonium reliance and thus enhance the success of nitrifiers. This finding helps to explain existing discrepancies in the understanding of light inhibition of surface nitrification in the global ocean, and provides further insights into the spatial linkages between oceanic nitrification and new production.</t>
  </si>
  <si>
    <t>[Wan, Xianhui Sean; Sheng, Hua-Xia; Dai, Minhan; Zhang, Yao; Shi, Dalin; Zhu, Yifan; Kao, Shuh-Ji] Xiamen Univ, State Key Lab Marine Environm Sci, Xiamen 361101, Peoples R China; [Trull, Thomas W.] Univ Tasmania, Antarctic Climate &amp; Ecosyst Cooperat Res Ctr, Hobart, Tas 7001, Australia; [Trull, Thomas W.] CSIRO Oceans &amp; Atmosphere, Hobart, Tas 7001, Australia; [Lomas, Michael W.] Bigelow Lab Ocean Sci, East Boothbay, ME 04544 USA</t>
  </si>
  <si>
    <t>Xiamen University; Antarctic Climate &amp; Ecosystems Cooperative Research Centre (ACE CRC); University of Tasmania; Commonwealth Scientific &amp; Industrial Research Organisation (CSIRO); Bigelow Laboratory for Ocean Sciences</t>
  </si>
  <si>
    <t>Kao, SJ (corresponding author), Xiamen Univ, State Key Lab Marine Environm Sci, Xiamen 361101, Peoples R China.</t>
  </si>
  <si>
    <t>sjkao@xmu.edu.cn</t>
  </si>
  <si>
    <t>DAI, M/GPS-8291-2022; zhu, yifan/JMR-2845-2023; Dai, Minhan/G-3343-2010; Kao, Shuh-Ji/F-8418-2015; Shi, Dalin/E-6361-2011</t>
  </si>
  <si>
    <t>Dai, Minhan/0000-0003-0550-0701; Kao, Shuh-Ji/0000-0002-5054-9099; Wan, Xianhui/0000-0002-4870-7369; Lomas, Michael/0000-0003-1209-3753; Shi, Dalin/0000-0003-4432-1992</t>
  </si>
  <si>
    <t>National Natural Science Foundation of China [91328207]; Science Fund for Creative Research Groups of the National Natural Science Foundation of China [41721005]; National Basic Research Program of China (973 Program) [2014CB953702, 2015CB954003]; MEL Visiting Scholar award</t>
  </si>
  <si>
    <t>National Natural Science Foundation of China(National Natural Science Foundation of China (NSFC)); Science Fund for Creative Research Groups of the National Natural Science Foundation of China(National Natural Science Foundation of China (NSFC)); National Basic Research Program of China (973 Program)(National Basic Research Program of China); MEL Visiting Scholar award</t>
  </si>
  <si>
    <t>We greatly appreciate K. Zhou, W. Zou, M. He, X. Zhang, and G. Shao's inputs during on-board sampling and incubation in the South China Sea cruise, and W. Zou, W. Zhang, and Q. Wu's help during the campaign to the Northwest Pacific; this work could not have been carried out without their efforts. We also thank T. Huang for the on-board measurement of nutrients and Z. Sun for providing the CTD data. We are grateful for L. Wang and B. Huang's help providing the pigments data. Comments from Patricia M. Glibert, X. Peng, and Jason M. Smith improved the earlier version of the manuscript. This work is supported by the National Natural Science Foundation of China through grants 91328207, Science Fund for Creative Research Groups of the National Natural Science Foundation of China through grants 41721005 and National Basic Research Program of China (973 Program) through grants 2014CB953702, 2015CB954003. T.W.T. was supported by an MEL Visiting Scholar award.</t>
  </si>
  <si>
    <t>10.1038/s41467-018-03363-0</t>
  </si>
  <si>
    <t>FX9ZO</t>
  </si>
  <si>
    <t>WOS:000426469900017</t>
  </si>
  <si>
    <t>Borowicz, A; McDowall, P; Youngflesh, C; Sayre-McCord, T; Clucas, G; Herman, R; Forrest, S; Rider, M; Schwaller, M; Hart, T; Jenouvrier, S; Polito, MJ; Singh, H; Lynch, HJ</t>
  </si>
  <si>
    <t>Borowicz, Alex; McDowall, Philip; Youngflesh, Casey; Sayre-McCord, Thomas; Clucas, Gemma; Herman, Rachael; Forrest, Steven; Rider, Melissa; Schwaller, Mathew; Hart, Tom; Jenouvrier, Stephanie; Polito, Michael J.; Singh, Hanumant; Lynch, Heather J.</t>
  </si>
  <si>
    <t>Multi-modal survey of Adelie penguin mega-colonies reveals the Danger Islands as a seabird hotspot</t>
  </si>
  <si>
    <t>SEA-ICE; ANTARCTIC PENINSULA; POPULATION-CHANGES; SOUTHERN-OCEAN; SCOTIA SEA; CLIMATE; VARIABILITY; ECOSYSTEM; DYNAMICS; TRENDS</t>
  </si>
  <si>
    <t>Despite concerted international effort to track and interpret shifts in the abundance and distribution of Adelie penguins, large populations continue to be identified. Here we report on a major hotspot of Adelie penguin abundance identified in the Danger Islands off the northern tip of the Antarctic Peninsula (AP). We present the first complete census of Pygoscelis spp. penguins in the Danger Islands, estimated from a multi-modal survey consisting of direct ground counts and computer-automated counts of unmanned aerial vehicle (UAV) imagery. Our survey reveals that the Danger Islands host 751,527 pairs of Adelie penguins, more than the rest of AP region combined, and include the third and fourth largest Adelie penguin colonies in the world. Our results validate the use of Landsat medium-resolution satellite imagery for the detection of new or unknown penguin colonies and highlight the utility of combining satellite imagery with ground and UAV surveys. The Danger Islands appear to have avoided recent declines documented on the Western AP and, because they are large and likely to remain an important hotspot for avian abundance under projected climate change, deserve special consideration in the negotiation and design of Marine Protected Areas in the region.</t>
  </si>
  <si>
    <t>[Borowicz, Alex; McDowall, Philip; Youngflesh, Casey; Herman, Rachael; Schwaller, Mathew; Lynch, Heather J.] SUNY Stony Brook, Dept Ecol &amp; Evolut, Life Sci 113, Stony Brook, NY 11794 USA; [Sayre-McCord, Thomas; Singh, Hanumant] Woods Hole Oceanog Inst, Dept Appl Ocean Phys &amp; Engn, Woods Hole, MA 02543 USA; [Sayre-McCord, Thomas] MIT, Dept Mech Engn, Cambridge, MA 02139 USA; [Clucas, Gemma; Hart, Tom] Dept Zool, South Pk Rd, Oxford OX1 3PS, England; [Clucas, Gemma] Univ New Hampshire, Nat Resources &amp; Environm, James Hall, Durham, NH 03824 USA; [Forrest, Steven; Rider, Melissa] Antarctic Resource Inc, 303 S Broadway,Suite 200-190, Denver, CO 80209 USA; [Herman, Rachael; Polito, Michael J.] Louisiana State Univ, Dept Oceanog &amp; Coastal Sci, Baton Rouge, LA 70803 USA; [Jenouvrier, Stephanie; Polito, Michael J.] Woods Hole Oceanog Inst, Dept Biol, Woods Hole, MA 02543 USA; [Jenouvrier, Stephanie] Univ La Rochelle, CNRS, UMR 7372, Ctr Etud Biol Chize, Villiers En Bois, France</t>
  </si>
  <si>
    <t>State University of New York (SUNY) System; State University of New York (SUNY) Stony Brook; Woods Hole Oceanographic Institution; Massachusetts Institute of Technology (MIT); University System Of New Hampshire; University of New Hampshire; Louisiana State University System; Louisiana State University; Woods Hole Oceanographic Institution; Centre National de la Recherche Scientifique (CNRS); CNRS - Institute of Ecology &amp; Environment (INEE); La Rochelle Universite</t>
  </si>
  <si>
    <t>Lynch, HJ (corresponding author), SUNY Stony Brook, Dept Ecol &amp; Evolut, Life Sci 113, Stony Brook, NY 11794 USA.</t>
  </si>
  <si>
    <t>heather.lynch@stonybrook.edu</t>
  </si>
  <si>
    <t>Clucas, Gemma/ABF-9073-2021; Polito, Michael/G-9118-2012; McDowall, Phil/AAK-8612-2021</t>
  </si>
  <si>
    <t>Polito, Michael/0000-0001-8639-4431; Borowicz, Alex/0000-0001-5888-5137; McDowall, Philip/0000-0002-3683-3202; Youngflesh, Casey/0000-0001-6343-3311; Clucas, Gemma/0000-0002-4305-1719</t>
  </si>
  <si>
    <t>Dalio Foundation, Inc. through the Dalio Explore Fund; Polar Geospatial Center under NSF PLR awards [1043681, 1559691]</t>
  </si>
  <si>
    <t>Dalio Foundation, Inc. through the Dalio Explore Fund; Polar Geospatial Center under NSF PLR awards</t>
  </si>
  <si>
    <t>We gratefully acknowledge the financial support of the Dalio Foundation, Inc. through the Dalio Explore Fund, which provided all the financing for the Danger Island Expedition. We are grateful to the crew of the yacht M/V Hans Hansson - Dion Poncet, Juliette Hannequinn, Alec and Gizelle Hazell for getting us to the Danger Islands and ensuring the safety and well-being of the research team during their work. We would like to thank additional support for analysis from the National Science Foundation (NSF PLR&amp;GSS 1255058 - H.J.L. and P.M.; NSF PLR 1443585 - M.J.P.) and the National Aeronautical and Space Administration (NNX14AC32G; H.J.L. and M.S.). Geospatial support for the analysis of high resolution satellite imagery provided by the Polar Geospatial Center under NSF PLR awards 1043681 &amp; 1559691.</t>
  </si>
  <si>
    <t>10.1038/s41598-018-22313-w</t>
  </si>
  <si>
    <t>FX9YU</t>
  </si>
  <si>
    <t>WOS:000426467900025</t>
  </si>
  <si>
    <t>C</t>
  </si>
  <si>
    <t>Abdullah, NC; Shah, RM</t>
  </si>
  <si>
    <t>Abdullah, Nuraisyah Chua; Shah, Rohani Mohd</t>
  </si>
  <si>
    <t>Guidelines for Antarctic Tourism: An Evaluation</t>
  </si>
  <si>
    <t>ENVIRONMENT-BEHAVIOUR PROCEEDINGS JOURNAL</t>
  </si>
  <si>
    <t>Proceedings Paper</t>
  </si>
  <si>
    <t>6th AMER International Conference on Quality of Life in the Built and Natural Environment (AicQoL) / Annual Serial Landmark International Conferences on Quality of Life (ASLI QoL)</t>
  </si>
  <si>
    <t>MAR 03-04, 2018</t>
  </si>
  <si>
    <t>MALAYSIA</t>
  </si>
  <si>
    <t>Antarctica Tourism; Tourism Operators; Environmental Effects; Tourism Guidelines</t>
  </si>
  <si>
    <t>Since Antarctic tourism has special features because of its peculiar characteristics, tourism activities need to be controlled. By using the qualitative method, this paper argues that although there are guidelines related to Antarctic Tourism, there are an increasing number of consultative parties who question whether the Antarctic environment can be adequately protected through these guidelines. The paper reveals the reasons underlying the poor governance of the guidelines and in view of the argument that Antarctic tourism regulation is still largely piecemeal, therefore, this paper concludes with suggestions to overcome the problem in order to ensure the sustainability of Antarctic tourism.</t>
  </si>
  <si>
    <t>[Abdullah, Nuraisyah Chua; Shah, Rohani Mohd] Univ Teknol MARA UiTM, Fac Law, Shah Alam 40450, Selangor, Malaysia</t>
  </si>
  <si>
    <t>Universiti Teknologi MARA</t>
  </si>
  <si>
    <t>Abdullah, NC (corresponding author), Univ Teknol MARA UiTM, Fac Law, Shah Alam 40450, Selangor, Malaysia.</t>
  </si>
  <si>
    <t>nuraisyahc@yahoo.com; rohanimohdshah@salam.uitm.edu.my</t>
  </si>
  <si>
    <t>FLAGSHIP Antarctica Grant 2014 [100-RMI/MOSTI 16/6/2 (1/2014)]; Research Management Centre, Institute of Research Management and Innovation (IRMI), Universiti Teknologi MARA, Shah Alam</t>
  </si>
  <si>
    <t>FLAGSHIP Antarctica Grant 2014; Research Management Centre, Institute of Research Management and Innovation (IRMI), Universiti Teknologi MARA, Shah Alam</t>
  </si>
  <si>
    <t>The authors would like to express their gratitude to the FLAGSHIP Antarctica Grant 2014 (100-RMI/MOSTI 16/6/2 (1/2014) and Research Management Centre, Institute of Research Management and Innovation (IRMI), Universiti Teknologi MARA, Shah Alam for managing the grant.</t>
  </si>
  <si>
    <t>E-IPH LTD UK</t>
  </si>
  <si>
    <t>SHEFFIELD</t>
  </si>
  <si>
    <t>THE LEADMILL, 6 LEADMILL RD, PO BOX STUDIO 7, SHEFFIELD, S1 4SE, ENGLAND</t>
  </si>
  <si>
    <t>2398-4287</t>
  </si>
  <si>
    <t>ENVIRON-BEHAV PROC J</t>
  </si>
  <si>
    <t>Environ.-Behav. Proc. J.</t>
  </si>
  <si>
    <t>MAR</t>
  </si>
  <si>
    <t>10.21834/e-bpj.v3i7.1313</t>
  </si>
  <si>
    <t>Environmental Studies</t>
  </si>
  <si>
    <t>Conference Proceedings Citation Index - Science (CPCI-S)</t>
  </si>
  <si>
    <t>HF5UP</t>
  </si>
  <si>
    <t>WOS:000454299900022</t>
  </si>
  <si>
    <t>States' Wildlife Tourism Policy Prepares Tourists for Sustainability of Antarctica Tourism?</t>
  </si>
  <si>
    <t>Wildlife policies; Wildlife Tourism; Sustainable Tourism; Legal Framework</t>
  </si>
  <si>
    <t>IMPACTS; TRENDS</t>
  </si>
  <si>
    <t>Recognition of animal welfare is reflected in national laws and policies to guide tourists and operators in dealing with animals. However, studies portray that tourists are ignorant that wildlife attraction is harmful to animals. This raises the issue as to whether the existing states' laws and regulations of zoos prepare tourists for sustainable tourism and tourism in more delicate destinations like the Antarctic. Using qualitative method, this paper focuses on Malaysia's development of the Wildlife Conservation Act 2010 and concludes that although the Act improves the condition of animals, it is not the only solution for visitors' knowledge of conversation.</t>
  </si>
  <si>
    <t>Abdullah, Nuraisyah Chua/0000-0001-8587-3764</t>
  </si>
  <si>
    <t>FLAGSHIP Antarctica Grant 2014 [100-RMI/MOSTI 16/6/2(1/2014)]; Research Management Centre, Institute of Research Management and Innovation (IRMI), Universiti Teknologi MARA, Shah Alam</t>
  </si>
  <si>
    <t>The authors would like to express their gratitude to the FLAGSHIP Antarctica Grant 2014 (100-RMI/MOSTI 16/6/2(1/2014) and the Research Management Centre, Institute of Research Management and Innovation (IRMI), Universiti Teknologi MARA, Shah Alam for managing the grant.</t>
  </si>
  <si>
    <t>10.21834/e-bpj.v3i7.1311</t>
  </si>
  <si>
    <t>WOS:000454299900024</t>
  </si>
  <si>
    <t>Mariash, HL; Cazzanelli, M; Rautio, M; Hamerlik, L; Wooller, MJ; Christoffersen, KS</t>
  </si>
  <si>
    <t>Mariash, Heather L.; Cazzanelli, Matteo; Rautio, Milla; Hamerlik, Ladislav; Wooller, Matthew J.; Christoffersen, Kirsten S.</t>
  </si>
  <si>
    <t>Changes in food web dynamics of low Arctic ponds with varying content of dissolvd organic carbon</t>
  </si>
  <si>
    <t>Arctic; allochthony; freshwater ecology; Bayesian mixing models; plankton; stable isotope</t>
  </si>
  <si>
    <t>HIGH-LATITUDE LAKES; ALLOCHTHONOUS CARBON; TERRESTRIAL SUPPORT; WEST GREENLAND; ZOOPLANKTON; ISOTOPE; PHOTOSYNTHESIS; BACTERIAL; HYDROGEN; MATTER</t>
  </si>
  <si>
    <t>An influx of terrestrial dissolved organic carbon (DOC) into freshwater habitats can regulate a range of ecosystem characteristics, from water clarity to productivity. To understand the extent to which DOC can regulate ecosystem functioning, we conducted a survey to determine the source of DOC in low Arctic ponds close to the Arctic Circle (Kangerlussuaq, Greenland), including its role in food web dynamics. We used a multiple element (carbon, nitrogen, and hydrogen) stable isotope approach to examine the proportional contribution of different sources to aquatic consumers in nine arctic ponds that spanned a broad gradient of DOC (6.6-60.1 rye). Our results show that benthic and pelagic primary production decreased along a gradient of increasing DOC content. Additionally, the changes in the organic matter pool with increasing DOC translated into changes in consumer resource use. We found significant differences in resource use between species. All consumers relied on benthic autotrophic material when DOC was low; but when DOC was high some consumers changed their diet. Collectively, our findings demonstrate how the concentration of DOC influences aquatic production and our study can be used as a baseline to predict how the aquatic food web may respond to regionally changing DOC concentrations.</t>
  </si>
  <si>
    <t>[Mariash, Heather L.] Environm &amp; Climate Change Canada, Natl Wildlife Res Ctr, Ottawa, ON, Canada; [Cazzanelli, Matteo; Hamerlik, Ladislav; Christoffersen, Kirsten S.] Univ Copenhagen, Dept Biol, Freshwater Biol Lab, Copenhagen, Denmark; [Rautio, Milla] Univ Quebec Chicoutimi, Dept Sci Fondamentales, Chicoutimi, PQ, Canada; [Rautio, Milla] Univ Quebec Chicoutimi, Ctr Northern Studies CEN, Chicoutimi, PQ, Canada; [Wooller, Matthew J.] Univ Alaska Fairbanks, Alaska Stable Isotope Facil, Water &amp; Environm Res Ctr, Fairbanks, AK USA; [Wooller, Matthew J.] Univ Alaska Fairbanks, Coll Fisheries &amp; Ocean Sci, Fairbanks, AK USA; [Hamerlik, Ladislav] Polish Acad Sci, Inst Geol Sci, Twarda 51-55, PL-00818 Warsaw, Poland</t>
  </si>
  <si>
    <t>Environment &amp; Climate Change Canada; Canadian Wildlife Service; National Wildlife Research Centre - Canada; University of Copenhagen; University of Quebec; University of Quebec Chicoutimi; University of Quebec; University of Quebec Chicoutimi; University of Alaska System; University of Alaska Fairbanks; University of Alaska System; University of Alaska Fairbanks; Polish Academy of Sciences; Institute of Geological Sciences of the Polish Academy of Sciences</t>
  </si>
  <si>
    <t>Mariash, HL (corresponding author), Environm &amp; Climate Change Canada, Natl Wildlife Res Ctr, Ottawa, ON, Canada.;Christoffersen, KS (corresponding author), Univ Copenhagen, Dept Biol, Freshwater Biol Lab, Copenhagen, Denmark.</t>
  </si>
  <si>
    <t>heather.mariash@gmail.com; kchristoffersen@bio.ku.dk</t>
  </si>
  <si>
    <t>Cazzanelli, Matteo/AAG-5168-2021; Hamerlik, Ladislav/AAL-4735-2020; Hamerlik, Ladislav/C-1905-2019; Christoffersen, Kirsten Seestern/K-8423-2014</t>
  </si>
  <si>
    <t>Cazzanelli, Matteo/0000-0002-8203-1366; Christoffersen, Kirsten Seestern/0000-0002-3324-1017; Wooller, Matthew/0000-0002-5065-4235; Hamerlik, Ladislav/0000-0002-0803-8981</t>
  </si>
  <si>
    <t>University of Copenhagen; NordSIR; Academy of Finland; Canada Research Chairs Program</t>
  </si>
  <si>
    <t>University of Copenhagen; NordSIR; Academy of Finland(Research Council of Finland); Canada Research Chairs Program(Canada Research Chairs)</t>
  </si>
  <si>
    <t>Funding was provided by the University of Copenhagen, NordSIR, Academy of Finland and the Canada Research Chairs Program.</t>
  </si>
  <si>
    <t>MAR 1</t>
  </si>
  <si>
    <t>e1414472</t>
  </si>
  <si>
    <t>10.1080/15230430.2017.1414472</t>
  </si>
  <si>
    <t>GN1JQ</t>
  </si>
  <si>
    <t>WOS:000438746300001</t>
  </si>
  <si>
    <t>Cristofanelli, P; Putero, D; Bonasoni, P; Busetto, M; Calzolari, F; Camporeale, G; Grigioni, P; Lupi, A; Petkov, B; Traversi, R; Udisti, R; Vitale, V</t>
  </si>
  <si>
    <t>Cristofanelli, Paolo; Putero, Davide; Bonasoni, Paolo; Busetto, Maurizio; Calzolari, Francescopiero; Camporeale, Giuseppe; Grigioni, Paolo; Lupi, Angelo; Petkov, Boyan; Traversi, Rita; Udisti, Roberto; Vitale, Vito</t>
  </si>
  <si>
    <t>Analysis of multi-year near-surface ozone observations at the WMO/GAW Concordia station (75°06′S, 123°20′E, 3280 m a.s.l. - Antarctica)</t>
  </si>
  <si>
    <t>Near-surface; O-3; Antarctica; STT; Photochemistry</t>
  </si>
  <si>
    <t>TROPOSPHERIC OZONE; BOUNDARY-LAYER; EAST ANTARCTICA; SOUTH-POLE; DOME-C; PLATEAU; SNOW; VARIABILITY; SUMMER; TROPOPAUSE</t>
  </si>
  <si>
    <t>This work focuses on the near-surface O-3 variability over the eastern Antarctic Plateau. In particular, eight years (2006-2013) of continuous observations at the WMO/GAW contributing station Concordia (Dome C-DMC: 75 degrees 06'S, 123 degrees 20'E, 3280 m) are presented, in the framework of the Italian Antarctic Research Programme (PNRA). First, the characterization of seasonal and diurnal O-3 variability at DMC is provided. Then, for the period of highest data coverage (2008-2013), we investigated the role of specific atmospheric processes in affecting near-surface summer O-3 variability, when O-3 enhancement events (OEEs) are systematically observed at DMC (average monthly frequency peaking up to 60% in December). As deduced by a statistical selection methodology, these OEEs are affected by a significant interannual variability, both in their average 03 values and in their frequency. To explain part of this variability, we analyzed OEEs as a function of specific atmospheric variables and processes: (i) total column of O-3 (TCO) and UV-A irradiance, (ii) long-range transport of air masses over the Antarctic Plateau (by Lagrangian back-trajectory analysis - LAGRANTO), (iii) occurrence of deep stratospheric intrusion events (by using the Lagrangian tool STLEFLUX). The overall near-surface O-3 variability at DMC is controlled by a day-to-day pattern, which strongly points towards a dominating influence of processes occurring at synoptic scales rather than local processes. Even if previous studies suggested an inverse relationship between OEEs and TCO, we found a slight tendency for the annual frequency of OEEs to be higher when TCO values are higher over DMC. The annual occurrence of OEEs at DMC seems related to the total time spent by air masses over the Antarctic plateau before their arrival to DMC, suggesting the accumulation of photochemically-produced O-3 during the transport, rather than a more efficient local production. Moreover, the identification of recent (i.e., 4-day old) stratospheric intrusion events by STEFLUX suggested only a minor influence (up to 3% of the period, in November) of deep events on the variability of near-surface summer O-3 at DMC.</t>
  </si>
  <si>
    <t>[Cristofanelli, Paolo; Putero, Davide; Bonasoni, Paolo; Busetto, Maurizio; Calzolari, Francescopiero; Lupi, Angelo; Petkov, Boyan; Vitale, Vito] Inst Atmospher Sci &amp; Climate, Natl Res Council Italy, CNR, Via Gobetti 101, I-40129 Bologna, Italy; [Camporeale, Giuseppe; Grigioni, Paolo] ENEA, CR Casaccia, Lab Observat &amp; Anal Earth &amp; Climate, I-00123 Santa Maria Di Galeria, RM, Italy; [Traversi, Rita; Udisti, Roberto] Univ Florence, Dept Chem Ugo Schiff, Via Lastruccia 3, I-50019 Sesto Fiorentino, FI, Italy</t>
  </si>
  <si>
    <t>Consiglio Nazionale delle Ricerche (CNR); Istituto di Scienze dell'Atmosfera e del Clima (ISAC-CNR); Italian National Agency New Technical Energy &amp; Sustainable Economics Development; University of Florence</t>
  </si>
  <si>
    <t>Cristofanelli, P (corresponding author), Inst Atmospher Sci &amp; Climate, Natl Res Council Italy, CNR, Via Gobetti 101, I-40129 Bologna, Italy.</t>
  </si>
  <si>
    <t>p.cristofanelli@isac.cnr.it</t>
  </si>
  <si>
    <t>Grigioni, paolo/AAH-5193-2020; Cristofanelli, Paolo/AAA-5575-2021; Putero, Davide/P-1639-2018; vitale, vito/AAW-8441-2021; busetto, maurizio/Q-4118-2018; Bonasoni, Paolo/C-6338-2015; Tositti, Laura/L-3562-2016</t>
  </si>
  <si>
    <t>Cristofanelli, Paolo/0000-0001-5666-9131; Putero, Davide/0000-0002-9721-1036; lupi, angelo/0000-0002-5009-9876; busetto, maurizio/0000-0003-1115-6564; Petkov, Boyan/0000-0002-8328-340X; Camporeale, Giuseppe/0000-0001-5659-3966; Bonasoni, Paolo/0000-0002-8812-5291; vitale, vito/0000-0003-0978-8976; Tositti, Laura/0000-0002-1778-672X; Calzolari, Francescopiero/0000-0003-4535-9626</t>
  </si>
  <si>
    <t>PNRA [DO3meCO2, ABL-CLIMAT]</t>
  </si>
  <si>
    <t>PNRA</t>
  </si>
  <si>
    <t>The authors are grateful to the atmospheric dynamics group at IAC-ETH (in particular Michael Sprenger and Heini Wernli) for help in calculating the backward trajectories. We recognize the importance of meteorological observations carried out at Concordia by ENEA throughout the Osservatorio Meteo-Climatologico Antartico. The near-surface 03 measurements presented in this work were carried out under PNRA Projects DO3meCO2 and ABL-CLIMAT. The publication costs are supported by the PNRA 2014 A3-00091 LTCPAA Project. The present research was made possible by the joint French-Italian Concordia Program, which established and runs the permanent station Concordia at Dome-C. The authors are grateful to the Italian-French logistics team at CONCORDIA Station (IPEV-PNRA) for their kind assistance during the experimental campaign. We gratefully acknowledge the anonymous referee and Dr. H. K. Roscoe for their valuable comments.</t>
  </si>
  <si>
    <t>10.1016/j.atmosenv.2018.01.007</t>
  </si>
  <si>
    <t>GA1RS</t>
  </si>
  <si>
    <t>WOS:000428095500006</t>
  </si>
  <si>
    <t>Hernández-Paniagua, IY; Lowry, D; Clemitshaw, KC; Palmer, PI; Fisher, RE; France, JL; Mendoza, A; O'Doherty, S; Forster, G; Lanoisellé, M; Nisbet, EG</t>
  </si>
  <si>
    <t>Hernandez-Paniagua, Ivan Y.; Lowry, David; Clemitshaw, Kevin C.; Palmer, Paul I.; Fisher, Rebecca E.; France, James L.; Mendoza, Alberto; O'Doherty, Simon; Forster, Grant; Lanoiselle, M.; Nisbet, Euan G.</t>
  </si>
  <si>
    <t>Diurnal, seasonal, and annual trends in tropospheric CO in Southwest London during 2000-2015: Wind sector analysis and comparisons with urban and remote sites</t>
  </si>
  <si>
    <t>Combustion emission ratio; Exponential decay; Road transport; Spectral analysis</t>
  </si>
  <si>
    <t>CARBON-MONOXIDE; MACE HEAD; SURFACE CONCENTRATIONS; ATMOSPHERIC CO2; HIGH-FREQUENCY; AIR-POLLUTION; OZONE; IRELAND; DISTRIBUTIONS; POLLUTANTS</t>
  </si>
  <si>
    <t>Ambient carbon monoxide (CO) and meteorological parameters measured at the Egham (EGH) semi-rural site in SW London during 2000-2015 have permitted wind sector analysis of diurnal and seasonal cycles, and interpretation of long-term trends. CO daily amplitudes are used as a proxy for anthropogenic emissions. At EGH, morning and evening peaks in CO arise from the dominant contribution of road transport sources. Smaller amplitudes are observed during weekends than weekdays due to lower combustion emissions, and for mornings compared to evenings due to the timing of the development and break-up of the nocturnal inversion layer or planetary boundary layer (PBL). A wavelet transform revealed that the dominant mode of CO variability is the annual cycle, with apparent winter maxima likely due to increased CO emissions from domestic heating with summer minima ascribed to enhanced dispersion and dilution during the annual maximum of PBL mixing heights. Over the last two decades, both mitigation measures to reduce CO emissions and also a major switch to diesel cars, have accompanied a change at EGH from the dominance of local diurnal sources to a site measuring close to Atlantic background levels in summer months. CO observed in the S and SW wind sectors has declined by 4.7 and 5.9 ppb yr(-1) respectively. The EGH CO record shows the highest levels in the early 2000s, with levels in E and calm winds comparable to those recorded at background stations in Greater London. However, since 2012, levels in S-SW sector have become more comparable with Mace Head background except during rush-hour periods. Marked declines in CO are observed during 2000-2008 for the NE, E, SE (London) and calm wind sectors, with the smallest declines observed for the S, SW and W (background) sectors. For the majority of wind sectors, the decline in CO is less noticeable since 2008, with an apparent stabilisation for NE, E and SE after 2009. The EGH CO data record exhibits a similar but slower exponential decay, but from a much lower starting concentration, than do CO data recorded at selected monitoring sites in urban areas in SE England. CO/CO2 residuals determined using hourly averaged detain the diurnal cycle demonstrate a clear decline in CO from 2000 to 2015 during daily periods of increased vehicle traffic, which is consistent with a sustained reduction in CO emissions from the road transport sector.</t>
  </si>
  <si>
    <t>[Hernandez-Paniagua, Ivan Y.; Lowry, David; Clemitshaw, Kevin C.; Fisher, Rebecca E.; France, James L.; Lanoiselle, M.; Nisbet, Euan G.] Royal Holloway Univ London, Dept Earth Sci, Egham TW20 0EX, Surrey, England; [Hernandez-Paniagua, Ivan Y.] Univ Nacl Autonoma Mexico, Ctr Ciencias Atmosfera, Circuito Invest Cient S-N,Ciudad Univ, Mexico City 04510, DF, Mexico; [Hernandez-Paniagua, Ivan Y.] Consorcio CENTROMET, Catedras CONACYT, Camino Los Olvera 44, Corregidora 76904, Queretaro, Mexico; [Palmer, Paul I.] Univ Edinburgh, Sch Geosci, Alexander Crum Brown Rd, Edinburgh EH9 3FF, Midlothian, Scotland; [France, James L.; Forster, Grant] Univ East Anglia, Sch Environm Sci, Ctr Ocean &amp; Atmospher Sci, Norwich NR4 7TJ, Norfolk, England; [France, James L.] British Antarctic Survey, Cambridge CB3 0ET, England; [Mendoza, Alberto] Tecnol Monterrey, Escuela Ingn &amp; Ciencias, Av Eugenio Garza Sada 2501, Monterrey 64849, Nuevo Leon, Mexico; [O'Doherty, Simon] Univ Bristol, Sch Chem, Bristol BS8 1TS, Avon, England; [Forster, Grant] Univ East Anglia, Sch Environm Sci, Natl Ctr Atmospher Sci, Norwich NR4 7TJ, Norfolk, England</t>
  </si>
  <si>
    <t>University of London; Royal Holloway University London; Universidad Nacional Autonoma de Mexico; University of Edinburgh; University of East Anglia; UK Research &amp; Innovation (UKRI); Natural Environment Research Council (NERC); NERC British Antarctic Survey; Tecnologico de Monterrey; University of Bristol; UK Research &amp; Innovation (UKRI); Natural Environment Research Council (NERC); NERC National Centre for Atmospheric Science; University of East Anglia</t>
  </si>
  <si>
    <t>Nisbet, EG (corresponding author), Royal Holloway Univ London, Dept Earth Sci, Egham TW20 0EX, Surrey, England.</t>
  </si>
  <si>
    <t>e.nisbet@es.rhul.ac.uk</t>
  </si>
  <si>
    <t>Palmer, Paul I/F-7008-2010; Lowry, David/JCE-0619-2023; Lowry, David/GXG-1235-2022; Paniagua, Iván Yassmany Hernández/ABD-7505-2020; Fisher, Rebecca/AAA-5352-2022; Mendoza, Alberto/E-4403-2012; Mendoza, Alberto/JCD-8723-2023; France, James/L-9719-2015</t>
  </si>
  <si>
    <t>Palmer, Paul I/0000-0002-1487-0969; Mendoza, Alberto/0000-0002-4444-8507; Hernandez Paniagua, Ivan Y./0000-0001-6097-223X; France, James/0000-0002-8785-1240; Fisher, Rebecca/0000-0002-9262-5467; LOWRY, DAVID/0000-0002-8535-0346</t>
  </si>
  <si>
    <t>Mexican National Council of Science and Technology (CONACYT) [215094]; Public Education Ministry (SEP); NERC; HEFCE; EU; RHUL; Royal Society Wolfson Research Merit Award; Department of Business Energy and Industrial Strategy (BEIS, UK) [GA0201]; NERC [NE/N015584/1, NE/R017026/1, ncas10003, bas0100032] Funding Source: UKRI</t>
  </si>
  <si>
    <t>Mexican National Council of Science and Technology (CONACYT)(Consejo Nacional de Ciencia y Tecnologia (CONACyT)); Public Education Ministry (SEP); NERC(UK Research &amp; Innovation (UKRI)Natural Environment Research Council (NERC)); HEFCE(UK Research &amp; Innovation (UKRI)Higher Education Funding Council for England (HEFCE)); EU(European Union (EU)); RHUL; Royal Society Wolfson Research Merit Award(Royal Society); Department of Business Energy and Industrial Strategy (BEIS, UK); NERC(UK Research &amp; Innovation (UKRI)Natural Environment Research Council (NERC))</t>
  </si>
  <si>
    <t>Grant-aided support to I.Y. Hernandez-Paniagua from the Mexican National Council of Science and Technology (CONACYT, scholarship number 215094) and Public Education Ministry (SEP) is gratefully acknowledged. The RHUL Greenhouse Gas Laboratory has been supported by NERC, HEFCE, the EU and RHUL since 1994. P.I.P. gratefully acknowledges support from his Royal Society Wolfson Research Merit Award. The operation of the Mace Head atmospheric station was supported the Department of Business Energy and Industrial Strategy (BEIS, UK) (contract GA0201 to the University of Bristol). We would like to acknowledge the Atmospheric Measurement Facility (AMF), which is part of the NERC National Centre for Atmospheric Science (NCAS), for provision of carbon monoxide data from the Weybourne Atmospheric Observatory (WAO) used in this research.</t>
  </si>
  <si>
    <t>10.1016/j.atmosenv.2018.01.027</t>
  </si>
  <si>
    <t>WOS:000428095500025</t>
  </si>
  <si>
    <t>de Souza, MRDP; Herrerias, T; Zaleski, T; Forgati, M; Kandalski, PK; Machado, C; Silva, DT; Piechnik, CA; Moura, MO; Donatti, L</t>
  </si>
  <si>
    <t>Dmengeon Pedreiro de Souza, Maria Rosa; Herrerias, Tatiana; Zaleski, Tania; Forgati, Mariana; Kandalski, Priscila Krebsbach; Machado, Cintia; Silva, Dilza Trevisan; Piechnik, Claudio Adriano; Moura, Mauricio Osvaldo; Donatti, Lucelia</t>
  </si>
  <si>
    <t>Heat stress in the heart and muscle of the Antarctic fishes Notothenia rossii and Notothenia coriiceps: Carbohydrate metabolism and antioxidant defence</t>
  </si>
  <si>
    <t>BIOCHIMIE</t>
  </si>
  <si>
    <t>Antarctic Peninsula; Temperature; Notothenioids; Metabolic enzyme; Oxidative stress</t>
  </si>
  <si>
    <t>KING-GEORGE ISLAND; OXIDATIVE STRESS; THERMAL TOLERANCE; TEMPERATURE-ACCLIMATION; OXYGEN LIMITATION; MITOCHONDRIAL-FUNCTION; TREMATOMUS-BERNACCHII; SUPEROXIDE-DISMUTASE; ENERGY-METABOLISM; CLIMATE-CHANGE</t>
  </si>
  <si>
    <t>Carbohydrate metabolism and the antioxidant defence system of heart and muscle of the Antarctic notothenioids Notothenia rossii and Notothenia coriiceps were evaluated in response to heat stress (8 degrees C) over 144 h. N. rossii heart exhibited decreased glycolysis and aerobic metabolism after up to 12 h of exposure to 8 degrees C, and anaerobiosis was inhibited within 24 h. However, these pathways were stimulated after 72 h at 8 degrees C. The consumption of glucose-6-phosphate, derived from hexokinase (HK), by glucose-6-phosphate dehydrogenase (G6PDH) decreased in N. rossii heart within 6 h at 8 degrees C, with a subsequent increase at 72 h. In N. rossii muscle at 8 degrees C, glycolysis was stimulated within 2 h by an increase in pyruvate kinase (PK), and aerobic metabolism was stimulated at 144 h, together with anaerobiosis. In N. coriiceps heart at 8 degrees C, glucose break down by HK decreased within 2 h and subsequently increased at 12 and 24 h. Increased glucose-6-phosphate consumption by G6PDH occurred within 6 h at 8 degrees C. In N. coriiceps muscle at 8 degrees C, glycolysis was stimulated at 2 and 6 h, with subsequent inhibition within 24 h, as indicated by HK activity. Aerobic metabolism was inhibited at 72 and 144 h at 8 degrees C through the inhibition of citrate synthase (CS). Heat stress caused responses were only occasional and transient in antioxidant defence system of both species in the heart and muscle, leading to increased glutathione (GSH) and decreased levels of lipoperoxidation in the heart of both species. The results obtained in this study in the heart and muscles indicate that under heat stress at 8 degrees C, N. rossii is more responsive than N. coriiceps with respect to carbohydrate metabolism. (c) 2017 Elsevier B.V. and Societe Francaise de Biochimie et Biologie Moleculaire (SFBBM). All rights reserved.</t>
  </si>
  <si>
    <t>[Dmengeon Pedreiro de Souza, Maria Rosa; Zaleski, Tania; Forgati, Mariana; Kandalski, Priscila Krebsbach; Machado, Cintia; Silva, Dilza Trevisan; Piechnik, Claudio Adriano; Donatti, Lucelia] Univ Fed Parana, Dept Cell Biol, Curitiba, Parana, Brazil; [Herrerias, Tatiana] Fac Guairaca, Guarapuava, Brazil; [Moura, Mauricio Osvaldo] Univ Fed Parana, Dept Zool, Curitiba, Parana, Brazil</t>
  </si>
  <si>
    <t>Universidade Federal do Parana; Universidade Federal do Parana</t>
  </si>
  <si>
    <t>Donatti, L (corresponding author), Univ Fed Parana, Dept Cell Biol, Adapt Biol Lab, Av Cel Francisco H Santos S-N, BR-81531970 Curitiba, Parana, Brazil.</t>
  </si>
  <si>
    <t>maria_rosadp@hotmail.com; tatianaherrerias@hotmail.com; taniazaleski@gmail.com; mforgati@gmail.com; pkrebsbio@gmail.com; cin_machado@yahoo.com.br; dilzatrevisan@gmail.com; Piechnik-claudio.sapiens@gmail.com; mauricio.moura@ufpr.br; donatti@ufpr.br</t>
  </si>
  <si>
    <t>HERRERIAS, TATIANA/AAJ-8083-2021; Donatti, Lucelia/E-1930-2013; moura, mauricio o./J-8128-2019; Piechnik, Cláudio/P-2012-2015; Trevisan-Silva, Dilza/L-6707-2016; de Souza, Maria Rosa Dmengeon Pedreiro/AAG-9661-2020</t>
  </si>
  <si>
    <t>Donatti, Lucelia/0000-0002-9023-2483; moura, mauricio o./0000-0001-7948-2986; de Souza, Maria Rosa Dmengeon Pedreiro/0000-0003-3745-5589; Herrerias, Tatiana/0000-0002-6150-6393; Trevisan-Silva, Dilza/0000-0002-6519-346X; ZALESKI, TANIA/0000-0001-7426-7312; machado, cintia/0000-0002-3570-1611; Piechnik, Claudio Adriano/0000-0002-2972-9327; Forgati, Mariana/0000-0003-2772-7931</t>
  </si>
  <si>
    <t>Brazilian Ministry of Environment (MMA); Ministry of Science, Technology and Innovation (MCTI); National Council for the Development of Scientific and Technological Research (CNPq); Brazilian Federal Agency for Support and Evaluation of Graduate Education (CAPES); Secretariat of the Inter-ministerial Commission for the Resources of the Sea (SeCIRM); CAPES; CNPq [CAPES/PNPD 2443/2011, CNPq 52.0125/2008-8, 30.5562/2009-6, 30.5969/2012-9]; INCT-APA [CNPq 574.018/2008-5, FAPERJ E-26/170.023/2008]</t>
  </si>
  <si>
    <t>Brazilian Ministry of Environment (MMA); Ministry of Science, Technology and Innovation (MCTI); National Council for the Development of Scientific and Technological Research (CNPq)(Conselho Nacional de Desenvolvimento Cientifico e Tecnologico (CNPQ)Fundacao de Apoio a Pesquisa do Distrito Federal (FAPDF)); Brazilian Federal Agency for Support and Evaluation of Graduate Education (CAPES)(Coordenacao de Aperfeicoamento de Pessoal de Nivel Superior (CAPES)); Secretariat of the Inter-ministerial Commission for the Resources of the Sea (SeCIRM); CAPES(Coordenacao de Aperfeicoamento de Pessoal de Nivel Superior (CAPES)); CNPq(Conselho Nacional de Desenvolvimento Cientifico e Tecnologico (CNPQ)); INCT-APA</t>
  </si>
  <si>
    <t>We thank the following groups for their support: the Brazilian Ministry of Environment (MMA), the Ministry of Science, Technology and Innovation (MCTI), the National Council for the Development of Scientific and Technological Research (CNPq), the Brazilian Federal Agency for Support and Evaluation of Graduate Education (CAPES) and the Secretariat of the Inter-ministerial Commission for the Resources of the Sea (SeCIRM). The authors would like to thank Dr Edith Susana Elisabeth Fanta (in memoriam) and Dr Yocie Yoneshigue Valentin, coordinator of the National Institute of Antarctic Science and Technology of Environmental Research (INCT-APA), for all the help and incentive given during the execution of the present work. We also thank Laboratory of Extracellular Matrix and Venom Biotechnology - Federal University of Parana (Professors: Silvio Sanches Veiga and Andrea Senff Ribeiro). The study was supported by CAPES, CNPq, through the projects CAPES/PNPD 2443/2011, CNPq 52.0125/2008-8, 30.5562/2009-6, 30.5969/2012-9, and INCT-APA (CNPq 574.018/2008-5, FAPERJ E-26/170.023/2008).</t>
  </si>
  <si>
    <t>ELSEVIER FRANCE-EDITIONS SCIENTIFIQUES MEDICALES ELSEVIER</t>
  </si>
  <si>
    <t>ISSY-LES-MOULINEAUX</t>
  </si>
  <si>
    <t>65 RUE CAMILLE DESMOULINS, CS50083, 92442 ISSY-LES-MOULINEAUX, FRANCE</t>
  </si>
  <si>
    <t>0300-9084</t>
  </si>
  <si>
    <t>1638-6183</t>
  </si>
  <si>
    <t>Biochimie</t>
  </si>
  <si>
    <t>10.1016/j.biochi.2017.11.010</t>
  </si>
  <si>
    <t>FW4KZ</t>
  </si>
  <si>
    <t>WOS:000425283600006</t>
  </si>
  <si>
    <t>Savoca, MS</t>
  </si>
  <si>
    <t>Savoca, Matthew S.</t>
  </si>
  <si>
    <t>Chemoattraction to dimethyl sulfide links the sulfur, iron, and carbon cycles in high-latitude oceans</t>
  </si>
  <si>
    <t>BIOGEOCHEMISTRY</t>
  </si>
  <si>
    <t>Marine biogeochemistry; Community ecology; Polar biology; Iron cycle; Carbon cycle; Dimethyl sulfide; Top predators</t>
  </si>
  <si>
    <t>ANTARCTIC PROCELLARIIFORM SEABIRDS; LIMITS PHYTOPLANKTON GROWTH; SUB-ARCTIC PACIFIC; SOUTHERN-OCEAN; BLUE WHALES; KEYSTONE SIGNIFICANCE; OLFACTORY NAVIGATION; ODOR RECOGNITION; ATLANTIC-OCEAN; NORTH PACIFIC</t>
  </si>
  <si>
    <t>Large marine regions, including the exceptionally productive Southern Ocean, are iron-limited. As a result, there has been substantial interest in iron-fertilizing high nutrient low chlorophyll (HNLC) areas in an effort to sequester atmospheric carbon dioxide. More recently, research has shifted to quantifying the beneficial effects of iron recycling by marine biota. Marine top predators such as whales and seabirds have been examined specifically in this regard as they have high biomass, form dense aggregations, and excrete bioavailable iron in concentrations seven orders of magnitude higher than ambient seawater. Despite it being well established that marine fauna link the iron and carbon cycles, the connection of this process to the sulfur cycle has rarely been considered. The chemoattraction of specific marine fauna to algal-derived dimethyl sulfide (DMS) is key in triggering dense, multi-species foraging aggregations that induce iron recycling, augmenting carbon assimilation. The goal of this paper is twofold; first, to highlight DMS chemoattraction as a behavior that catalyzes carbon sequestration via natural iron fertilization, and second, to identify knowledge gaps that recent biogeochemical advances can address. Fostering this interdisciplinary research will enhance our understanding of global climate regulation, ecosystem services provided by marine top predators, and the biogeochemical cycles of carbon, iron, and sulfur in HNLC waters.</t>
  </si>
  <si>
    <t>[Savoca, Matthew S.] Univ Calif Davis, Grad Grp Ecol, Davis, CA 95616 USA; [Savoca, Matthew S.] NOAA, Div Environm Res, Southwest Fisheries Sci Ctr, 99 Pacific St,Suite 255A, Monterey, CA 93940 USA</t>
  </si>
  <si>
    <t>University of California System; University of California Davis; National Oceanic Atmospheric Admin (NOAA) - USA</t>
  </si>
  <si>
    <t>Savoca, MS (corresponding author), NOAA, Div Environm Res, Southwest Fisheries Sci Ctr, 99 Pacific St,Suite 255A, Monterey, CA 93940 USA.</t>
  </si>
  <si>
    <t>msavoca13@gmail.com</t>
  </si>
  <si>
    <t>Savoca, Matthew/K-3677-2019</t>
  </si>
  <si>
    <t>Savoca, Matthew/0000-0002-7318-4977</t>
  </si>
  <si>
    <t>0168-2563</t>
  </si>
  <si>
    <t>1573-515X</t>
  </si>
  <si>
    <t>Biogeochemistry</t>
  </si>
  <si>
    <t>10.1007/s10533-018-0433-2</t>
  </si>
  <si>
    <t>Environmental Sciences; Geosciences, Multidisciplinary</t>
  </si>
  <si>
    <t>FY7RF</t>
  </si>
  <si>
    <t>WOS:000427059700001</t>
  </si>
  <si>
    <t>Davis, WJ; Taylor, PJ; Davis, WB</t>
  </si>
  <si>
    <t>Davis, W. Jackson; Taylor, Peter J.; Davis, W. Barton</t>
  </si>
  <si>
    <t>The Antarctic Centennial Oscillation: A Natural Paleoclimate Cycle in the Southern Hemisphere That Influences Global Temperature</t>
  </si>
  <si>
    <t>CLIMATE</t>
  </si>
  <si>
    <t>Antarctic Oscillation; Southern Annular Mode; Antarctic Isotope Maxima; Dansgaard-Oeschger oscillations; ice cores; paleoclimate; Holocene; AICC2012; Vostok; anthropogenic global warming</t>
  </si>
  <si>
    <t>SCALE CLIMATE-CHANGE; BIPOLAR SEE-SAW; NORTH-ATLANTIC; ICE-CORE; MIDPLEISTOCENE TRANSITION; CHRONOLOGY AICC2012; HOLOCENE CLIMATE; ANNULAR MODE; GREENLAND; VARIABILITY</t>
  </si>
  <si>
    <t>We report a previously-unexplored natural temperature cycle recorded in ice cores from Antarctica-the Antarctic Centennial Oscillation (ACO)-that has oscillated for at least the last 226 millennia. Here we document the properties of the ACO and provide an initial assessment of its role in global climate. We analyzed open-source databases of stable isotopes of oxygen and hydrogen as proxies for paleo-temperatures. We find that centennial-scale spectral peaks from temperature-proxy records at Vostok over the last 10,000 years occur at the same frequencies (+/- 2.4%) in three other paleoclimate records from drill sites distributed widely across the East Antarctic Plateau (EAP), and &gt;98% of individual ACOs evaluated at Vostok match 1:1 with homologous cycles at the other three EAP drill sites and conversely. Identified ACOs summate with millennial periodicity to form the Antarctic Isotope Maxima (AIMs) known to precede Dansgaard-Oeschger (D-O) oscillations recorded in Greenland ice cores. Homologous ACOs recorded at the four EAP drill sites during the last glacial maximum appeared first at lower elevations nearest the ocean and centuries later on the high EAP, with latencies that exceed dating uncertainty &gt;30-fold. ACO homologs at different drill sites became synchronous, however, during the warmer Holocene. Comparative spectral analysis suggests that the millennial-scale AIM cycle declined in period from 1500 to 800 years over the last 70 millennia. Similarly, over the last 226 millennia ACO repetition period (mean 352 years) declined by half while amplitude (mean 0.67 degrees C) approximately doubled. The period and amplitude of ACOs oscillate in phase with glacial cycles and related surface insolation associated with planetary orbital forces. We conclude that the ACO: encompasses at least the EAP; is the proximate source of D-O oscillations in the Northern Hemisphere; therefore affects global temperature; propagates with increased velocity as temperature increases; doubled in intensity over geologic time; is modulated by global temperature variations associated with planetary orbital cycles; and is the probable paleoclimate precursor of the contemporary Antarctic Oscillation (AAO). Properties of the ACO/AAO are capable of explaining the current global warming signal.</t>
  </si>
  <si>
    <t>[Davis, W. Jackson; Taylor, Peter J.; Davis, W. Barton] Environm Studies Inst, Santa Cruz, CA 95062 USA; [Davis, W. Jackson] Univ Calif Santa Cruz, Div Phys &amp; Biol Sci, Santa Cruz, CA 95064 USA</t>
  </si>
  <si>
    <t>Davis, WJ (corresponding author), Environm Studies Inst, Santa Cruz, CA 95062 USA.;Davis, WJ (corresponding author), Univ Calif Santa Cruz, Div Phys &amp; Biol Sci, Santa Cruz, CA 95064 USA.</t>
  </si>
  <si>
    <t>JacksonDavis@EnvironmentalStudiesInstitute.org; ethos_uk@onetel.com; wbartdavis@yahoo.com</t>
  </si>
  <si>
    <t>Taylor, Peter/0000-0002-1699-2150</t>
  </si>
  <si>
    <t>University of California, Santa Cruz; Environmental Studies Institute in Santa Cruz, CA, USA</t>
  </si>
  <si>
    <t>University of California, Santa Cruz(University of California System); Environmental Studies Institute in Santa Cruz, CA, USA</t>
  </si>
  <si>
    <t>This research was supported generally by the University of California, Santa Cruz, and the Environmental Studies Institute, a non-profit (501)(3)(c) corporation headquartered in Santa Cruz, CA, USA. This research did not receive any specific grants from funding agencies in the public, commercial or private sectors. Tax-deductible contributions to the research of the Environmental Studies Institute may be made through its website, www.EnvironmentalStudiesInstitute.org. We thank R.G. Plantz for helpful comments on earlier drafts.</t>
  </si>
  <si>
    <t>2225-1154</t>
  </si>
  <si>
    <t>Climate</t>
  </si>
  <si>
    <t>10.3390/cli6010003</t>
  </si>
  <si>
    <t>GA7HH</t>
  </si>
  <si>
    <t>WOS:000428506200003</t>
  </si>
  <si>
    <t>Fusco, G; Cotroneo, Y; Aulicino, G</t>
  </si>
  <si>
    <t>Fusco, Giannetta; Cotroneo, Yuri; Aulicino, Giuseppe</t>
  </si>
  <si>
    <t>Different Behaviours of the Ross and Weddell Seas Surface Heat Fluxes in the Period 1972-2015</t>
  </si>
  <si>
    <t>surface heat fluxes; El Nino-Southern Oscillation; Southern Annular Mode; Ross and Weddell Seas</t>
  </si>
  <si>
    <t>ANTARCTIC CIRCUMPOLAR WAVE; SOUTHERN ANNULAR MODE; NOVA BAY POLYNYA; IN-SITU; ICE; CLIMATE; OCEAN; TEMPERATURE; VARIABILITY; CIRCULATION</t>
  </si>
  <si>
    <t>Operational analyses and re-analyses, provided by ECMWF for the period 1972-2015, were used to investigate the behaviour of the surface heat fluxes between ocean and atmosphere, estimated via empirical formulae, over the Ross and Weddell Seas. The presence and thickness of sea ice cover, which strongly affects ocean-atmosphere interactions, was estimated through Special Sensor Microwave Imager and Special Sensor Microwave Imager Sounder brightness temperatures. Because of the lack of ice information before 1992, daily averaged ice and snow thickness obtained from the 1992-2012 dataset has been used as a 'climatological year' for the 1972-2015 period. The heat loss in the Ross Sea reached its maximum in 2008 (-98 W.mu m(-2)) and its minimum (-58 W.mu m(-2)) in 1980, while in the Weddell Sea, it ranged between 65 W.mu m(-2) (1999) and 99 W.mu m(-2) (2015). Results showed that the surface heat fluxes behaviour in the two seas moved from opposite to synchronous during the study period. The wavelet analysis was applied to evaluate if this result might be linked to the signature of global climate variability expressed by El Nino Southern Oscillation (ENSO) and Southern Annular Mode (SAM). The synchronous behaviour of the surface heat fluxes in the Ross and Weddell seas, observed since 2001, coincides with a change in the energy peak associated to the time scale of the SAM variability, which moved from 32 to 64 months during 1990s. This change generates a common energy peak for the SAM and ENSO with a lagged in phase relationship between the signals, possibly influencing the behaviour of the surface heat fluxes.</t>
  </si>
  <si>
    <t>[Fusco, Giannetta; Cotroneo, Yuri; Aulicino, Giuseppe] Univ Napoli Parthenope, Dipartimento Sci &amp; Tecnol DiST, I-80143 Naples, Italy; [Aulicino, Giuseppe] Univ Politecn Marche, Dipartimento Sci Vita &amp; Ambiente DiSVA, I-60131 Ancona, Italy</t>
  </si>
  <si>
    <t>Parthenope University Naples; Marche Polytechnic University</t>
  </si>
  <si>
    <t>Fusco, G (corresponding author), Univ Napoli Parthenope, Dipartimento Sci &amp; Tecnol DiST, I-80143 Naples, Italy.</t>
  </si>
  <si>
    <t>giannetta.fusco@uniparthenope.it; yuri.cotroneo@uniparthenope.it; g.aulicino@staff.univpm.it</t>
  </si>
  <si>
    <t>Fusco, Giannetta/J-5118-2019; Cotroneo, Yuri/M-4010-2019; Aulicino, Giuseppe/I-8981-2019</t>
  </si>
  <si>
    <t>Fusco, Giannetta/0000-0003-1769-2456; Cotroneo, Yuri/0000-0002-0099-0142; Aulicino, Giuseppe/0000-0001-6406-8715</t>
  </si>
  <si>
    <t>Universita degli Studi di Napoli 'Parthenope' under Bando di sostegno alla ricerca individuale per il triennio</t>
  </si>
  <si>
    <t>This study was performed in the framework of 'Plankton Biodiversity and Functioning of the Ross Sea ecosystems in a changing Southern Ocean (P-Rose)' and 'Multiplatform observations and modelling in a sector of the Antarctic Circumpolar Current-MOMA' projects as part of the Italian National Program for Research in Antarctica (PNRA). Giannetta Fusco acknowledges the financial support received by Universita degli Studi di Napoli 'Parthenope' under Bando di sostegno alla ricerca individuale per il triennio 2015-2017. Data used in this study are provided by the European Centre for Medium-range Weather Forecast-ECMWF. The Special Sensor Microwave/Imager version-2 brightness temperature observations are processed and provided by the U.S. National Snow and Ice Data Center (NSIDC), Colorado, USA (www.nsidc.org). Finally, the authors thank the reviewers who provided interesting and fruitful comments and suggestions.</t>
  </si>
  <si>
    <t>10.3390/cli6010017</t>
  </si>
  <si>
    <t>WOS:000428506200017</t>
  </si>
  <si>
    <t>Wigley, TML</t>
  </si>
  <si>
    <t>Wigley, T. M. L.</t>
  </si>
  <si>
    <t>The Paris warming targets: emissions requirements and sea level consequences</t>
  </si>
  <si>
    <t>CLIMATIC CHANGE</t>
  </si>
  <si>
    <t>1.5-DEGREES-C; PROJECTIONS; POTENTIALS; SCIENCE; MODEL</t>
  </si>
  <si>
    <t>The Paris Agreement states that, relative to pre-industrial times, the increase in global average temperature should be kept to well below 2 A degrees C and efforts should be made to limit the temperature increase to 1.5 A degrees C. Emissions scenarios consistent with these targets are derived. For an eventual 2 A degrees C warming target, this could be achieved even if CO2 emissions remained positive. For a 1.5 A degrees C target, CO2 emissions could remain positive, but only if a substantial and long-lasting temperature overshoot is accepted. In both cases, a warming overshoot of 0.2 to 0.4 A degrees C appears unavoidable. If the allowable (or unavoidable) overshoot is small, then negative emissions are almost certainly required for the 1.5 A degrees C target, peaking at negative 1.3 GtC/year. In this scenario, temperature stabilization occurs, but cumulative emissions continue to increase, contrary to a common belief regarding the relationship between temperature and cumulative emissions. Changes to the Paris Agreement to accommodate the overshoot possibility are suggested. For sea level rise, tipping points that might lead to inevitable collapse of Antarctic ice sheets or shelves might be avoided for the 2 A degrees C target (for major ice shelves) or for the 1.5 A degrees C target for the West Antarctic Ice Sheet. Even with the 1.5 A degrees C target, however, sea level will continue to rise at a substantial rate for centuries.</t>
  </si>
  <si>
    <t>[Wigley, T. M. L.] Univ Adelaide, Adelaide, SA 5005, Australia; [Wigley, T. M. L.] Natl Ctr Atmospher Res, POB 3000, Boulder, CO 80307 USA</t>
  </si>
  <si>
    <t>University of Adelaide; National Center Atmospheric Research (NCAR) - USA</t>
  </si>
  <si>
    <t>Wigley, TML (corresponding author), Univ Adelaide, Adelaide, SA 5005, Australia.;Wigley, TML (corresponding author), Natl Ctr Atmospher Res, POB 3000, Boulder, CO 80307 USA.</t>
  </si>
  <si>
    <t>tmlwigley@gmail.com</t>
  </si>
  <si>
    <t>Wigley, Tom M.L./B-4705-2008</t>
  </si>
  <si>
    <t>Australian Research Council [DP130103261]; US National Science Foundation</t>
  </si>
  <si>
    <t>Australian Research Council(Australian Research Council); US National Science Foundation(National Science Foundation (NSF))</t>
  </si>
  <si>
    <t>Supported by the Australian Research Council under Discovery Grant DP130103261. NCAR is supported in part by the US National Science Foundation.</t>
  </si>
  <si>
    <t>0165-0009</t>
  </si>
  <si>
    <t>1573-1480</t>
  </si>
  <si>
    <t>Clim. Change</t>
  </si>
  <si>
    <t>10.1007/s10584-017-2119-5</t>
  </si>
  <si>
    <t>FX3GN</t>
  </si>
  <si>
    <t>WOS:000425959700004</t>
  </si>
  <si>
    <t>Regan, HC; Holland, PR; Meredith, MP; Pike, J</t>
  </si>
  <si>
    <t>Regan, Heather C.; Holland, Paul R.; Meredith, Michael P.; Pike, Jennifer</t>
  </si>
  <si>
    <t>Sources, variability and fate of freshwater in the Bellingshausen Sea, Antarctica</t>
  </si>
  <si>
    <t>Bellingshausen Sea; Antarctica; Freshwater; Tracers; Sea ice trends</t>
  </si>
  <si>
    <t>GLACIAL MELTWATER; BASAL MELT; PENINSULA; WEST; SHELF; CIRCULATION; TRENDS; AMUNDSEN</t>
  </si>
  <si>
    <t>During the second half of the twentieth century, the Antarctic Peninsula was subjected to a rapid increase in air temperatures. This was accompanied by a reduction in sea ice extent, increased precipitation and a dramatic retreat of glaciers associated with an increase in heat flux from deep ocean water masses. Isotopic tracers have been used previously to investigate the relative importance of the different freshwater sources to the adjacent Bellingshausen Sea (BS), but the data coverage is strongly biased toward summer. Here we use a regional model to investigate the ocean's response to the observed changes in its different freshwater inputs (sea ice melt/freeze, precipitation, evaporation, iceberg/glacier melt, and ice shelf melt). The model successfully recreates BS water masses and performs well against available freshwater data. By tracing the sources and pathways of the individual components of the freshwater budget, we find that sea ice dominates seasonal changes in the total freshwater content and flux, but all sources make a comparable contribution to the annual-mean. Interannual variability is dominated by sea ice and precipitation. Decadal trends in the salinity and stratification of the ocean are investigated, and a 20-year surface freshening from 1992 to 2011 is found to be predominantly driven by decreasing autumn sea ice growth. These findings will help to elucidate the role of freshwater in driving circulation and water column structure changes in this climatically-sensitive region.</t>
  </si>
  <si>
    <t>[Regan, Heather C.; Holland, Paul R.; Meredith, Michael P.] British Antarctic Survey, Cambridge, England; [Regan, Heather C.; Pike, Jennifer] Cardiff Univ, Sch Earth &amp; Ocean Sci, Cardiff, S Glam, Wales</t>
  </si>
  <si>
    <t>UK Research &amp; Innovation (UKRI); Natural Environment Research Council (NERC); NERC British Antarctic Survey; Cardiff University</t>
  </si>
  <si>
    <t>Regan, HC (corresponding author), IFREMER, Plouzane, France.</t>
  </si>
  <si>
    <t>heather.regan@ifremer.fr</t>
  </si>
  <si>
    <t>Pike, Jennifer/D-2589-2009; Holland, Paul R/G-2796-2012</t>
  </si>
  <si>
    <t>Pike, Jennifer/0000-0001-9415-6003; Regan, Heather/0000-0002-2823-2175; Meredith, Michael/0000-0002-7342-7756</t>
  </si>
  <si>
    <t>NERC DTG Studentship [NE/L501633/1]; Natural Environment Research Council [bas0100033, 1383453, NE/G004811/1] Funding Source: researchfish; NERC [bas0100033, NE/G004811/1] Funding Source: UKRI</t>
  </si>
  <si>
    <t>NERC DTG Studentship; Natural Environment Research Council(UK Research &amp; Innovation (UKRI)Natural Environment Research Council (NERC)); NERC(UK Research &amp; Innovation (UKRI)Natural Environment Research Council (NERC))</t>
  </si>
  <si>
    <t>This work was funded through a NERC DTG Studentship (Project Reference: NE/L501633/1) to the British Antarctic Survey. This paper is a contribution of the BAS Polar Oceans programme. We thank Melchior van Wessem and colleagues at the Institute for Marine and Atmospheric Research Utrecht for providing data for use in computing the iceberg melt field. The MlTgcm model is an open source model (mitgcm.org) and was forced with data as described in the methods section.</t>
  </si>
  <si>
    <t>10.1016/j.dsr.2018.01.005</t>
  </si>
  <si>
    <t>GB7ZJ</t>
  </si>
  <si>
    <t>WOS:000429293400006</t>
  </si>
  <si>
    <t>Collares, LL; Mata, MM; Kerr, R; Arigony, J; Barbat, MM</t>
  </si>
  <si>
    <t>Collares, Lorena L.; Mata, Mauricio M.; Kerr, Rodrigo; Arigony-Neto, Jorge; Barbat, Mauro M.</t>
  </si>
  <si>
    <t>Iceberg drift and ocean circulation in the northwestern Weddell Sea, Antarctica</t>
  </si>
  <si>
    <t>DEEP-SEA RESEARCH PART II-TOPICAL STUDIES IN OCEANOGRAPHY</t>
  </si>
  <si>
    <t>ASAR images; North Antarctic Peninsula; Southern Ocean</t>
  </si>
  <si>
    <t>WESTERN BRANSFIELD STRAIT; WATER MASSES; BOTTOM WATER; NORTH-ATLANTIC; ICE; SIZE; QUANTIFICATION; IDENTIFICATION; VARIABILITY; TRACKING</t>
  </si>
  <si>
    <t>Icebergs are distinctive features in the Southern Ocean and can influence the physicochemical properties of the ocean environment around them. Their trajectories are influenced by ocean currents, sea ice, bathymetry and wind action. Here, twenty-five icebergs were identified and tracked by applying image classification methods to a series of 142 Advanced Synthetic Aperture Radar (ASAR) images obtained during 2008 and 2009. Tracking these icebergs made it possible to associate the patterns of iceberg drift with the main ocean currents and front systems in this region, including the Antarctic Coastal Current, the Antarctic Slope Front and the Weddell Front. A case study investigated here revealed the recirculation of a Weddell Sea iceberg within the Bransfield Strait in the Northern Antarctic Peninsula as well as its corresponding mass loss starting in the Weddell Sea and extending throughout the monitoring period. The icebergs studied experienced an average disintegration percentage of 21.15% and an average drift speed of 0.22 +/- 0.11 km h(-1). The icebergs that drifted at least 500 km had an average meltwater injection rate of 62.76 +/- 38.27 m(3) s(-1) in the ocean around the Northern Antarctic Peninsula.</t>
  </si>
  <si>
    <t>[Collares, Lorena L.; Mata, Mauricio M.; Kerr, Rodrigo; Barbat, Mauro M.] Univ Fed Rio Grande FURG, Inst Oceanog, Lab Estudos Oceanos &amp; Clima, Ave Italia Km 8, BR-96203900 Rio Grande, RS, Brazil; [Collares, Lorena L.; Mata, Mauricio M.; Kerr, Rodrigo; Arigony-Neto, Jorge; Barbat, Mauro M.] Inst Nacl Ciencia &amp; Tecnol Criosfera INCT CRIOSFE, Grp Estudos Oceano Austral &amp; Gelo Marinho, BR-96203900 Rio Grande, RS, Brazil; [Arigony-Neto, Jorge] Fundacao Univ Fed Rio Grande, Inst Oceanog, Lab Monitoramento Criosfera, Ave Italia Km 8, BR-96203900 Rio Grande, RS, Brazil</t>
  </si>
  <si>
    <t>Universidade Federal do Rio Grande; Universidade Federal do Rio Grande</t>
  </si>
  <si>
    <t>Collares, LL (corresponding author), Fundacao Univ Fed Rio Grande, Inst Oceanog, LEOC, Ave Italia Km 8 S-N,Campus Carreiros, BR-96203900 Rio Grande, RS, Brazil.</t>
  </si>
  <si>
    <t>lorenaoceano@gmail.com</t>
  </si>
  <si>
    <t>Kerr, Rodrigo/I-2494-2012; Barbat, Mauro/AAB-9829-2020; Mata, Mauricio/H-4605-2011</t>
  </si>
  <si>
    <t>Kerr, Rodrigo/0000-0002-2632-3137; Barbat, Mauro/0000-0001-7930-1612; Mata, Mauricio/0000-0002-9028-8284; Arigony-Neto, Jorge/0000-0003-4848-2064</t>
  </si>
  <si>
    <t>Brazilian Ministry of the Environment; Brazilian Ministry of Science, Technology, Innovation and Communication (MCTIC); Council for Research and Scientific Development of Brazil (CNPq) through grant from the Brazilian National Institute of Science and Technology of Cryosphere (CNPq) [573720/2008-8, 465680/2014-3]; NAUTILUS (CNPq) [405869/2013-4]; CNPq [306896/2015-0, 302604/2015-4, 312250/2016-9]</t>
  </si>
  <si>
    <t>Brazilian Ministry of the Environment; Brazilian Ministry of Science, Technology, Innovation and Communication (MCTIC); Council for Research and Scientific Development of Brazil (CNPq) through grant from the Brazilian National Institute of Science and Technology of Cryosphere (CNPq)(Conselho Nacional de Desenvolvimento Cientifico e Tecnologico (CNPQ)); NAUTILUS (CNPq)(Conselho Nacional de Desenvolvimento Cientifico e Tecnologico (CNPQ)); CNPq(Conselho Nacional de Desenvolvimento Cientifico e Tecnologico (CNPQ))</t>
  </si>
  <si>
    <t>This study contributes to the activities of the Brazilian High Latitudes Oceanography Group (GOAL; www.goal.furg.br), which is part of the Brazilian Antarctic Program (PROANTAR). GOAL has been funded by and/or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 573720/2008-8; 465680/2014-3) and NAUTILUS (CNPq grant no. 405869/2013-4). The ASAR images used here were provided by ESA through the following project: EO-derived products in support of climate change impact studies on the Antarctic Peninsula and Svalbard - interaction of glaciers, climate, terrestrial and marine ecosystems as well as the atmosphere (ESA IPY AO proposal Nr 4032). M. M. Mata, R. Kerr and J. Arigony-Neto acknowledge CNPq research grants no. 306896/2015-0, 302604/2015-4 and 312250/2016-9, respectively. We are grateful for the constructive comments provided by two anonymous reviewers, who helped improve the manuscript considerably.</t>
  </si>
  <si>
    <t>0967-0645</t>
  </si>
  <si>
    <t>1879-0100</t>
  </si>
  <si>
    <t>DEEP-SEA RES PT II</t>
  </si>
  <si>
    <t>Deep-Sea Res. Part II-Top. Stud. Oceanogr.</t>
  </si>
  <si>
    <t>10.1016/j.dsr2.2018.02.014</t>
  </si>
  <si>
    <t>GL3LR</t>
  </si>
  <si>
    <t>WOS:000437037100003</t>
  </si>
  <si>
    <t>Verona, L; Noro, M; Barbosa, E; Wainer, I</t>
  </si>
  <si>
    <t>Verona, L.; Noro, M.; Barbosa, E.; Wainer, I.</t>
  </si>
  <si>
    <t>Western Antarctic ocean surface variability during the 20th century in the NCAR-CCSM4</t>
  </si>
  <si>
    <t>Sea-air interactions; SAM index; Northern Antarctic Peninsula; CCSM4</t>
  </si>
  <si>
    <t>SOUTHERN ANNULAR MODE; SEA-ICE; CLIMATE-CHANGE; CIRCULATION CHANGES; EDDY FIELD; TRENDS; CCSM4; TEMPERATURE; REANALYSIS; ATMOSPHERE</t>
  </si>
  <si>
    <t>Variability in the Southern Ocean is strongly connected with climate modes, in particular with the Southern Annular Mode (SAM). SAM variability shows strong seasonal asymmetries in the Antarctic Peninsula which could impact ocean-atmosphere dynamics. Thus, the goal of this study is to understand the atmosphere-ocean response to seasonality in the Southern Ocean during the 20th century with a specific focus on the western Antarctic Peninsula. We analyze the seasonal and long-term aspects of the ocean-atmosphere properties in the NCAR-CCSM4 model. Given the high correlation between the CCSM4-SAM index and the significant (at the 95% level) regional long-term trend, both the zonal wind stress (similar to 0.75 and 0.04 N M-2 century(-1)) and barotropic transport (similar to 0.78 and 12 Sv century(-1)) in the western domain (155-130W), are associated with the SAM. This is in contrast to the barotropic transport in the north-central domain (130-80W and 55-60S), which shows great seasonality: The changes from the austral winter (JJA) to summer (DJF) are approximately 10 Sv, while its long-term trend is small (7 Sv century(-1)). On the other hand, the decrease in the surface salinity in the end of the century (similar to 0.06), mainly near Antarctic Peninsula, and the long-term trend of 0.2 century(-1) are not seasonal and were not attributed directly to SAM variability. Thus, an increase in precipitation of 8 mm month(-1), mostly during the austral summer (DJF) in the late 20th century over the northern Antarctic Peninsula, together with the positive long-term trend of 8 mm month(-1) century(-1) over the Amundsen-Bellingshausen Seas, contributed, among other factors, to surface desalinization in the late 20th century. SST warmed throughout the 20th century, independent of the season displaying changes that were not directly related with the SAM. Our study shows how different sea-air properties interact with each other and, also, when the SAM plays an important role in controlling long-term variability.</t>
  </si>
  <si>
    <t>[Verona, L.; Noro, M.; Wainer, I.] IO USP, Praca Oceanog 191, BR-05508120 Sao Paulo, SP, Brazil; [Barbosa, E.] Univ Sao Paulo IAG USP, Inst Astron Geosfis &amp; Ciencias Atmosfer, Rua Matao 1226, BR-05508090 Sao Paulo, SP, Brazil</t>
  </si>
  <si>
    <t>Verona, L (corresponding author), Inst Oceanog IO USP, Lab Oceanog Fis Clima &amp; Criosfera OC2, Praca Oceanog 191, BR-05508120 Sao Paulo, SP, Brazil.</t>
  </si>
  <si>
    <t>verona.laura@usp.br</t>
  </si>
  <si>
    <t>; WAINER, ILANA/B-4540-2011</t>
  </si>
  <si>
    <t>Sobral Verona, Laura/0000-0002-7565-2009; WAINER, ILANA/0000-0003-3784-623X</t>
  </si>
  <si>
    <t>National Science Foundation; [FAPESP 2015/17659-0]; [CNPq-301726/2013-2]; [CNPq-405869/2013-4]; [CNPq-MCT-INCT-594 Criosfera 573720/2008-8]</t>
  </si>
  <si>
    <t>National Science Foundation(National Science Foundation (NSF)); ; ; ;</t>
  </si>
  <si>
    <t>This study was supported by grant FAPESP 2015/17659-0 and grants CNPq-301726/2013-2; CNPq-405869/2013-4 [Nautilus] and CNPq-MCT-INCT-594 Criosfera 573720/2008-8. Authors thank the National Center for Atmospheric Research (NCAR) for making the CESM data available. NCAR is funded by the National Science Foundation.</t>
  </si>
  <si>
    <t>10.1016/j.dsr2.2017.12.007</t>
  </si>
  <si>
    <t>WOS:000437037100006</t>
  </si>
  <si>
    <t>Kerr, R; Dotto, TS; Mata, MM; Hellmer, HH</t>
  </si>
  <si>
    <t>Kerr, Rodrigo; Dotto, Tiago S.; Mata, Mauricio M.; Hellmer, Hartmut H.</t>
  </si>
  <si>
    <t>Three decades of deep water mass investigation in the Weddell Sea (1984-2014): Temporal variability and changes</t>
  </si>
  <si>
    <t>Deep ocean; Antarctic Bottom Water; Dense Shelf Water; Southern Ocean</t>
  </si>
  <si>
    <t>ANTARCTIC BOTTOM WATER; OPTIMUM MULTIPARAMETER ANALYSIS; SOUTHERN-OCEAN; OVERTURNING CIRCULATION; GLOBAL HEAT; DENSE WATER; SCOTIA SEA; LEVEL RISE; GYRE; ABYSSAL</t>
  </si>
  <si>
    <t>The role of Antarctic Bottom Water (AABW) in changing the ocean circulation and controlling climate variability is widely known. However, a comprehensive understanding of the relative contribution and variability of Antarctic regional deep water mass varieties that form AABW is still lacking. Using a high-quality dataset comprising three decades of observational shipboard surveys in the Weddell Sea (1984-2014), we updated the structure, composition and hydrographic properties variability of the Weddell Sea deep-layer, and quantified the contribution of the source waters composing Weddell Sea Bottom Water (WSBW) in its main formation zone. Shifts in WSBW hydrographic properties towards less dense varieties likely equate to less WSBW being produced over time. WSBW is primarily composed of 71 +/- 4% of modified-Warm Deep Water (mWDW) and 29 +/- 4% of Dense Shelf Waters, with the latter composed by similar to two-thirds (19 +/- 2%) of High Salinity Shelf Water and similar to one-third (10 +/- 6%) of Ice Shelf Water. Further, we show evidence that WSBW variability in the eastern Weddell Sea is driven by changes in the inflow of Dense Shelf Waters and bottom water from the Indian Sector of the Southern Ocean. This was observed through the rise of the WSBW contribution to the total mixture after 2005, following a twenty-year period (1984-2004) of decreasing contribution.</t>
  </si>
  <si>
    <t>[Kerr, Rodrigo; Dotto, Tiago S.; Mata, Mauricio M.] Fundacao Univ Fed Rio Grande, Inst Oceanog, Lab Estudos Oceanos &amp; Clima, BR-96203900 Rio Grande, RS, Brazil; [Kerr, Rodrigo; Dotto, Tiago S.; Mata, Mauricio M.] Inst Nacl Ciencia &amp; Tecnol Criosfera INCT CRIOSFE, Grp Estudos Oceano Austral &amp; Gelo Marinho, BR-96203900 Rio Grande, RS, Brazil; [Hellmer, Hartmut H.] Helmholtz Gemeinschaft, Stiftung Alfred Wegener Inst Polar &amp; Meeresforsch, Bussestr 24, D-27570 Bremerhaven, Germany; [Dotto, Tiago S.] Univ Southampton, Natl Oceanog Ctr, Ocean &amp; Earth Sci, Southampton, Hants, England</t>
  </si>
  <si>
    <t>Universidade Federal do Rio Grande; Helmholtz Association; Alfred Wegener Institute, Helmholtz Centre for Polar &amp; Marine Research; University of Southampton; NERC National Oceanography Centre</t>
  </si>
  <si>
    <t>Kerr, R; Dotto, TS (corresponding author), Fundacao Univ Fed Rio Grande, Inst Oceanog, Ave Italia Km 8 S-No,Campus Carreiros, BR-96203900 Rio Grande, RS, Brazil.</t>
  </si>
  <si>
    <t>rodrigokerr@furg.br; tiagosdotto@gmail.com</t>
  </si>
  <si>
    <t>Kerr, Rodrigo/I-2494-2012; Mata, Mauricio/H-4605-2011</t>
  </si>
  <si>
    <t>Kerr, Rodrigo/0000-0002-2632-3137; Segabinazzi Dotto, Tiago/0000-0003-0565-6941; Mata, Mauricio/0000-0002-9028-8284</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</si>
  <si>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 [573720/2008-8, 465680/2014-3]; NAUTILUS (CNPq) [405869/2013-4]; CAPES/CMAR2 (CAPES) [23038.001421/2014-30]; CNPq [302604/2015-4, 306896/2015-0, 232792/2014-3]</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</si>
  <si>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(INCT-CRIOSFERA)(Conselho Nacional de Desenvolvimento Cientifico e Tecnologico (CNPQ)); NAUTILUS (CNPq)(Conselho Nacional de Desenvolvimento Cientifico e Tecnologico (CNPQ)); CAPES/CMAR2 (CAPES)(Coordenacao de Aperfeicoamento de Pessoal de Nivel Superior (CAPES)); CNPq(Conselho Nacional de Desenvolvimento Cientifico e Tecnologico (CNPQ))</t>
  </si>
  <si>
    <t>This work is dedicated to the memory of Eberhard Fahrbach, without his vision and efforts, this most valuable data set of the Weddell Sea covering more than three decades would not exist. This study provides a contribution to the activities of the Brazilian High Latitudes Oceanography Group (GOAL), which is part of the Brazilian Antarctic Program (PROANTAR). GOAL has been funded by and/or has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nos. 573720/2008-8 and 465680/2014-3), NAUTILUS (CNPq Grant no. 405869/2013-4), and CAPES/CMAR2 (CAPES Grant no. 23038.001421/2014-30) projects. R. Kerr and M. M. Mata acknowledge CNPq researcher Grant nos. 302604/2015-4 and 306896/2015-0, respectively. T. S. Dotto was funded by a CNPq Ph.D. Grant no. 232792/2014-3. We are grateful for the constructive comments provided by two anonymous reviewers which substantially improved the manuscript.</t>
  </si>
  <si>
    <t>10.1016/j.dsr2.2017.12.002</t>
  </si>
  <si>
    <t>WOS:000437037100008</t>
  </si>
  <si>
    <t>Mendes, CRB; Tavano, VM; Kerr, R; Dotto, TS; Maximiano, T; Secchi, ER</t>
  </si>
  <si>
    <t>Borges Mendes, Carlos Rafael; Tavano, Virginia Maria; Kerr, Rodrigo; Dotto, Tiago Segabinazzi; Maximiano, Tiago; Secchi, Eduardo Resende</t>
  </si>
  <si>
    <t>Impact of sea ice on the structure of phytoplankton communities in the northern Antarctic Peninsula</t>
  </si>
  <si>
    <t>Southern Ocean; Meltwater; HPLC phytoplankton pigments; CHEMTAX; Cryptophytes; Peridinin-lacking autotrophic dinoflagellates</t>
  </si>
  <si>
    <t>CIRCUMPOLAR DEEP-WATER; NORTHWESTERN WEDDELL SEA; SOUTHERN-OCEAN; CONTINENTAL-SHELF; ATLANTIC-OCEAN; INTERANNUAL VARIABILITY; PHAEOCYSTIS-ANTARCTICA; CHEMOTAXONOMIC GROUPS; BELLINGSHAUSEN SEA; PELAGIC ECOSYSTEMS</t>
  </si>
  <si>
    <t>The seasonal advance and retreat of sea ice around the northern Antarctic Peninsula can have a significant impact on phytoplankton, mainly due to alterations in the availability of ice-free areas, micronutrient inputs by meltwater and variations in water column structure. The aim of this work was to evaluate the effect of sea ice conditions on phytoplankton biomass and community composition in an area off the northern Antarctic Peninsula, a region undergoing important warming processes. In two consecutive summer cruises (2013 and 2014), seawater samples were analysed for nutrients and phytoplankton (through HPLC-CHEMTAX approach), and measurements were made for water column physical structure evaluation. Two contrasting conditions were studied: a strong environmental gradient around the sea ice edge, with a marked meltwater signal (summer 2013) and the same area with little indication of meltwater and no detectable sea ice conditions (summer 2014). In the first year, the phytoplankton communities were massively dominated by nanoflagellates such as cryptophytes, small dinoflagellates and Phaeocystis antarctica, but with differences between stations with less influence of melt-water (dominance of dinoflagellates type B, mainly Gymnodinium spp., mean chlorophyll a = 1.37 mg m(-3)) and stations closer to the sea ice edge (dominance of cryptophytes, mean chlorophyll a = 0.98 mg m(-3)). In the second year, cryptophytes were apparently replaced by diatoms type B (mainly Pseudonitzschia spp., 24% contribution, mean chlorophyll a = 0.93 mg m(-3)), although dinoflagellates were also important. Therefore, there was a clear distinction between the phytoplankton communities under sea ice influence, where mainly cryptophytes were associated with shallow mixed layers and high water column stability in 2013 and an important presence of diatoms in 2014, associated with deeper mixed layers, lower silicic acid concentrations and higher magnitudes of both salinity and temperature, under very little sea ice influence. Gymnodinioid dinoflagellates were an important component in both years, apparently occupying sites/conditions less favourable to cryptophytes. These results support previous suggestions that climate factors leading to shortening of the sea ice season in the region do have an important impact particularly in shaping the dominance of the main phytoplankton functional groups in the region.</t>
  </si>
  <si>
    <t>[Borges Mendes, Carlos Rafael; Tavano, Virginia Maria; Maximiano, Tiago] Univ Fed Rio Grande FURG, Inst Oceanog, Lab Fitoplancton &amp; Microorganismos Marinhos, Av Italia,Km 8, BR-96203900 Rio Grande, RS, Brazil; [Borges Mendes, Carlos Rafael; Tavano, Virginia Maria; Kerr, Rodrigo; Dotto, Tiago Segabinazzi] Univ Fed Rio Grande FURG, Inst Oceanog, Lab Estudos Oceanos &amp; Clima, Av Italia,Km 8, BR-96203900 Rio Grande, RS, Brazil; [Secchi, Eduardo Resende] Univ Fed Rio Grande FURG, Inst Oceanog, Lab Ecol &amp; Conservacao Megafauna Marinha, Av Italia,Km 8, BR-96203900 Rio Grande, RS, Brazil; [Dotto, Tiago Segabinazzi] Univ Southampton, Ocean &amp; Earth Sci, Natl Oceanog Ctr, Southampton, Hants, England</t>
  </si>
  <si>
    <t>Universidade Federal do Rio Grande; Universidade Federal do Rio Grande; Universidade Federal do Rio Grande; University of Southampton; NERC National Oceanography Centre</t>
  </si>
  <si>
    <t>Mendes, CRB (corresponding author), Univ Fed Rio Grande FURG, Inst Oceanog, Lab Fitoplancton &amp; Microorganismos Marinhos, Av Italia,Km 8, BR-96203900 Rio Grande, RS, Brazil.</t>
  </si>
  <si>
    <t>crbmendes@gmail.com</t>
  </si>
  <si>
    <t>Secchi, Eduardo R./ABF-1191-2020; Kerr, Rodrigo/I-2494-2012; Mendes, Carlos/GVU-7596-2022; Mendes, Carlos/AAD-6504-2021; Mendes, Carlos/I-1520-2012; Tavano, Virginia/C-5241-2013</t>
  </si>
  <si>
    <t>Secchi, Eduardo R./0000-0001-9087-9909; Kerr, Rodrigo/0000-0002-2632-3137; Mendes, Carlos/0000-0001-6875-8860; Mendes, Carlos/0000-0001-6875-8860; Tavano, Virginia/0000-0003-0039-8111; Segabinazzi Dotto, Tiago/0000-0003-0565-6941</t>
  </si>
  <si>
    <t>CNPq (National Council for Research and Development); CAPES (Coordination for the Improvement of Higher Education Personnel); CNPq [556848/2009-8, 565040/2010-3, 407889/2013-2, 405869/2013-4]; CAPES [23038.001421/2014-30]; CAPES Foundation; CNPq PhD scholarship [232792/2014-3]; CNPq</t>
  </si>
  <si>
    <t>CNPq (National Council for Research and Development)(Conselho Nacional de Desenvolvimento Cientifico e Tecnologico (CNPQ)); CAPES (Coordination for the Improvement of Higher Education Personnel)(Coordenacao de Aperfeicoamento de Pessoal de Nivel Superior (CAPES)); CNPq(Conselho Nacional de Desenvolvimento Cientifico e Tecnologico (CNPQ)); CAPES(Coordenacao de Aperfeicoamento de Pessoal de Nivel Superior (CAPES)); CAPES Foundation(Coordenacao de Aperfeicoamento de Pessoal de Nivel Superior (CAPES)); CNPq PhD scholarship; CNPq(Conselho Nacional de Desenvolvimento Cientifico e Tecnologico (CNPQ))</t>
  </si>
  <si>
    <t>This is a multidisciplinary program as part of the GOAL (Brazilian High Latitudes Oceanography Group) activities in the Brazilian Antarctic Program (PROANTAR). Financial support was provided by CNPq (National Council for Research and Development) and CAPES (Coordination for the Improvement of Higher Education Personnel). This study was conducted within the activities of the POLARCANION, PRO-OASIS, INTERBIOTA, NAUTILUS (CNPq grant numbers 556848/2009-8, 565040/2010-3, 407889/2013-2, 405869/2013-4) and CMAR2 (CAPES grant number 23038.001421/2014-30) projects. The authors thank to the crew of the RV Almirante Maximiano of the Brazilian Navy and several investigators participating in the cruises for their valuable help during samples' collection. We are grateful to Simon Wright, from the Australian Antarctic Division, for providing the CHEMTAX v.1.95 software and to Ricardo Pollery for performing all nutrient analysis. The assistance of Marcio Silva de Souza with microscopic analysis is also gratefully acknowledged. C.R.B. Mendes acknowledge financial support from the CAPES Foundation. T.S. Dotto acknowledges support by the CNPq PhD scholarship (grant number 232792/2014-3). V.M. Tavano, R. Kerr, and E.R. Secchi are granted with research fellowships from CNPq. We are thankful for the constructive criticism of two anonymous reviewers, which helped to improve the manuscript.</t>
  </si>
  <si>
    <t>10.1016/j.dsr2.2017.12.003</t>
  </si>
  <si>
    <t>WOS:000437037100011</t>
  </si>
  <si>
    <t>Mendes, CRB; Tavano, VM; Dotto, TS; Kerr, R; de Souza, MS; Garcia, CAE; Secchi, ER</t>
  </si>
  <si>
    <t>Borges Mendes, Carlos Rafael; Tavano, Virginia Maria; Dotto, Tiago Segabinazzi; Kerr, Rodrigo; de Souza, Marcio Silva; Eiras Garcia, Carlos Alberto; Secchi, Eduardo Resende</t>
  </si>
  <si>
    <t>New insights on the dominance of cryptophytes in Antarctic coastal waters: A case study in Gerlache Strait</t>
  </si>
  <si>
    <t>Southern Ocean; Northern Antarctic Peninsula; Regional warming; Phytoplankton functional groups; Cryptophytes; Photophysiology</t>
  </si>
  <si>
    <t>CIRCUMPOLAR DEEP-WATER; SOUTHERN-OCEAN; CLIMATE-CHANGE; PHYTOPLANKTON COMMUNITIES; PHAEOCYSTIS-ANTARCTICA; BRANSFIELD STRAIT; PENINSULA; PRODUCTIVITY; BIOMASS; SURFACE</t>
  </si>
  <si>
    <t>Changes in phytoplankton composition from large diatoms to small cryptophytes and their implications to the food web have been previously associated with rapid warming of surface waters in the western Antarctic Peninsula (WAP). However, ecological and physiological attributes that favor dominance of these flagellates in the region have not been fully explored. The overall aim of this work was to characterize the phytoplankton pigments and assemblages in relation to environmental conditions during three successive summer cruises (2013, 2014 and 2015) in the Gerlache Strait - a coastal area in the northern WAP. Data on phytoplankton (through HPLC/CHEMTAX pigment analysis) and associated physical (water column structure) and chemical (macronutrients) parameters were determined. Cryptophytes were conspicuously found in shallow mixed layers, under stratified conditions, as the main contributors to total phytoplankton biomass. Their greatest contributions were associated with warmer surface waters at the northwestern sector of the strait. Other phytoplankton groups (Phaeocystis antarctica in 2013 and small diatoms in both 2014 and 2015) were also important components. Photoprotective carotenoids (mainly alloxanthin), with an important role in preventing photo damage caused by excess light, were closely linked with the dominance of cryptophytes at surface layers. The results of this study suggest that the prevalence of cryptophytes in WAP coastal waters can be, to a great extent, due to a particular ability of those small flagellates to successfully grow in highly illuminated conditions in shallow upper mixed layers and strong water column stratification.</t>
  </si>
  <si>
    <t>[Borges Mendes, Carlos Rafael; Tavano, Virginia Maria; de Souza, Marcio Silva] Univ Fed Rio Grande FURG, Inst Oceanog, Lab Fitoplancton &amp; Microorganismos Marinhos, Av Italia,Km 8, BR-96203900 Rio Grande, RS, Brazil; [Borges Mendes, Carlos Rafael; Tavano, Virginia Maria; Dotto, Tiago Segabinazzi; Kerr, Rodrigo; de Souza, Marcio Silva; Eiras Garcia, Carlos Alberto] Univ Fed Rio Grande FURG, Inst Oceanog, Lab Estudos Oceanos &amp; Clima, Av Italia,Km 8, BR-96203900 Rio Grande, RS, Brazil; [Secchi, Eduardo Resende] Univ Fed Rio Grande FURG, Inst Oceanog, Lab Ecol &amp; Conservacao Megafauna Marinha, Av Italia,Km 8, BR-96203900 Rio Grande, RS, Brazil; [Dotto, Tiago Segabinazzi] Univ Southampton, Natl Oceanog Ctr Southampton, Ocean &amp; Earth Sci, Southampton, Hants, England</t>
  </si>
  <si>
    <t>de Souza, Márcio Silva/AAR-5757-2021; Kerr, Rodrigo/I-2494-2012; Garcia, Carlos A. E./K-7382-2012; Mendes, Carlos/I-1520-2012; Mendes, Carlos/AAD-6504-2021; Mendes, Carlos/GVU-7596-2022; Secchi, Eduardo R./ABF-1191-2020; Tavano, Virginia/C-5241-2013</t>
  </si>
  <si>
    <t>de Souza, Márcio Silva/0000-0003-1572-9307; Kerr, Rodrigo/0000-0002-2632-3137; Mendes, Carlos/0000-0001-6875-8860; Mendes, Carlos/0000-0001-6875-8860; Secchi, Eduardo R./0000-0001-9087-9909; Segabinazzi Dotto, Tiago/0000-0003-0565-6941; Tavano, Virginia/0000-0003-0039-8111</t>
  </si>
  <si>
    <t>CNPq (National Council for Research and Development); CAPES (Coordination for the Improvement of Higher Education Personnel); CAPES [23038.001421/2014-30]; CAPES Foundation; CNPq [232792/2014-3, 565040/2010-3, 556848/2009-8, 407889/2013-2, 405869/2013-4]; CNPq</t>
  </si>
  <si>
    <t>CNPq (National Council for Research and Development)(Conselho Nacional de Desenvolvimento Cientifico e Tecnologico (CNPQ)); CAPES (Coordination for the Improvement of Higher Education Personnel)(Coordenacao de Aperfeicoamento de Pessoal de Nivel Superior (CAPES)); CAPES(Coordenacao de Aperfeicoamento de Pessoal de Nivel Superior (CAPES)); CAPES Foundation(Coordenacao de Aperfeicoamento de Pessoal de Nivel Superior (CAPES)); CNPq(Conselho Nacional de Desenvolvimento Cientifico e Tecnologico (CNPQ)); CNPq(Conselho Nacional de Desenvolvimento Cientifico e Tecnologico (CNPQ))</t>
  </si>
  <si>
    <t>This is a multidisciplinary program as part of the GOAL (Brazilian High Latitudes Oceanography Group) activities in the Brazilian Antarctic Program (PROANTAR). Financial support was provided by CNPq (National Council for Research and Development) and CAPES (Coordination for the Improvement of Higher Education Personnel). This study was conducted within the activities of the POLARCANION (CNPq Grant no. 556848/2009-8), PRO-OASIS (CNPq Grant no. 565040/2010-3), INTERBIOTA (CNPq Grant number 407889/2013-2), NAUTILUS (CNPq Grant no. 405869/2013-4) and CMAR2 (CAPES Grant no. 23038.001421/2014-30) projects. The authors thank the crew of the Polar Vessel Almirante Maximiano of the Brazilian Navy and several investigators participating in the cruises for their valuable help during samples' collection. We are grateful to Simon Wright, from the Australian Antarctic Division, for providing CHEMTAX v.1.95 and to Ricardo Pollery for performing all nutrient analysis. C.R.B. Mendes and M.S. de Souza acknowledge financial support from the CAPES Foundation. T.S. Dotto acknowledges support by the CNPq (Grant 232792/2014-3). V.M. Tavano, R. Kerr, C.A.E. Garcia and E.R. Secchi are granted with research fellowships from CNPq.</t>
  </si>
  <si>
    <t>10.1016/j.dsr2.2017.02.010</t>
  </si>
  <si>
    <t>WOS:000437037100015</t>
  </si>
  <si>
    <t>Kerr, R; Orselli, IBM; Lencina-Avila, JM; Eidt, RT; Mendes, CRB; da Cunha, LC; Goyet, C; Mata, MM; Tavano, VM</t>
  </si>
  <si>
    <t>Kerr, Rodrigo; Orselli, Iole B. M.; Lencina-Avila, Jannine M.; Eidt, Renata T.; Mendes, Carlos Rafael B.; da Cunha, Leticia C.; Goyet, Catherine; Mata, Mauricio M.; Tavano, Virginia Maria</t>
  </si>
  <si>
    <t>Carbonate system properties in the Gerlache Strait, Northern Antarctic Peninsula (February 2015): I. Sea-Air CO2 fluxes</t>
  </si>
  <si>
    <t>Carbon dioxide; Sea-air interactions; CO2 fluxes; Northern Antarctic Peninsula</t>
  </si>
  <si>
    <t>SOUTHERN-OCEAN CO2; GAS-EXCHANGE; BRANSFIELD STRAITS; CLIMATE-CHANGE; WIND-SPEED; PHYTOPLANKTON COMMUNITIES; DISSOCIATION-CONSTANTS; WATER MASSES; WEST; SURFACE</t>
  </si>
  <si>
    <t>Hydrographic and carbonate system properties were determined in the Gerlache Strait-a coastal site in the Northern Antarctic Peninsula (NAP)-during early February 2015. It was part of an effort to monitor changes in marine inorganic carbon chemistry in Antarctic coastal zones. Here we describe surface observations performed during the NAUTILUS I cruise and compare results with earlier studies in the region. The focus of this first part of this study is to describe the spatial patterns of sea-air carbon dioxide (CO2) fluxes and relating the results with physical-chemical and biological parameters. In order to determine the CO2 fluxes, we use several available parameterizations for estimation of the gas transfer velocity coefficient, thus providing a range of the results' uncertainties. Contrasting with results found twenty years ago, the Gerlache Strait was estimated here to be a monthly net source for CO2 of 0.50 +/- 0.45 mol m(-2) month(-1) during February 2015, based on shipboard wind measurements and Wanninkhof's (2014) gas transfer velocity relationship. That was probably driven by to warm water intrusions in combination with a phytoplankton community mainly dominated by small flagellates (particularly cryptophytes). Yet, in order to determine whether the region acts as an annual sink or source of CO2, there is a need for additional studies focusing on short time-scales throughout a year.</t>
  </si>
  <si>
    <t>[Kerr, Rodrigo; Orselli, Iole B. M.; Eidt, Renata T.; Mendes, Carlos Rafael B.; Mata, Mauricio M.; Tavano, Virginia Maria] Univ Fed Rio Grande FURG, Inst Oceanog, Lab Estudos Oceanos &amp; Clima, Av Italia,Km 8, BR-96203900 Rio Grande, RS, Brazil; [Kerr, Rodrigo; Orselli, Iole B. M.; Mata, Mauricio M.] Inst Nacl Ciencia &amp; Tecnol Criosfera INCT CRIOSFE, BR-96203900 Rio Grande, RS, Brazil; [Kerr, Rodrigo; Orselli, Iole B. M.; Lencina-Avila, Jannine M.; Eidt, Renata T.; da Cunha, Leticia C.; Tavano, Virginia Maria] Brazilian Ocean Acidificat Network BrOA, BR-96203900 Rio Grande, RS, Brazil; [Lencina-Avila, Jannine M.; Goyet, Catherine] Univ Perpignan, IMAGES ESPACE DEV, Via Domitia,52 Ave Paul Alduy, F-66860 Perpignan, France; [Lencina-Avila, Jannine M.; Goyet, Catherine] Maison Teledetect, ESPACE DEV UMR UG UA UM IRD, 500 Rue Jean Francois Breton, F-34093 Montpellier 5, France; [Mendes, Carlos Rafael B.; Tavano, Virginia Maria] Univ Fed Rio Grande FURG, Inst Oceanog, Lab Fitoplancton &amp; Microorganismos Marinhos, Av Italia Km 8, BR-96203900 Rio Grande, RS, Brazil; [da Cunha, Leticia C.] Univ Estado Rio De Janeiro UERJ, Fac Oceanog, Campus Maracana, BR-20550900 Rio De Janeiro, RJ, Brazil</t>
  </si>
  <si>
    <t>Universidade Federal do Rio Grande; Universite Perpignan Via Domitia; Universidade Federal do Rio Grande; Universidade do Estado do Rio de Janeiro</t>
  </si>
  <si>
    <t>Kerr, R (corresponding author), Fundacao Univ Fed Rio Grande, Inst Oceanog, LEOC, Ave Italia Km 8,S-N Campus Carreiros, BR-96203900 Rio Grande, RS, Brazil.</t>
  </si>
  <si>
    <t>rodrigokerr@furg.br</t>
  </si>
  <si>
    <t>Avila, Jannine M. Lencina/E-3069-2019; Mendes, Carlos/I-1520-2012; Mendes, Carlos/AAD-6504-2021; da Cunha, Leticia Cotrim/J-5153-2012; Mendes, Carlos/GVU-7596-2022; Kerr, Rodrigo/I-2494-2012; Cotrim da Cunha, Leticia/F-5732-2010; Orselli, Iole/AAP-1267-2021; Tavano, Virginia/C-5241-2013; Mata, Mauricio/H-4605-2011</t>
  </si>
  <si>
    <t>Avila, Jannine M. Lencina/0000-0001-5800-2760; Mendes, Carlos/0000-0001-6875-8860; Mendes, Carlos/0000-0001-6875-8860; Kerr, Rodrigo/0000-0002-2632-3137; Cotrim da Cunha, Leticia/0000-0001-8035-1430; Orselli, Iole/0000-0003-2991-292X; Tavano, Virginia/0000-0003-0039-8111; Mata, Mauricio/0000-0002-9028-8284</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</si>
  <si>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 [573720/2008-8]; NAUTILUS (CNPQ) [405869/2013-4]; INTERBIOTA (CNPq) [407889/2013-2]; CAPES/CMAR2 (CAPES) [23038.001421/2014-30]; CNPq [302604/2015-4, 306896/2015-0]; CNPq Ph.D. grant [249697/2013-0]; CAPES/PNPD</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</si>
  <si>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(INCT-CRIOSFERA)(Fundacao de Apoio a Pesquisa do Distrito Federal (FAPDF)Conselho Nacional de Desenvolvimento Cientifico e Tecnologico (CNPQ)); NAUTILUS (CNPQ)(Conselho Nacional de Desenvolvimento Cientifico e Tecnologico (CNPQ)Fundacao de Apoio a Pesquisa do Distrito Federal (FAPDF)); INTERBIOTA (CNPq)(Conselho Nacional de Desenvolvimento Cientifico e Tecnologico (CNPQ)Fundacao de Apoio a Pesquisa do Distrito Federal (FAPDF)); CAPES/CMAR2 (CAPES)(Coordenacao de Aperfeicoamento de Pessoal de Nivel Superior (CAPES)); CNPq(Conselho Nacional de Desenvolvimento Cientifico e Tecnologico (CNPQ)); CNPq Ph.D. grant(Conselho Nacional de Desenvolvimento Cientifico e Tecnologico (CNPQ)Fundacao de Apoio a Pesquisa do Distrito Federal (FAPDF)); CAPES/PNPD(Coordenacao de Aperfeicoamento de Pessoal de Nivel Superior (CAPES))</t>
  </si>
  <si>
    <t>This study provides a contribution to the activities of the Brazilian Ocean Acidification Network (BrOA; www.broa.furg.br) and the Brazilian High Latitudes Oceanography Group (GOAL; www.goal.furg.br), which is part of the Brazilian Antarctic Program (PROANTAR). GOAL has been funded by and/or has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 573720/2008-8), NAUTILUS (CNPq grant no 405869/2013-4), INTERBIOTA (CNPq grant no 407889/2013-2) and CAPES/CMAR2 (CAPES grant no 23038.001421/2014-30) projects. R. Kerr and M. M. Mata acknowledge CNPq researcher grants no 302604/2015-4 and 306896/2015-0, respectively. J. M. Lencina-Avila and C.R.B. Mendes were funded by a CNPq Ph.D. grant no 249697/2013-0 and a postdoc grant from CAPES/PNPD, respectively. The GOAL and BrOA dataset is provided by request. We thank A.C. Garcia, F.G. da Silva, M.L.C. Ferreira, M.C. Borges, R.G. Ito, and R.C.G. Pollery for help with sampling and/or AT-CT and dissolved nutrients analysis. We also thank the Brazilian Navy, especially the crew, and all the researchers onboard of the RV N.Po. Almirante Maximiano, for providing logistical and sampling support during the NAUTILUS I cruise.</t>
  </si>
  <si>
    <t>10.1016/j.dsr2.2017.02.008</t>
  </si>
  <si>
    <t>WOS:000437037100016</t>
  </si>
  <si>
    <t>Kerr, R; Goyet, C; da Cunha, LC; Orselli, IBM; Lencina-Avila, JM; Mendes, CRB; Carvalho-Borges, M; Mata, MM; Tavano, VM</t>
  </si>
  <si>
    <t>Kerr, Rodrigo; Goyet, Catherine; da Cunha, Leticia C.; Orselli, Iole B. M.; Lencina-Avila, Jannine M.; Mendes, Carlos Rafael B.; Carvalho-Borges, Mariah; Mata, Mauricio M.; Tavano, Virginia Maria</t>
  </si>
  <si>
    <t>Carbonate system properties in the Gerlache Strait, Northern Antarctic Peninsula (February 2015): II. Anthropogenic CO2 and seawater acidification</t>
  </si>
  <si>
    <t>Carbon dioxide; Anthropogenic carbon; Ocean acidification; Western Antarctic Peninsula</t>
  </si>
  <si>
    <t>OCEAN ACIDIFICATION; ATLANTIC-OCEAN; WEDDELL SEA; DISSOCIATION-CONSTANTS; SATURATION STATES; TROCA APPROACH; CLIMATE-CHANGE; SURFACE-WATER; DEEP; BRANSFIELD</t>
  </si>
  <si>
    <t>During the NAUTILUS I cruise in February 2015, the carbonate and associated physical properties were measured throughout the water column in the Gerlache Strait-off the southern coast of the Northern Antarctic Peninsula (NAP). Part I of this study (Kerr et al., 2017, this issue) focused on the net sea-air carbon dioxide (CO2) flux, whereas the same dataset was used here to estimate the extent of anthropogenic carbon (C-ant) storage in the Gerlache Strait deep basin. In addition, the impact of C-ant increases on pH and calcium carbonate saturation states for calcite and aragonite (Omega(Ca) and Omega(Ar), respectively) were evaluated. The results indicate that, up to the present, 21.2 +/- 16.7 mu mol kg(-1) of C-ant, have been injected to the deep and bottom layers of the Gerlache Strait. Two mechanisms may have contributed to that fact: (i) the pathway of the C-ant follows that of the high salinity shelf waters inflow coming from both the Bransfield Strait and the Northwestern Weddell Sea shelf, and (ii) the Gerlache Strait is absorbing a significant amount of C-ant from the atmosphere. Therefore, pH, Omega(A), and Omega(ca) are decreasing in the deep waters of the Gerlache Strait. Since Omega(Ar) is already very close to 1 at depth, any small additional input of C-ant will trigger the dissolution of aragonite.</t>
  </si>
  <si>
    <t>[Kerr, Rodrigo; Orselli, Iole B. M.; Mendes, Carlos Rafael B.; Carvalho-Borges, Mariah; Mata, Mauricio M.; Tavano, Virginia Maria] Univ Fed Rio Grande FURG, Inst Oceanog, Lab Estudos Oceans &amp; Clima, Av Italia Km 8, BR-96203900 Rio Grande, RS, Brazil; [Kerr, Rodrigo; Orselli, Iole B. M.; Mata, Mauricio M.] Inst Nacl Ciencia &amp; Tecnol Criosfera INCT CRIOSFE, Grp Estudos Oceano Austral &amp; Gelo Manriho, BR-96203900 Rio Grande, RS, Brazil; [Kerr, Rodrigo; da Cunha, Leticia C.; Orselli, Iole B. M.; Lencina-Avila, Jannine M.; Carvalho-Borges, Mariah] Brazilian Ocean Acidificat Network BrOA, BR-96203900 Rio Grande, RS, Brazil; [Goyet, Catherine; Lencina-Avila, Jannine M.] Univ Perpignan, IMAGES ESPACE DEV, Via Domitia,52 Ave Paul Alduy, F-66860 Perpignan, France; [Goyet, Catherine; Lencina-Avila, Jannine M.] Maison Teledetect, ESPACE DEV UMR UG UA UM IRD, 500 Rue Jean Francois Breton, F-34093 Montpellier 5, France; [da Cunha, Leticia C.] Univ Estado Rio De Janeiro UERJ, Fac Oceanog, Campus Maracana, BR-20550900 Rio De Janeiro, RJ, Brazil; [Mendes, Carlos Rafael B.; Tavano, Virginia Maria] Univ Fed Rio Grande FURG, Inst Oceanog, Lab Fitoplancton &amp; Microorganismos Marinhos, Av Italia Km 8, BR-96203900 Rio Grande, RS, Brazil</t>
  </si>
  <si>
    <t>Universidade Federal do Rio Grande; Universite Perpignan Via Domitia; Universidade do Estado do Rio de Janeiro; Universidade Federal do Rio Grande</t>
  </si>
  <si>
    <t>Cotrim da Cunha, Leticia/F-5732-2010; Mendes, Carlos/AAD-6504-2021; Mendes, Carlos/GVU-7596-2022; da Cunha, Leticia Cotrim/J-5153-2012; Kerr, Rodrigo/I-2494-2012; Mendes, Carlos/I-1520-2012; Avila, Jannine M. Lencina/E-3069-2019; Orselli, Iole/AAP-1267-2021; Tavano, Virginia/C-5241-2013; Mata, Mauricio/H-4605-2011</t>
  </si>
  <si>
    <t>Cotrim da Cunha, Leticia/0000-0001-8035-1430; Mendes, Carlos/0000-0001-6875-8860; Kerr, Rodrigo/0000-0002-2632-3137; Mendes, Carlos/0000-0001-6875-8860; Avila, Jannine M. Lencina/0000-0001-5800-2760; Orselli, Iole/0000-0003-2991-292X; Tavano, Virginia/0000-0003-0039-8111; Mata, Mauricio/0000-0002-9028-8284</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</si>
  <si>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 [573720/2008-8]; NAUTILUS (CNPq) [405869/2013-4]; INTERBIOTA (CNPq) [407889/2013-2]; CAPES/CMAR2 (CAPES) [23038.001421/2014-30]; CNPq [302604/2015-4, 306896/2015-0, 249697/2013-0]; CAPES/PNPD</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</si>
  <si>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(INCT-CRIOSFERA)(Fundacao de Apoio a Pesquisa do Distrito Federal (FAPDF)Conselho Nacional de Desenvolvimento Cientifico e Tecnologico (CNPQ)); NAUTILUS (CNPq)(Conselho Nacional de Desenvolvimento Cientifico e Tecnologico (CNPQ)Fundacao de Apoio a Pesquisa do Distrito Federal (FAPDF)); INTERBIOTA (CNPq)(Conselho Nacional de Desenvolvimento Cientifico e Tecnologico (CNPQ)Fundacao de Apoio a Pesquisa do Distrito Federal (FAPDF)); CAPES/CMAR2 (CAPES)(Coordenacao de Aperfeicoamento de Pessoal de Nivel Superior (CAPES)); CNPq(Conselho Nacional de Desenvolvimento Cientifico e Tecnologico (CNPQ)); CAPES/PNPD(Coordenacao de Aperfeicoamento de Pessoal de Nivel Superior (CAPES))</t>
  </si>
  <si>
    <t>This study provides a contribution to the activities of the Brazilian Ocean Acidification Network (BrOA; www.broa.furg.br) and the Brazilian High Latitudes Oceanography Group (GOAL; www.goal.furg. br), which is part of the Brazilian Antarctic Program (PROANTAR). GOAL has been funded by and/or has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 573720/2008-8), NAUTILUS (CNPq grant no 405869/2013-4), INTERBIOTA (CNPq grant no 407889/2013-2) and CAPES/CMAR2 (CAPES grant no 23038.001421/2014-30) projects. R. Kerr, M. M. Mata, and J. M. Lencina-Avila acknowledge CNPq researcher grants no 302604/2015-4, 306896/2015-0 and PhD funding no 249697/2013-0, respectively. C.R.B. Mendes was funded by a postdoc grant from CAPES/PNPD. The GOAL and BrOA dataset are provided by request. We thank A.C. Garcia, F.G. da Silva, M.L.C. Ferreira, RT. Eidt, R.G. Ito, and R.C.G. Pollery for help with sampling and/or AT -CT and dissolved nutrients analysis. We also thank the colleagues of the Instituto Antartico Chileno (INACH) and the Brazilian Navy, especially the crew, and all the researchers onboard of the RV Almirante Maximiano, for providing logistical and/or sampling support during the NAUTILUS I cruise. We are grateful for the constructive comments provided by two anonymous reviewers who substantially helped to improve the manuscript.</t>
  </si>
  <si>
    <t>10.1016/j.dsr2.2017.07.007</t>
  </si>
  <si>
    <t>WOS:000437037100017</t>
  </si>
  <si>
    <t>da Cunha, LC; Hamacher, C; Farias, CD; Kerr, R; Mendes, CRB; Mata, MM</t>
  </si>
  <si>
    <t>da Cunha, Leticia C.; Hamacher, Claudia; Farias, Cassia de O.; Kerr, Rodrigo; Mendes, Carlos Rafael B.; Mata, Mauricio M.</t>
  </si>
  <si>
    <t>Contrasting end-summer distribution of organic carbon along the Gerlache Strait, Northern Antarctic Peninsula: Bio-physical interactions</t>
  </si>
  <si>
    <t>Carbon export; Biological carbon pump; Intra-season variability; High-salinity shelf water; Recalcitrant carbon</t>
  </si>
  <si>
    <t>BRANSFIELD STRAIT; COMMUNITY STRUCTURE; MATTER; ATLANTIC; OCEAN; DEEP; WATERS; ACCUMULATION; CHLOROPHYLL; VARIABILITY</t>
  </si>
  <si>
    <t>Dissolvedorganic carbon (DOC) was determined at the Gerlache Strait, a coastal area off the Northern Antarctic Peninsula, in the austral summers of 2015 and 2016 during NAUTILUS I and II cruises, respectively. Hydrographic conditions in the area were very different between the study years. Despite that, the surface mixed layer displayed higher DOC concentrations compared to intermediate and deeper waters, as a result of the strong water column stratification, for both years. DOC accumulation on the surface is significantly related to the net community production (NCP), and stronger when the nitrate surface deficit (Delta NO3-) is higher (2016). The presence of a surface/subsurface thermal front at the central Gerlache Strait likely promotes the export of surface-produced organic carbon to deeper layers. A weak correlation between DOC and apparent oxygen utilization (AOU) suggests that the degradationof organic carbon in the deeper water column has a small role in oxygen consumption (less than 10%). This recalcitrant DOC characteristic below the surface layers observed in this study is similar to that found twenty years ago in the same area (FRUELA campaign, early Summer 1995). The Gerlache Strait allows, as an adequate regional scale study, assessments on the efficiency of the export and distribution of organic carbon in deep water masses in view of the observed trends of freshening, cooling, and lightening in the Antarctic Peninsula shelf waters.</t>
  </si>
  <si>
    <t>[da Cunha, Leticia C.; Hamacher, Claudia; Farias, Cassia de O.] Univ Estado Rio De Janeiro UERJ, Fac Oceanog, Lab Geoquim Organ Marinha &amp; Oceanog Quim LaGOM LA, Campus Maracana,Rua Sao Francisco Xavier 524, BR-20550900 Rio De Janeiro, RJ, Brazil; [da Cunha, Leticia C.; Hamacher, Claudia; Farias, Cassia de O.; Kerr, Rodrigo] Brazilian Ocean Acidificat Network BrOA, BR-96203900 Rio Grande, RS, Brazil; [Kerr, Rodrigo; Mendes, Carlos Rafael B.; Mata, Mauricio M.] Univ Fed Rio Grande FURG, Inst Oceanog, Lab Estudos Oceanos &amp; Clime, Av Italia Km 8, BR-96203900 Rio Grande, RS, Brazil; [Kerr, Rodrigo; Mata, Mauricio M.] Inst Nacl Ciencia &amp; Tecnol Criosfera INCT CRIOSFE, Grp Estudos Oceano Austral &amp; Gelo Marinho, BR-96203900 Rio Grande, RS, Brazil; [Mendes, Carlos Rafael B.] Univ Fed Rio Grande FURG, Inst Oceanog, Lab Fitoplancton &amp; Microorganismos Marinhos, Av Italia Km 8, BR-96203900 Rio Grande, RS, Brazil</t>
  </si>
  <si>
    <t>Universidade do Estado do Rio de Janeiro; Universidade Federal do Rio Grande; Universidade Federal do Rio Grande</t>
  </si>
  <si>
    <t>da Cunha, LC (corresponding author), Univ Estado Rio De Janeiro UERJ, Fac Oceanog, Lab Geoquim Organ Marinha &amp; Oceanog Quim LaGOM LA, Campus Maracana,Rua Sao Francisco Xavier 524, BR-20550900 Rio De Janeiro, RJ, Brazil.</t>
  </si>
  <si>
    <t>lcotrim@uerj.br</t>
  </si>
  <si>
    <t>HAMACHER, CLAUDIA/AAF-6101-2021; Cotrim da Cunha, Leticia/F-5732-2010; da Cunha, Leticia Cotrim/J-5153-2012; Mendes, Carlos/GVU-7596-2022; Kerr, Rodrigo/I-2494-2012; Farias, Cassia/AAY-2427-2020; Mendes, Carlos/AAD-6504-2021; Mendes, Carlos/I-1520-2012; Mata, Mauricio/H-4605-2011</t>
  </si>
  <si>
    <t>Cotrim da Cunha, Leticia/0000-0001-8035-1430; Mendes, Carlos/0000-0001-6875-8860; Kerr, Rodrigo/0000-0002-2632-3137; Farias, Cassia/0000-0003-4578-0883; Mendes, Carlos/0000-0001-6875-8860; Mata, Mauricio/0000-0002-9028-8284</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</si>
  <si>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 [573720/2008-8]; INTERBIOTA (CNPq) [407889/2013-2]; CAPES/CMAR2 (CAPES) [23038.001421/2014-30]; CNPq [302604/2015-4]; CAPES/PNPD; NAUTILUS (CNPq) [405869/2013-4]</t>
  </si>
  <si>
    <t>Brazilian Ministry of the Environment (MMA); Brazilian Ministry of Science, Technology, Innovation and Communication (MCTIC); Council for Research and Scientific Development of Brazil (CNPq) through Brazilian National Institute of Science and Technology of Cryosphere (INCT-CRIOSFERA)(Conselho Nacional de Desenvolvimento Cientifico e Tecnologico (CNPQ)); INTERBIOTA (CNPq)(Conselho Nacional de Desenvolvimento Cientifico e Tecnologico (CNPQ)Fundacao de Apoio a Pesquisa do Distrito Federal (FAPDF)); CAPES/CMAR2 (CAPES)(Coordenacao de Aperfeicoamento de Pessoal de Nivel Superior (CAPES)); CNPq(Conselho Nacional de Desenvolvimento Cientifico e Tecnologico (CNPQ)); CAPES/PNPD(Coordenacao de Aperfeicoamento de Pessoal de Nivel Superior (CAPES)); NAUTILUS (CNPq)(Conselho Nacional de Desenvolvimento Cientifico e Tecnologico (CNPQ))</t>
  </si>
  <si>
    <t>This study provides a contribution to the activities of the Brazilian Ocean Acidification Network (BrOA; www.broa.furg.br) and the Brazilian High Latitudes Oceanography Group (GOAL; www.goal.furg. br), which is part of the Brazilian Antarctic Program (PROANTAR). GOAL has been funded by and/or has received logistical support from the Brazilian Ministry of the Environment (MMA), the Brazilian Ministry of Science, Technology, Innovation and Communication (MCTIC), and the Council for Research and Scientific Development of Brazil (CNPq) through grants from the Brazilian National Institute of Science and Technology of Cryosphere (INCT-CRIOSFERA; CNPq grant no 573720/2008-8), NAUTILUS (CNPq grant no 405869/2013-4), INTERBIOTA (CNPq grant no 407889/2013-2) and CAPES/CMAR2 (CAPES grant no 23038.001421/2014-30) projects. R. Kerr acknowledges CNPq researcher grant no 302604/2015-4. C. R. B. Mendes was funded by a postdoc grant from CAPES/PNPD. The GOAL and BrOA dataset is provided by request. The authors would like to thank M. L. C. Ferreira, R. C. G. Pollery, R. A. Keim, H. Soares (in memorian) and L. Amorim for help with sampling, dissolved nutrients and DOC analyses. The authors also thank the Brazilian Navy, especially the crew, and all the researchers onboard of the RV N.Po. Almirante Maximiano, for providing logistical and sampling support during the NAUTILUS I and II cruises, and are grateful for the constructive comments provided by three anonymous reviewers who substantially aided in improving the manuscript.</t>
  </si>
  <si>
    <t>10.1016/j.dsr2.2018.03.003</t>
  </si>
  <si>
    <t>WOS:000437037100019</t>
  </si>
  <si>
    <t>Pohanka, M; Vlcek, V</t>
  </si>
  <si>
    <t>Pohanka, Miroslav; Vlcek, Vitezslav</t>
  </si>
  <si>
    <t>Assay of Glomalin Using a Quartz Crystal Microbalance Biosensor</t>
  </si>
  <si>
    <t>ELECTROANALYSIS</t>
  </si>
  <si>
    <t>affinity; antibody; biosensor; immunosesor; glomalin; label free assay; piezoelectric; quartz crystal microbalance; soil; mycorrhiza; fungal protein</t>
  </si>
  <si>
    <t>PROTEIN-BINDING; MYCORRHIZAL; SOIL; ALUMINUM</t>
  </si>
  <si>
    <t>Glomalin is a soil protein abundantly occurring in the soil. In the current time, knowledge about glomalin is limited and there are also missing simple test for the determination of glomalin in the environment. This work is devoted to construction of a biosensor which is expected to be a simple device for the determination of glomalin in extracts from soil samples. The biosensor was constructed using an antibody against glomalin and piezoelectric quartz crystal microbalance (QCM) sensor platform allowing label free assay. Electrodes of QCM were activated using cysteamine and glutaraldehyde and finally, an antibody against glomalin was immobilized. Glomalin was acquired from various soil samples by extraction in an autoclave and its content was determined by a standard spectrophotometric test. Time necessary to bind sufficient amount of glomalin was discovered for the biosensor and four hours incubation interval corresponded with maximal efficacy. Limit of detection for the biosensor based assay was found to be equal to 3.40g/g which is enough to cover all the tested soil samples containing glomalin in a concentration from 291g/g to 3.47mg/g. The assay also fully correlated with the standard tests. In a conclusion, the piezoelectric biosensor seems to be a suitable platform for the determination of glomalin in samples of environment origin. The method represents an improvement of the current analytical platforms that are based on measurement of total protein content in soil extract.</t>
  </si>
  <si>
    <t>[Pohanka, Miroslav] Univ Def, Fac Mil Hlth Sci, Trebesska 1575, CZ-50001 Hradec Kralove 50001, Czech Republic; [Vlcek, Vitezslav] Mendel Univ Brno, Fac AgriSci, Zemedelska 1, Brno 61300, Czech Republic</t>
  </si>
  <si>
    <t>University of Defence - Czech Republic; Mendel University in Brno</t>
  </si>
  <si>
    <t>Pohanka, M (corresponding author), Univ Def, Fac Mil Hlth Sci, Trebesska 1575, CZ-50001 Hradec Kralove 50001, Czech Republic.</t>
  </si>
  <si>
    <t>miroslav.pohanka@gmail.com</t>
  </si>
  <si>
    <t>Pohanka, Miroslav/D-7607-2012; Vlcek, Vitezslav/L-9674-2018</t>
  </si>
  <si>
    <t>Pohanka, Miroslav/0000-0001-8804-8356; Vlcek, Vitezslav/0000-0002-5431-7164</t>
  </si>
  <si>
    <t>Ministry of Defence of the Czech Republic - long-term organization development plan Medical Aspects of Weapons of Mass Destruction of the Faculty of Military Health Sciences, University of Defence</t>
  </si>
  <si>
    <t>This work was supported by a Ministry of Defence of the Czech Republic - long-term organization development plan Medical Aspects of Weapons of Mass Destruction of the Faculty of Military Health Sciences, University of Defence. The Authors are grateful to the Research infrastructure of the Johann Gregor Mendel Czech Antarctic Station at James Ross Island.</t>
  </si>
  <si>
    <t>WILEY-V C H VERLAG GMBH</t>
  </si>
  <si>
    <t>WEINHEIM</t>
  </si>
  <si>
    <t>POSTFACH 101161, 69451 WEINHEIM, GERMANY</t>
  </si>
  <si>
    <t>1040-0397</t>
  </si>
  <si>
    <t>1521-4109</t>
  </si>
  <si>
    <t>ELECTROANAL</t>
  </si>
  <si>
    <t>Electroanalysis</t>
  </si>
  <si>
    <t>10.1002/elan.201700772</t>
  </si>
  <si>
    <t>Chemistry, Analytical; Electrochemistry</t>
  </si>
  <si>
    <t>Chemistry; Electrochemistry</t>
  </si>
  <si>
    <t>FZ0GR</t>
  </si>
  <si>
    <t>WOS:000427246500007</t>
  </si>
  <si>
    <t>Tripathy, SC; Patra, S; Vardhan, KV; Sarkar, A; Mishra, RK; Anilkumar, N</t>
  </si>
  <si>
    <t>Tripathy, S. C.; Patra, Sivaji; Vardhan, K. Vishnu; Sarkar, A.; Mishra, R. K.; Anilkumar, N.</t>
  </si>
  <si>
    <t>Nitrogen uptake by phytoplankton in surface waters of the Indian sector of Southern Ocean during austral summer</t>
  </si>
  <si>
    <t>FRONTIERS OF EARTH SCIENCE</t>
  </si>
  <si>
    <t>nitrogen uptake; f-ratio; new productivity; frontal zones; Southern Ocean</t>
  </si>
  <si>
    <t>ANTARCTIC POLAR FRONT; PRIMARY PRODUCTIVITY; COMMUNITY STRUCTURE; IRON FERTILIZATION; UPTAKE REGIME; UPTAKE RATES; N-15 UPTAKE; F-RATIOS; TEMPERATURE; NITRATE</t>
  </si>
  <si>
    <t>This study reports the nitrogen uptake rate (using 15N tracer) of phytoplankton in surface waters of different frontal zones in the Indian sector of the Southern Ocean (SO) during austral summer of 2013. The investigated area encompasses four major frontal systems, i.e., the subtropical front (STF), subantarctic front (SAF), polar front-1 (PF1) and polar front-2 (PF2). Southward decrease of surface water temperature was observed, whereas surface salinity did not show any significant trend. Nutrient (NO3 (-) and SiO4 (4-)) concentrations increased southward from STF to PF; while ammonium (NH4 (+)), nitrite (NO2 (-)) and phosphate (PO4 (3-)) remained comparatively stable. Analysis of nutrient ratios indicated potential N-limited conditions at the STF and SAF but no such scenario was observed for PF. In terms of phytoplankton biomass, PF1 was found to be the most productive followed by SAF, whereas PF2 was the least productive region. Nitrate uptake rate increased with increasing latitude, as no systematic spatial variation was discerned for NH4 (+) and urea (CO(NH2)(2)). Linear relationship between nitrate and total N-uptake reveals that the studied area is capable of exporting up to 60% of the total production to the deep ocean if the environmental settings are favorable. Like N-uptake rates the f-ratio also increased towards PF region indicating comparatively higher new production in the PF than in the subtropics. The moderately high average f-ratio (0.53) indicates potentially near equal contributions by new production and regenerated production to the total productivity in the study area. Elevation in N-uptake rates with declining temperature suggests that the SO with its vast quantity of cool water could play an important role in drawing down the atmospheric CO2 through the solubility pump.</t>
  </si>
  <si>
    <t>[Tripathy, S. C.; Sarkar, A.; Mishra, R. K.; Anilkumar, N.] Minist Earth Sci, ESSO Natl Ctr Antarctic &amp; Ocean Res, Vasco Da Gama 403804, Goa, India; [Patra, Sivaji; Vardhan, K. Vishnu] Minist Earth Sci, ESSO Integrated Coastal &amp; Marine Area Management, NIOT Campus, Chennai 600100, Tamil Nadu, India</t>
  </si>
  <si>
    <t>Ministry of Earth Sciences (MoES) - India; National Centre for Polar and Ocean Research (NCPOR); Ministry of Earth Sciences (MoES) - India</t>
  </si>
  <si>
    <t>Tripathy, SC (corresponding author), Minist Earth Sci, ESSO Natl Ctr Antarctic &amp; Ocean Res, Vasco Da Gama 403804, Goa, India.</t>
  </si>
  <si>
    <t>sarat@ncaor.gov.in</t>
  </si>
  <si>
    <t>Kanuri, Vishnu Vardhan/AAI-2993-2020</t>
  </si>
  <si>
    <t>Kanuri, Vishnu Vardhan/0000-0001-7152-5486; Tripathy, Dr. Sarat Chandra/0000-0002-2437-8660</t>
  </si>
  <si>
    <t>Ministry of Earth Sciences, Govt. of India</t>
  </si>
  <si>
    <t>The authors express gratitude to the Ministry of Earth Sciences, Govt. of India for financial aid to conduct this study, and Director, NCAOR for his constant encouragement and support. We thank, Head of the VMC, NIOT for providing us the vessel and essential logistic supports. Sincerely acknowledge the help from the Captain, crew and scientific members of the SOE-7. The first author earnestly thanks Dr. M. Tiwari and Mr. S. Nagoji of MASTIL, NCAOR for facilitating 15 N sample analysis. Support from administration, procurement and finance divisions' staff of NCAOR is highly acknowledged. This is NCAOR contribution No. 07/2017.</t>
  </si>
  <si>
    <t>2095-0195</t>
  </si>
  <si>
    <t>2095-0209</t>
  </si>
  <si>
    <t>FRONT EARTH SCI-PRC</t>
  </si>
  <si>
    <t>10.1007/s11707-017-0649-9</t>
  </si>
  <si>
    <t>FW2TK</t>
  </si>
  <si>
    <t>WOS:000425157200005</t>
  </si>
  <si>
    <t>Arendt, J; Middleton, B</t>
  </si>
  <si>
    <t>Arendt, Josephine; Middleton, Benita</t>
  </si>
  <si>
    <t>Human seasonal and circadian studies in Antarctica (Halley, 75°S)</t>
  </si>
  <si>
    <t>GENERAL AND COMPARATIVE ENDOCRINOLOGY</t>
  </si>
  <si>
    <t>28th Conference of European Comparative Endocrinologists</t>
  </si>
  <si>
    <t>AUG 21-25, 2016</t>
  </si>
  <si>
    <t>Leuven, BELGIUM</t>
  </si>
  <si>
    <t>Seasonal; Circadian; Light; Melatonin; Antarctica</t>
  </si>
  <si>
    <t>PHODOPUS-SUNGORUS-SUNGORUS; NIGHT-SHIFT WORK; BRIGHT LIGHT; 6-SULPHATOXYMELATONIN RHYTHM; MELATONIN SUPPRESSION; SLEEP DISORDERS; PHASE RESPONSE; DIM LIGHT; ADAPTATION; OFFSHORE</t>
  </si>
  <si>
    <t>Living for extended periods in Antarctica exposes base personnel to extremes of daylength (photoperiod) and temperature. At the British Antarctic Survey base of Halley, 75 degrees S, the sun does not rise for 110 d in the winter and does not set for 100 d in summer. Photoperiod is the major time cue governing the timing of seasonal events such as reproduction in many species. The neuroendocrine signal providing photoperiodic information to body physiology is the duration of melatonin secretion which reflects the length of the night: longer in the short days of winter and shorter in summer. Light of sufficient intensity and spectral composition serves to suppress production of melatonin and to set the circadian timing and the duration of the rhythm. In humans early observations suggested that bright (&gt;2000 lux) white light was needed to suppress melatonin completely. Shortly thereafter winter depression (Seasonal Affective Disorder or SAD) was described, and its successful treatment by an artificial summer photoperiod of bright white light, sufficient to shorten melatonin production. At Halley dim artificial light intensity during winter was measured, until 2003, at a maximum of approximately 500 lux in winter. Thus a strong seasonal and circadian time cue was absent. It seemed likely that winter depression would be common in the extended period of winter darkness and could be treated with an artificial summer photoperiod. These observations, and predictions, inspired a long series of studies regarding human seasonal and circadian status, and the effects of light treatment, in a small overwintering, isolated community, living in the same conditions for many months at Halley. We found little evidence of SAD, or change in duration of melatonin production with season. However the timing of the melatonin rhythm itself, and/or that of its metabolite 6-sulphatoxymelatonin (aMT6s), was used as a primary marker of seasonal, circadian and treatment changes. A substantial phase delay of melatonin in winter was advanced to summer phase by a two pulse 'skeleton' bright white light treatment. Subsequently a single morning pulse of bright white light was effective with regard to circadian phase and improved daytime performance. The circadian delay evidenced by melatonin was accompanied by delayed sleep (logs and actigraphy): poor sleep is a common complaint in Polar regions. Appropriate extra artificial light, both standard white, and blue enriched, present throughout the day, effectively countered delay in sleep timing and the aMT6s rhythm. The most important factor appeared to be the maximum light experienced. Another manifestation of the winter was a decline in self-rated libido (men only on base at this time). Women on the base showed lower aspects of physical and mental health compared to men. Free-running rhythms were seen in some subjects following night shift, but were rarely found at other times, probably because this base has strongly scheduled activity and leisure time. Complete circadian adaptation during a week of night shift, also seen in a similar situation on North Sea oil rigs, led to problems readapting back to day shift in winter, compared to summer. Here again timed light treatment was used to address the problem. Sleep, alertness and waking performance are critically dependent on optimum circadian phase. Circadian desynchrony is associated with increased risk of major disease in shift workers. These studies provide some groundwork for countering/avoiding circadian desynchrony in rather extreme conditions. (C) 2017 Elsevier Inc. All rights reserved.</t>
  </si>
  <si>
    <t>[Arendt, Josephine; Middleton, Benita] Univ Surrey, Fac Hlth &amp; Med Sci, Biochem &amp; Physiol, Guildford GU2 7XH, Surrey, England</t>
  </si>
  <si>
    <t>University of Surrey</t>
  </si>
  <si>
    <t>Arendt, J (corresponding author), Univ Surrey, Fac Hlth &amp; Med Sci, Biochem &amp; Physiol, Guildford GU2 7XH, Surrey, England.</t>
  </si>
  <si>
    <t>arendtjo@gmail.com; b.middleton@surrey.ac.uk</t>
  </si>
  <si>
    <t>British Antarctic Survey; Antarctic Funding Initiative; Medical Research Council; Philips Lighting B.V. Eindhoven; Health and Safety Executive; Institute of Petroleum; Energy Institute</t>
  </si>
  <si>
    <t>British Antarctic Survey; Antarctic Funding Initiative; Medical Research Council(UK Research &amp; Innovation (UKRI)Medical Research Council UK (MRC)); Philips Lighting B.V. Eindhoven; Health and Safety Executive; Institute of Petroleum; Energy Institute</t>
  </si>
  <si>
    <t>Studies in Antarctica by the authors, referred to in this review, were supported throughout by the British Antarctic Survey, and in part by the Antarctic Funding Initiative and the Medical Research Council. Philips Lighting B.V. Eindhoven provided lighting equipment and an unrestricted research grant. Oil rig investigations were supported by the Health and Safety Executive, the Institute of Petroleum and The Energy Institute. Stockgrand Ltd., University of Surrey) supplied reagents, expertise and advice.</t>
  </si>
  <si>
    <t>0016-6480</t>
  </si>
  <si>
    <t>1095-6840</t>
  </si>
  <si>
    <t>GEN COMP ENDOCR</t>
  </si>
  <si>
    <t>Gen. Comp. Endocrinol.</t>
  </si>
  <si>
    <t>10.1016/j.ygcen.2017.05.010</t>
  </si>
  <si>
    <t>Endocrinology &amp; Metabolism; Zoology</t>
  </si>
  <si>
    <t>FX4ET</t>
  </si>
  <si>
    <t>WOS:000426026200028</t>
  </si>
  <si>
    <t>Sapp, A; Huguet-Tapia, JC; Sánchez-Lamas, M; Antelo, GT; Primo, ED; Rinaldi, J; Klinke, S; Goldbaum, FA; Bonomi, HR; Christner, BC; Otero, LH</t>
  </si>
  <si>
    <t>Sapp, Amanda; Huguet-Tapia, Jose C.; Sanchez-Lamas, Maximiliano; Antelo, Giuliano T.; Primo, Emiliano D.; Rinaldi, Jimena; Klinke, Sebastian; Goldbaum, Fernando A.; Bonomi, Hernan R.; Christner, Brent C.; Otero, Lisandro H.</t>
  </si>
  <si>
    <t>Draft Genome Sequence of Methylobacterium sp. Strain V23, Isolated from Accretion Ice of the Antarctic Subglacial Lake Vostok</t>
  </si>
  <si>
    <t>Here, we report the draft genome sequence of Methylobacterium sp. strain V23, a bacterium isolated from accretion ice of the subglacial Lake Vostok (3,592 meters below the surface). This genome makes possible the study of ancient and psychrophilic genes and proteins from a subglacial environment isolated from the surface for at least 15 million years.</t>
  </si>
  <si>
    <t>[Sapp, Amanda; Christner, Brent C.] Univ Florida, Dept Microbiol &amp; Cell Sci, Gainesville, FL 32611 USA; [Huguet-Tapia, Jose C.] Univ Florida, Dept Plant Pathol, Gainesville, FL 32611 USA; [Sanchez-Lamas, Maximiliano; Antelo, Giuliano T.; Rinaldi, Jimena; Klinke, Sebastian; Goldbaum, Fernando A.; Bonomi, Hernan R.; Otero, Lisandro H.] IIBBA CONICET, Fdn Inst Leloir, Buenos Aires, DF, Argentina; [Primo, Emiliano D.] Univ Nacl Rio Cuarto, Dept Biol Mol, FCEFQyN, Cordoba, Argentina; [Klinke, Sebastian; Goldbaum, Fernando A.; Otero, Lisandro H.] Plataforma Argentina Biol Estruct &amp; Metab PLABEM, Buenos Aires, DF, Argentina; [Bonomi, Hernan R.] Univ Montpellier, Ctr Biochim Struct, Montpellier, France</t>
  </si>
  <si>
    <t>State University System of Florida; University of Florida; State University System of Florida; University of Florida; Consejo Nacional de Investigaciones Cientificas y Tecnicas (CONICET); Leloir Institute; Universidad Nacional Rio Cuarto; Universite de Montpellier</t>
  </si>
  <si>
    <t>Christner, BC (corresponding author), Univ Florida, Dept Microbiol &amp; Cell Sci, Gainesville, FL 32611 USA.;Otero, LH (corresponding author), IIBBA CONICET, Fdn Inst Leloir, Buenos Aires, DF, Argentina.;Otero, LH (corresponding author), Plataforma Argentina Biol Estruct &amp; Metab PLABEM, Buenos Aires, DF, Argentina.</t>
  </si>
  <si>
    <t>xnei@ufl.edu; lotero@leloir.org.ar</t>
  </si>
  <si>
    <t>Klinke, Sebastián/N-6174-2018; Primo, Emiliano David/ABI-6579-2020; Bonomi, Hernán Ruy/D-8826-2019</t>
  </si>
  <si>
    <t>Bonomi, Hernán Ruy/0000-0002-1550-6181</t>
  </si>
  <si>
    <t>Argentinian Ministry of Science (MINCyT); Argentinian Research Council (CONICET); National Agency for the Promotion of Science and Technology of Argentina (ANPCyT) [PICT 2015-0621, PICT 2016-1425]; Institute of Food and Agricultural Sciences at the University of Florida</t>
  </si>
  <si>
    <t>Argentinian Ministry of Science (MINCyT); Argentinian Research Council (CONICET)(Consejo Nacional de Investigaciones Cientificas y Tecnicas (CONICET)); National Agency for the Promotion of Science and Technology of Argentina (ANPCyT)(ANPCyT); Institute of Food and Agricultural Sciences at the University of Florida(University of Florida)</t>
  </si>
  <si>
    <t>This work was supported by the Argentinian Ministry of Science (MINCyT), the Argentinian Research Council (CONICET), and the National Agency for the Promotion of Science and Technology of Argentina (ANPCyT), under grants PICT 2015-0621 and PICT 2016-1425. Partial support was also provided by the Institute of Food and Agricultural Sciences at the University of Florida.</t>
  </si>
  <si>
    <t>e00145-18</t>
  </si>
  <si>
    <t>10.1128/genomeA.00145-18</t>
  </si>
  <si>
    <t>HD2ES</t>
  </si>
  <si>
    <t>WOS:000452324500021</t>
  </si>
  <si>
    <t>Staudigel, PT; Murray, S; Dunham, DP; Frank, TD; Fielding, CR; Swart, PK</t>
  </si>
  <si>
    <t>Staudigel, Philip T.; Murray, Sean; Dunham, Daniel P.; Frank, Tracy D.; Fielding, Christopher R.; Swart, Peter K.</t>
  </si>
  <si>
    <t>Cryogenic brines as diagenetic fluids: Reconstructing the diagenetic history of the Victoria Land Basin using clumped isotopes</t>
  </si>
  <si>
    <t>ANDRILL 2A; Antarctica; Cementation; Clumped isotopes; Cryogenic brines; Diagenesis; Isotope geochemistry; Victoria Land Basin</t>
  </si>
  <si>
    <t>MCMURDO-SOUND; ANTARCTIC GLACIATION; PHOSPHORIC-ACID; DELTA(47) MEASUREMENTS; CANADIAN SHIELD; MID-MIOCENE; SEA-ICE; FRACTIONATION; CARBONATE; OXYGEN</t>
  </si>
  <si>
    <t>The isotopic analyses (delta C-13, delta O-18, and Delta(47)) of carbonate phases recovered from a core in McMurdo Sound by ANtarctic geologic DRILLing (ANDRILL-2A) indicate that the majority of secondary carbonate mineral formation occurred at cooler temperatures than the modern burial temperature, and in the presence of fluids with delta O-18(water) values ranging between -11 and -6 parts per thousand VSMOW. These fluids are interpreted as being derived from a cryogenic brine formed during the freezing of seawater. The Delta(47) values were converted to temperature using an in-house calibration presented in this paper. Measurements of the Delta(47) values in the cements indicate increasingly warmer crystallization temperatures with depth and, while roughly parallel to the observed geothermal gradient, consistently translate to temperatures that are cooler than the current burial temperature. The difference in temperature suggests that cements formed when they were similar to 260 +/- 100 m shallower than at the present day. This depth range corresponds to a period of minimal sediment accumulation from 3 to 11 Myr; it is therefore interpreted that the majority of cements formed during this time. This behavior is also predicted by time-integrated modeling of cementation at this site. If this cementation had occurred in the presence of these fluids, then the cryogenic brines have been a longstanding feature in the Victoria Land Basin. Brines such as those found at this site have been described in numerous modern highlatitude settings, and analogous fluids could have played a role in the diagenetic history of other ice-proximal sediments and basins during glacial intervals throughout geologic history. The agreement between the calculated delta O-18(water) value and the measured values in the pore fluids shows how the Delta(47) proxy can be used to identify the origin of negative delta O-18 values in carbonate rocks and that extremely negative values do not necessarily need to be a result of the influence of meteoric fluids or reaction at high temperature. (C) 2018 Elsevier Ltd. All rights reserved.</t>
  </si>
  <si>
    <t>[Staudigel, Philip T.; Swart, Peter K.] Univ Miami, Rosenstiel Sch Marine &amp; Atmospher Sci, Dept Marine Geosci, 4600 Rickenbacker Causeway, Miami, FL 33149 USA; [Murray, Sean] Macquarie Univ, Dept Earth &amp; Planetary Sci, Sydney, NSW 2109, Australia; [Dunham, Daniel P.; Frank, Tracy D.; Fielding, Christopher R.] Univ Nebraska Lincoln, Dept Earth &amp; Atmospher Sci, 214 Bessey Hall, Lincoln, NE 68588 USA</t>
  </si>
  <si>
    <t>University of Miami; Macquarie University; University of Nebraska System; University of Nebraska Lincoln</t>
  </si>
  <si>
    <t>Staudigel, PT (corresponding author), Univ Miami, Rosenstiel Sch Marine &amp; Atmospher Sci, Dept Marine Geosci, 4600 Rickenbacker Causeway, Miami, FL 33149 USA.</t>
  </si>
  <si>
    <t>pstaudigel@rsmas.miami.edu</t>
  </si>
  <si>
    <t>Swart, Peter/K-7041-2016</t>
  </si>
  <si>
    <t>Swart, Peter/0000-0002-6743-6162; Staudigel, Philip/0000-0001-6895-508X; Frank, Tracy/0000-0002-8422-7389</t>
  </si>
  <si>
    <t>PRF [AC-52863ND2]; NSF [PLR-1341390, EAR0926503]</t>
  </si>
  <si>
    <t>PRF; NSF(National Science Foundation (NSF))</t>
  </si>
  <si>
    <t>This research was made possible through the ANDRILL SMS Team's efforts, as well as funding through PRF Grant #AC-52863ND2 and NSF Grant #PLR-1341390 to TDF and CRF. The manuscript benefited from the editing of Greta Mackenzie. Chris Kaiser is acknowledged for his technical support with XRD. Acquisition of the Thermo-253 was funded under NSF grant EAR0926503 to PKS. We are grateful to the editors of GCA and three anonymous reviewers whose suggestions and critiques improved this manuscript.</t>
  </si>
  <si>
    <t>10.1016/j.gca.2018.01.002</t>
  </si>
  <si>
    <t>FW0HF</t>
  </si>
  <si>
    <t>WOS:000424973700009</t>
  </si>
  <si>
    <t>Maznah, WOW; Intan, S; Sharifah, R; Lim, CC</t>
  </si>
  <si>
    <t>Maznah, W. O. Wan; Intan, S.; Sharifah, R.; Lim, C. C.</t>
  </si>
  <si>
    <t>Lentic and lotic assemblages of zooplankton in a tropical reservoir, and their association with water quality conditions</t>
  </si>
  <si>
    <t>INTERNATIONAL JOURNAL OF ENVIRONMENTAL SCIENCE AND TECHNOLOGY</t>
  </si>
  <si>
    <t>Cladocera; Copepoda; Water quality; Rotifera</t>
  </si>
  <si>
    <t>ATTACHED DIATOM COMMUNITIES; RIVER; ABUNDANCE; MALAYSIA; BRAZIL; LAKES</t>
  </si>
  <si>
    <t>Zooplankton assemblages in relation to water quality parameters at lentic and lotic habitats of Air Itam Reservoir, Penang, Malaysia, were analysed. Five sampling stations were designated, including three stations located in the reservoir (Stations A, B, and C) and two stations in the upstream inflow and downstream outflow (Stations D and E, respectively). The most common and dominant zooplankton found in the lake were Polyarthra vulgaris, Ceriodaphnia cornuta, Mesocyclops leuckarti, and Thermocyclops crassus. Water Quality Index, calculated as recommended by the Malaysian Department of Environment, ranged between 88.46 and 93.6, showed that the reservoir was clean. Low numbers of species and value of the Shannon-Wiener Diversity Index were recorded at stations located upstream and downstream of the reservoir. Cluster analysis based on the abundance of zooplankton species distinguished the sampling stations into two groups (lentic and lotic groups, comprised of Stations A, B, and C; and Stations D and E, respectively). This study showed that zooplankton occurrence and abundance were associated with the quality of their environment, and zooplankton community provides information about the reservoir ecosystem, thus reflecting the importance of biomonitoring in lake assessment and management.</t>
  </si>
  <si>
    <t>[Maznah, W. O. Wan; Intan, S.; Lim, C. C.] Univ Sains Malaysia, Sch Biol Sci, Minden 11800, Penang, Malaysia; [Maznah, W. O. Wan] Univ Sains Malaysia, Ctr Marine &amp; Coastal Studies CEMACS, Teluk Bahang 11050, Penang, Malaysia; [Sharifah, R.] Univ Malaysia Terengganu, Sch Fisheries &amp; Aquaculture Sci, Kuala Terengganu 21030, Terengganu, Malaysia</t>
  </si>
  <si>
    <t>Universiti Sains Malaysia; Universiti Sains Malaysia; Universiti Malaysia Terengganu</t>
  </si>
  <si>
    <t>Maznah, WOW (corresponding author), Univ Sains Malaysia, Sch Biol Sci, Minden 11800, Penang, Malaysia.;Maznah, WOW (corresponding author), Univ Sains Malaysia, Ctr Marine &amp; Coastal Studies CEMACS, Teluk Bahang 11050, Penang, Malaysia.</t>
  </si>
  <si>
    <t>wmaznah@usm.my</t>
  </si>
  <si>
    <t>Universiti Sains Malaysia (USM) Short-term Term Research Grant</t>
  </si>
  <si>
    <t>The authors would like to thank staff and students of School of Biological Sciences, Universiti Sains Malaysia (USM) for their help in the field and laboratory analysis. Thanks are also due to Penang Water Resource Authority (Perbadanan Bekalan Air (PBA) Pulau Pinang) for their logistic support and for giving basic information on the Air Itam Reservoir. We are indebted to Prof. Peter Convey of British Antarctic Survey, UK, for his constructive criticisms on the manuscript. This research was funded by a Universiti Sains Malaysia (USM) Short-term Term Research Grant.</t>
  </si>
  <si>
    <t>1735-1472</t>
  </si>
  <si>
    <t>1735-2630</t>
  </si>
  <si>
    <t>INT J ENVIRON SCI TE</t>
  </si>
  <si>
    <t>Int. J. Environ. Sci. Technol.</t>
  </si>
  <si>
    <t>10.1007/s13762-017-1412-1</t>
  </si>
  <si>
    <t>FY8LI</t>
  </si>
  <si>
    <t>WOS:000427115800006</t>
  </si>
  <si>
    <t>Rybak, O; Volodin, E; Morozova, P; Nevecherja, A</t>
  </si>
  <si>
    <t>Rybak, Oleg; Volodin, Evgeny; Morozova, Polina; Nevecherja, Artiom</t>
  </si>
  <si>
    <t>Incorporation of ice sheet models into an Earth system model: Focus on methodology of coupling</t>
  </si>
  <si>
    <t>Earth system model; Greenland; Antarctica; ice sheet; climate dynamics; surface mass balance</t>
  </si>
  <si>
    <t>SURFACE MASS-BALANCE; RESOLUTION CLIMATE MODEL; CRYOSPHERIC COMPONENT; NUMERICAL-SIMULATION; GREENLAND; TEMPERATURE; SENSITIVITY; PARAMETERIZATIONS; PRECIPITATION; ACCUMULATION</t>
  </si>
  <si>
    <t>Elaboration of a modern Earth system model (ESM) requires incorporation of ice sheet dynamics. Coupling of an ice sheet model (ICM) to an AOGCM is complicated by essential differences in spatial and temporal scales of cryospheric, atmospheric and oceanic components. To overcome this difficulty, we apply two different approaches for the incorporation of ice sheets into an ESM. Coupling of the Antarctic ice sheet model (AISM) to the AOGCM is accomplished via using procedures of resampling, interpolation and assigning to the AISM grid points annually averaged meanings of air surface temperature and precipitation fields generated by the AOGCM. Surface melting, which takes place mainly on the margins of the Antarctic peninsula and on ice shelves fringing the continent, is currently ignored. AISM returns anomalies of surface topography back to the AOGCM. To couple the Greenland ice sheet model (GrISM) to the AOGCM, we use a simple buffer energy-and water-balance model (EWBM-G) to account for orographically-driven precipitation and other sub-grid AOGCM-generated quantities. The output of the EWBM-G consists of surface mass balance and air surface temperature to force the GrISM, and freshwater run-off to force thermohaline circulation in the oceanic block of the AOGCM. Because of a rather complex coupling procedure of GrIS compared to AIS, the paper mostly focuses on Greenland.</t>
  </si>
  <si>
    <t>[Rybak, Oleg; Volodin, Evgeny; Morozova, Polina; Nevecherja, Artiom] RAS, Inst Numer Math, 8 Gubkina Str, Moscow 119333, Russia; [Rybak, Oleg] RAS, Sochi Res Ctr, 8a Theatralnaya Str, Soci 354000, Russia; [Morozova, Polina] RAS, Inst Geog, 37 Vavilova Str, Moscow 117312, Russia; [Nevecherja, Artiom] Kuban State Univ, 149 Stavropolskaya Str, Krasnodar 354040, Russia</t>
  </si>
  <si>
    <t>Russian Academy of Sciences; Russian Academy of Sciences; Sochi Research Center, RAS; Russian Academy of Sciences; Institute of Geography, Russian Academy of Sciences; Kuban State University</t>
  </si>
  <si>
    <t>Rybak, O (corresponding author), RAS, Inst Numer Math, 8 Gubkina Str, Moscow 119333, Russia.;Rybak, O (corresponding author), RAS, Sochi Res Ctr, 8a Theatralnaya Str, Soci 354000, Russia.</t>
  </si>
  <si>
    <t>Oleg@Rybak.vub.be</t>
  </si>
  <si>
    <t>\\volodin, Evgeny/F-9571-2013; Rybak, Oleg/AAQ-8467-2020; Morozova, Polina A./A-3471-2014; Nevecherya, Artyom/GOK-2295-2022; Rybak, Oleg/B-7308-2014</t>
  </si>
  <si>
    <t>Rybak, Oleg/0000-0002-7234-0544; Nevecherya, Artyom/0000-0001-6736-4691; Rybak, Oleg/0000-0003-3923-7163</t>
  </si>
  <si>
    <t>Russian Science Foundation [14-27-00126]</t>
  </si>
  <si>
    <t>Russian Science Foundation(Russian Science Foundation (RSF))</t>
  </si>
  <si>
    <t>This paper is dedicated to the memory of Julian Adem (1924-2015, Universidad Nacional Autonoma de Mexico, UNAM), who brilliantly proved that simplified modelling methods could be successfully applied in climatological studies. Research was carried out in the Institute of Numerical Mathematics of RAS (Moscow) and was supported by the Russian Science Foundation (Project No. 14-27-00126 'Study of the Earth's climate with the next generation Earth system model'). Authors appreciate comments of anonymous reviewers, which helped to essentially improving earlier version of the paper.</t>
  </si>
  <si>
    <t>2347-4327</t>
  </si>
  <si>
    <t>10.1007/s12040-018-0930-7</t>
  </si>
  <si>
    <t>GA4OV</t>
  </si>
  <si>
    <t>WOS:000428310600015</t>
  </si>
  <si>
    <t>Todd, J; Christoffersen, P; Zwinger, T; Råback, P; Chauché, N; Benn, D; Luckman, A; Ryan, J; Toberg, N; Slater, D; Hubbard, A</t>
  </si>
  <si>
    <t>Todd, Joe; Christoffersen, Poul; Zwinger, Thomas; Raback, Peter; Chauche, Nolwenn; Benn, Doug; Luckman, Adrian; Ryan, Johnny; Toberg, Nick; Slater, Donald; Hubbard, Alun</t>
  </si>
  <si>
    <t>A Full-Stokes 3-D Calving Model Applied to a Large Greenlandic Glacier</t>
  </si>
  <si>
    <t>calving; Greenland; modeling</t>
  </si>
  <si>
    <t>ICE-SHEET MODEL; FRACTURE-MECHANICS APPROACH; SEA-LEVEL RISE; TIDEWATER GLACIERS; WEST GREENLAND; JAKOBSHAVN ISBRAE; OUTLET GLACIERS; GROUNDING LINES; MELT RATES; DYNAMICS</t>
  </si>
  <si>
    <t>Iceberg calving accounts for around half of all mass loss from both the Greenland and Antarctic ice sheets. The diverse nature of calving and its complex links to both internal dynamics and climate make it challenging to incorporate into models of glaciers and ice sheets. Here we present results from a new open-source 3-D full-Stokes calving model developed in Elmer/Ice. The calving model implements the crevasse depth criterion, which states that calving occurs when surface and basal crevasses penetrate the full thickness of the glacier. The model also implements a new 3-D rediscretization approach and a time-evolution scheme which allow the calving front to evolve realistically through time. We test the model in an application to Store Glacier, one of the largest outlet glaciers in West Greenland, and find that it realistically simulates the seasonal advance and retreat when two principal environmental forcings are applied. These forcings are (1) submarine melting in distributed and concentrated forms and (2) ice melange buttressing. We find that ice melange buttressing is primarily responsible for Store Glacier's seasonal advance and retreat. Distributed submarine melting prevents the glacier from forming a permanent floating tongue, while concentrated plume melting has a disproportionately large and potentially destabilizing effect on the calving front position. Our results also highlight the importance of basal topography, which exerts a strong control on calving, explaining why Store Glacier has remained stable during a period when neighboring glaciers have undergone prolonged interannual retreat. Plain Language Summary Most freshwater on our planet is stored as ice in the ice sheets of Greenland and Antarctica. The ice sheet in Greenland is currently losing mass at a rate that is equal to 1mm/year of sea level rise. Around half of the ice loss in Greenland is lost through icebergs released into the sea through a process called calving. Iceberg calving is poorly understood and has so far not been included in 3-D models needed to predict sea level rise. Recent studies show that warming of the air and ocean is linked to more calving, but we still do not understand these links sufficiently to make predictions. This study presents a new computer model, which is the first to simulate glacier flow and iceberg calving in 3-D, and investigates calving at Store Glacier in Greenland. We test the model by reproducing the present-day seasonal cycle of the glacier and find that fractures forming on the surface as well as the bottom of the glacier control the calving rate. We show that the calving rate is influenced by submarine melting of the calving ice front as well as by ice melange, which is a mixture of icebergs and sea ice forming in front of the glacier in winter.</t>
  </si>
  <si>
    <t>[Todd, Joe; Benn, Doug] Univ St Andrews, Dept Geog &amp; Sustainable Dev, St Andrews, Fife, Scotland; [Todd, Joe; Christoffersen, Poul; Toberg, Nick] Univ Cambridge, Scott Polar Res Inst, Cambridge, England; [Zwinger, Thomas; Raback, Peter] CSC IT Ctr Sci, Espoo, Finland; [Chauche, Nolwenn] Access Arctic SARL, Sauvigny Les Bois, France; [Luckman, Adrian] Swansea Univ, Dept Geog, Coll Sci, Swansea, W Glam, Wales; [Ryan, Johnny; Hubbard, Alun] Aberystwyth Univ, Inst Geog &amp; Earth Sci, Ctr Glaciol, Aberystwyth, Dyfed, Wales; [Slater, Donald] Univ Edinburgh, Sch Geosci, Edinburgh, Midlothian, Scotland; [Hubbard, Alun] Arctic Univ Norway, Dept Geol, Ctr Arctic Gas Hydrate Environm &amp; Climate, Tromso, Norway</t>
  </si>
  <si>
    <t>University of St Andrews; University of Cambridge; Swansea University; Aberystwyth University; University of Edinburgh; UiT The Arctic University of Tromso</t>
  </si>
  <si>
    <t>Todd, J (corresponding author), Univ St Andrews, Dept Geog &amp; Sustainable Dev, St Andrews, Fife, Scotland.;Todd, J (corresponding author), Univ Cambridge, Scott Polar Res Inst, Cambridge, England.</t>
  </si>
  <si>
    <t>jat39@st-andrews.ac.uk</t>
  </si>
  <si>
    <t>Luckman, Adrian/GVS-1716-2022; Christoffersen, Poul/W-3708-2019; Raback, Peter/R-1696-2018; Hubbard, Alun/R-5085-2017; Zwinger, Thomas/H-5163-2018</t>
  </si>
  <si>
    <t>Christoffersen, Poul/0000-0003-2643-8724; Raback, Peter/0000-0002-3243-6314; Benn, Douglas/0000-0002-3604-0886; Todd, Joe/0000-0003-3183-043X; Hubbard, Alun/0000-0002-0503-3915; Zwinger, Thomas/0000-0003-3360-4401; Luckman, Adrian/0000-0002-9618-5905; Slater, Donald/0000-0001-8394-6149</t>
  </si>
  <si>
    <t>Natural Environment Research Council [NE/K500884/1, NE/K005871/1]; PRACE-3IP project DynaMITE [FP7 RI-312763]; BBC's Operation Iceberg; Aberystwyth University Research Fund; Centre for Arctic Gas Hydrate, Environment and Climate - Research Council of Norway through its Centres of Excellence [223259]; ConocoPhillips-Lundin Northern Area Program through the CRIOS project; European Research Council under the European Union's Horizon program [683043]; European Research Council (ERC) [683043] Funding Source: European Research Council (ERC); Natural Environment Research Council [1223499, smru10001, NE/K005871/1, 1363846] Funding Source: researchfish; NERC [NE/K005871/1] Funding Source: UKRI</t>
  </si>
  <si>
    <t>Natural Environment Research Council(UK Research &amp; Innovation (UKRI)Natural Environment Research Council (NERC)); PRACE-3IP project DynaMITE; BBC's Operation Iceberg; Aberystwyth University Research Fund; Centre for Arctic Gas Hydrate, Environment and Climate - Research Council of Norway through its Centres of Excellence; ConocoPhillips-Lundin Northern Area Program through the CRIOS project; European Research Council under the European Union's Horizon program; European Research Council (ERC)(European Research Council (ERC)Spanish Government); Natural Environment Research Council(UK Research &amp; Innovation (UKRI)Natural Environment Research Council (NERC)); NERC(UK Research &amp; Innovation (UKRI)Natural Environment Research Council (NERC))</t>
  </si>
  <si>
    <t>This study was funded by the Natural Environment Research Council through a PhD studentship to J.T. (grant NE/K500884/1) and a research grant (NE/K005871/1) to P.C. We acknowledge that the results of this research have been achieved using the PRACE-3IP project DynaMITE (FP7 RI-312763) awarded to J.T. and P.C. with resource Sisu based in Finland at CSC. We thank Michiel van den Broeke for providing RACMO climate data. A.H. gratefully acknowledges field support from the BBC's Operation Iceberg, the Aberystwyth University Research Fund, and a Professorial Fellowship from the Centre for Arctic Gas Hydrate, Environment and Climate, funded by the Research Council of Norway through its Centres of Excellence (grant 223259). We are grateful to the crew of S/V Gambo who conducted the side scan surveys. Acquisition of TerraSAR-X imagery was funded by the ConocoPhillips-Lundin Northern Area Program through the CRIOS project. P.C. also acknowledges support from the European Research Council under the European Union's Horizon 2020 program (grant agreement 683043). The code constituting the 3-D calving model has been made freely available via integration with the Elmer/Ice source code, available at https://github.com/ElmerCSC/elmerfem/tree/elmerice. Model output data are available from the NERC Polar Data Centre at http://doi.org/chg7. Landsat Surface Reflectance products courtesy of the U.S. Geological Survey.</t>
  </si>
  <si>
    <t>10.1002/2017JF004349</t>
  </si>
  <si>
    <t>GD6WL</t>
  </si>
  <si>
    <t>WOS:000430649400001</t>
  </si>
  <si>
    <t>Saynisch, J; Irrgang, C; Thomas, M</t>
  </si>
  <si>
    <t>Saynisch, J.; Irrgang, C.; Thomas, M.</t>
  </si>
  <si>
    <t>On the Use of Satellite Altimetry to Detect Ocean Circulation's Magnetic Signals</t>
  </si>
  <si>
    <t>oceanic induction; remote sensing; satellite altimetry; ocean currents; ocean heat budget</t>
  </si>
  <si>
    <t>MODEL-BASED SENSITIVITY; ELECTRIC-FIELD; TIDAL SIGNALS; UPPER-MANTLE; IN-SITU; CONDUCTIVITY; INDUCTION; IMPACT; SWARM; FLOW</t>
  </si>
  <si>
    <t>Oceanic magnetic signals are sensitive to ocean velocity, salinity, and heat content. The detection of respective signals with global satellite magnetometers would pose a very valuable source of information. While tidal magnetic fields are already detected, electromagnetic signals of the ocean circulation still remain unobserved from space. We propose to use satellite altimetry to construct proxy magnetic signals of the ocean circulation. These proxy time series could subsequently be fitted to satellite magnetometer data. The fitted data could be removed from the observations or the fitting constants could be analyzed for physical properties of the ocean, e.g., the heat budget. To test and evaluate this approach, synthetic true and proxy magnetic signals are derived from a global circulation model of the ocean. Both data sets are compared in dependence of location and time scale. We study and report when and where the proxy data describe the true signal sufficiently well. Correlations above 0.6 and explained variances of above 80% can be reported for large parts of the Antarctic ocean, thus explaining the major part of the global, subseasonal magnetic signal. Plain Language Summary Oceans are a crucial part of Earth's climate system. Satellite magnetometers could pose as a unique and valuable source of oceanic information. Unfortunately, magnetic signals of ocean circulation are not jet detected from space. This manuscript proposes to use satellite altimetry as a by-pass to generate characteristic magnetic time series of the ocean circulation. These characteristic time series can subsequently be searched for with satellite magnetometers. If successful, this would allow to observe, for example, changes in the ocean heat budget.</t>
  </si>
  <si>
    <t>[Saynisch, J.; Irrgang, C.; Thomas, M.] GFZ German Res Ctr, Helmholtz Ctr Potsdam, Earth Syst Modelling, Potsdam, Germany; [Thomas, M.] Free Univ Berlin, Inst Meteorol, Berlin, Germany</t>
  </si>
  <si>
    <t>Helmholtz Association; Helmholtz-Center Potsdam GFZ German Research Center for Geosciences; Free University of Berlin</t>
  </si>
  <si>
    <t>Saynisch, J (corresponding author), GFZ German Res Ctr, Helmholtz Ctr Potsdam, Earth Syst Modelling, Potsdam, Germany.</t>
  </si>
  <si>
    <t>saynisch@gfz-potsdam.de</t>
  </si>
  <si>
    <t>Saynisch-Wagner, Jan/JVM-7971-2024</t>
  </si>
  <si>
    <t>Irrgang, Christopher/0000-0001-8274-1678; Saynisch-Wagner, Jan/0000-0001-9619-0336</t>
  </si>
  <si>
    <t>Helmholtz Foundation; German Research Foundation (SPP1788 Dynamic Earth)</t>
  </si>
  <si>
    <t>Helmholtz Foundation(Helmholtz Association); German Research Foundation (SPP1788 Dynamic Earth)</t>
  </si>
  <si>
    <t>This study has been funded by the Helmholtz Foundation and the German Research Foundation (SPP1788 Dynamic Earth). The authors thank for the opportunity to use ERA-Interim data from the European Centre for Medium-Range Weather Forecasts, the World Ocean Atlas, and facilities from the German High Performance Computing Centre for Climate, and Earth System Research. Atmospheric forcing data are available from www.ecmwf.int. The WOA data can be downloaded from https://www.nodc.noaa.gov/OC5/woa13/. We thank Alexey Kuvshinov (kuvshinov@erdw.ethz.ch) for the opportunity to use the 3-D EM induction solver X3DG. We thank two reviewers for their assistance on this manuscript. The derived explained variance of the electric currents can be downloaded from ftp.gfz-potsdam.de/pub/home/ig/saynisch/oc_induction/Rev/Jel.</t>
  </si>
  <si>
    <t>10.1002/2017JC013742</t>
  </si>
  <si>
    <t>GE0PV</t>
  </si>
  <si>
    <t>WOS:000430918500041</t>
  </si>
  <si>
    <t>Eswaraiah, S; Kim, YH; Lee, J; Ratnam, MV; Rao, SVB</t>
  </si>
  <si>
    <t>Eswaraiah, S.; Kim, Yong Ha; Lee, Jaewook; Ratnam, M. Vankat; Rao, S. V. B.</t>
  </si>
  <si>
    <t>Effect of Southern Hemisphere Sudden Stratospheric Warmings on Antarctica Mesospheric Tides: First Observational Study</t>
  </si>
  <si>
    <t>sudden stratospheric warming; stratosphere-MLT coupling; MLT tides; planetary waves; MF radar; meteor radar</t>
  </si>
  <si>
    <t>LOWER THERMOSPHERE; SEMIDIURNAL TIDE; PLANETARY-WAVES; METEOR RADAR; SEASONAL-VARIATION; UPPER-ATMOSPHERE; EVENTS; MLT; CLIMATOLOGY; OSCILLATION</t>
  </si>
  <si>
    <t>We analyzed the structure and variability of observed winds and tides in the Antarctica mesosphere and lower thermosphere (MLT) during the 2002 major sudden stratospheric warming (SSW) and the 2010 minor SSWs. We noted the effect of SSW on the variability of MLT tides for the first time in the Southern Hemisphere, although it has been well recognized in the Northern Hemisphere. We utilized the winds measured by Rothera (68 degrees S, 68 degrees W) medium frequency radar and King Sejong Station (62.22 degrees S, 58.78 degrees W) meteor radar for estimating the tidal components (diurnal, semi-diurnal, and ter-diurnal) in the MLT region. The unusual behavior of diurnal tide (DT) and semidiurnal tide (SDT) was observed in 2002. Zonal SDT amplitudes were enhanced up to 27 m/s after 18 days from the associated SSW day. However, the meridional tidal amplitudes of both DT and SDT suddenly decreased during the peak SSW, and SDT amplitudes slightly increased to 18 m/s afterward. In the normal years, SDT amplitude stays below 15 m/s. During the 2010 SSW, SDT zonal amplitudes increased up to 40 m/s and 50 m/s at altitudes of 80 km and 90 km, respectively, similar to 30 days after the associated SSW. Similar but weaker effect is noticed in the meridional components. The ter-diurnal tide does not show any significant variation during the SSW. The two SSWs offered a challenging issue to answer: why tidal amplitudes are enhanced with a delay after the SSW. The reasons for the delay are discussed in accordance with theoretical predictions.</t>
  </si>
  <si>
    <t>[Eswaraiah, S.; Kim, Yong Ha; Lee, Jaewook] Chungnam Natl Univ, Dept Astron Space Sci &amp; Geol, Daejeon, South Korea; [Ratnam, M. Vankat] NARL, Tirupati, Andhra Pradesh, India; [Rao, S. V. B.] Sri Venkateswara Univ, Dept Phys, Tirupati, Andhra Pradesh, India</t>
  </si>
  <si>
    <t>Chungnam National University; Department of Space (DoS), Government of India; National Atmospheric Research Laboratory (NARL); Sri Venkateswara University</t>
  </si>
  <si>
    <t>Kim, YH (corresponding author), Chungnam Natl Univ, Dept Astron Space Sci &amp; Geol, Daejeon, South Korea.</t>
  </si>
  <si>
    <t>yhkim@cnu.ac.kr</t>
  </si>
  <si>
    <t>Kim, Yong Ha/AAS-9908-2021</t>
  </si>
  <si>
    <t>Kim, Yongha/0000-0003-0200-9423; Vijaya Bhaskara Rao, Sarangam/0000-0002-8755-027X; Venkat Ratnam, M./0000-0002-3882-2523</t>
  </si>
  <si>
    <t>Korea Polar Research Institute [PE17020]; National Research Foundation in Korea [2016912160]</t>
  </si>
  <si>
    <t>Korea Polar Research Institute(Korea Polar Research Institute of Marine Research Placement (KOPRI)); National Research Foundation in Korea(National Research Foundation of Korea)</t>
  </si>
  <si>
    <t>This work was supported by the Korea Polar Research Institute (PE17020) and the National Research Foundation in Korea (2016912160). The KSS MR data set is available for use by other researchers from a website (space-science.cnu.ac.kr). The authors would like to thank the staff of the British Antarctic Survey who were involved in the maintenance and operation of the RMFR. The authors thank MLS and ERA-Interim team for providing data through their respective FTP sites. The authors greatly acknowledge Dennis Riggin's contribution to this work before his untimely pass away. Our sincere thanks to N. Prabhakara Rao for his helpful suggestions and proofreading of the manuscript. Helpful discussions with Loren Chang are also acknowledged.</t>
  </si>
  <si>
    <t>10.1002/2017JA024839</t>
  </si>
  <si>
    <t>GC9NR</t>
  </si>
  <si>
    <t>WOS:000430125300030</t>
  </si>
  <si>
    <t>Kim, HD; Kim, SM; Choi, JI</t>
  </si>
  <si>
    <t>Kim, Hyun-Do; Kim, Su-Mi; Choi, Jong-Il</t>
  </si>
  <si>
    <t>Purification, Characterization, and Cloning of a Cold-Adapted Protease from Antarctic Janthinobacterium lividum</t>
  </si>
  <si>
    <t>Cold-adapted protease; Janthinobacterium lividum; purification; expression</t>
  </si>
  <si>
    <t>ALKALINE PROTEASE; EXTRACELLULAR PROTEASES; BACTERIUM</t>
  </si>
  <si>
    <t>In this study, a 107 kDa protease from psychrophilic Janthinobacterium lividum PAMC 26541 was purified by anion-exchange chromatography. The specific activity of the purified protease was 264 U/mg, and the overall yield was 12.5%. The J. lividum PAMC 25641 protease showed optimal activity at pH 7.0-7.5 and 40 degrees C. Protease activity was inhibited by PMSF, but not by DTT. On the basis of the N-terminal sequence of the purified protease, the gene encoding the cold-adapted protease from J. lividum PAMC 25641 was cloned into the pET-28a(+) vector and heterologously expressed in Escherichia coli BL21(DE3) as an intracellular soluble protein.</t>
  </si>
  <si>
    <t>[Kim, Hyun-Do; Kim, Su-Mi; Choi, Jong-Il] Chonnam Natl Univ, Interdisciplinary Program Bioenergy &amp; Biomat, Dept Biotechnol &amp; Bioengn, Gwangju 61186, South Korea</t>
  </si>
  <si>
    <t>Chonnam National University</t>
  </si>
  <si>
    <t>Choi, JI (corresponding author), Chonnam Natl Univ, Interdisciplinary Program Bioenergy &amp; Biomat, Dept Biotechnol &amp; Bioengn, Gwangju 61186, South Korea.</t>
  </si>
  <si>
    <t>choiji01@chonnam.ac.kr</t>
  </si>
  <si>
    <t>Choi, Jong-Il/P-7476-2018</t>
  </si>
  <si>
    <t>National Research Foundation of Korea (NRF) grant - Korea government (MSIP) [NRF-2015R1A2A2A01004733]; Golden Seed Project, Ministry of Agriculture, Ministry of Oceans and Fisheries [213008-05-2-SB910]</t>
  </si>
  <si>
    <t>National Research Foundation of Korea (NRF) grant - Korea government (MSIP); Golden Seed Project, Ministry of Agriculture, Ministry of Oceans and Fisheries</t>
  </si>
  <si>
    <t>This study was financially supported by a National Research Foundation of Korea (NRF) grant funded by the Korea government (MSIP) (No. NRF-2015R1A2A2A01004733), and by the Golden Seed Project (213008-05-2-SB910), Ministry of Agriculture, Ministry of Oceans and Fisheries.</t>
  </si>
  <si>
    <t>10.4014/jmb.1711.11006</t>
  </si>
  <si>
    <t>GA6TK</t>
  </si>
  <si>
    <t>WOS:000428467000014</t>
  </si>
  <si>
    <t>Panter, KS; Castillo, P; Krans, S; Deering, C; McIntosh, W; Valley, JW; Kitajima, K; Kyle, P; Hart, S; Blusztajn, J</t>
  </si>
  <si>
    <t>Panter, Kurt S.; Castillo, Paterno; Krans, Susan; Deering, Chad; McIntosh, William; Valley, John W.; Kitajima, Kouki; Kyle, Philip; Hart, Stan; Blusztajn, Jerzy</t>
  </si>
  <si>
    <t>Melt Origin across a Rifted Continental Margin: a Case for Subduction-related Metasomatic Agents in the Lithospheric Source of Alkaline Basalt, NW Ross Sea, Antarctica</t>
  </si>
  <si>
    <t>JOURNAL OF PETROLOGY</t>
  </si>
  <si>
    <t>40Ar/39Ar ages; geochemistry; Sr-Nd-Pb-O isotopes; West Antarctic rift system</t>
  </si>
  <si>
    <t>NORTHERN VICTORIA-LAND; MARIE-BYRD-LAND; OXYGEN-ISOTOPE EVIDENCE; LARGE IGNEOUS PROVINCE; UPPER-MANTLE STRUCTURE; IN-SITU MEASUREMENTS; TRACE-ELEMENT; NEW-ZEALAND; WEST ANTARCTICA; INTRAPLATE VOLCANISM</t>
  </si>
  <si>
    <t>Alkaline magmatism associated with the West Antarctic rift system in the NW Ross Sea (NWRS) includes a north-south chain of shield volcano complexes extending 260km along the coast of Northern Victoria Land (NVL), numerous small volcanic seamounts located on the continental shelf and hundreds more within an 35 000km 2 area of the oceanic Adare Basin. New 40 Ar/39 Ar age dating and geochemistry confirm that the seamounts are of Pliocene-Pleistocene age and petrogenetically akin to the mostly middle to late Miocene volcanism on the continent, as well as to a much broader region of diffuse alkaline volcanism that encompasses areas of West Antarctica, Zealandia and eastern Australia. All of these continental regions were contiguous prior to the late-stage breakup of Gondwana at 100 Ma, suggesting that the magmatism is interrelated, yet the mantle source and cause of melting remain controversial. The NWRS provides a rare opportunity to study cogenetic volcanism across the transition from continent to ocean and consequently offers a unique perspective from which to evaluate mantle processes and the roles of lithospheric and sublithospheric sources for mafic alkaline magmas. Mafic alkaline magmas with &gt; 6wt % MgO (alkali basalt, basanite, hawaiite, and tephrite) erupted across the transition from continent to ocean in the NWRS show a remarkable systematic increase in silica-undersaturation, P2O5, Sr, Zr, Nb and light rare earth element (LREE) concentrations, as well as LREE/HREE (heavy REE) and Nb/Y ratios. Radiogenic isotopes also vary, with Nd and Pb isotopic compositions increasing and Sr isotopic compositions decreasing oceanward. These variations cannot be explained by shallow-level crustal contamination or by changes in the degree of mantle partial melting, but are considered to be a function of the thickness and age of the mantle lithosphere. We propose that the isotopic signature of the most silica-undersaturated and incompatible element enriched basalts best represent the composition of the sub-lithospheric magma source with low 87 Sr/86 Sr ( 0 7030) and d 18 Oolivine ( 5 0&amp;), and high 143 Nd/144 Nd ( 0 5130) and 206 Pb/204 Pb ( 20). The isotopic ` endmember' signature of the sub-lithospheric source is derived from recycled subducted materials and was transferred to the lithospheric mantle by small-degree melts (carbonate-rich silicate liquids) to form amphibole-rich metasomes. Later melting of the metasomes produced silica-undersaturated liquids that reacted with the surrounding peridotite. This reaction occurred to a greater extent as the melt traversed through thicker and older lithosphere continentward. Ancient and/ or more recent ( 550-100 Ma) subduction along the Pan-Pacific margin of Gondwana supplied the recycled subduction-related material to the asthenosphere. Melting and carbonate metasomatism were triggered during major episodes of extension beginning in the Late Cretaceous, but alkaline magmatism was very limited in its extent. A significant delay of 30 to 20 Myr between extension and magmatism was probably controlled by conductive heating and the rate of thermal migration at the base of the lithosphere. Heating was facilitated by regional mantle upwelling, possibly driven by slab detachment and sinking into the lower mantle and/ or by edge-driven mantle flow established at the boundary between the thinned lithosphere of the West Antarctic rift and the thick East Antarctic craton.</t>
  </si>
  <si>
    <t>[Panter, Kurt S.] Bowling Green State Univ, Dept Geol, Bowling Green, OH 43403 USA; [Castillo, Paterno] Univ Calif San Diego, Scripps Inst Oceanog, La Jolla, CA 92093 USA; [Krans, Susan] Michigan State Univ, Dept Earth &amp; Environm Sci, E Lansing, MI 48824 USA; [Deering, Chad] Michigan Tech Univ, Dept Geol &amp; Min Engn &amp; Sci, Houghton, MI 49931 USA; [McIntosh, William] New Mexico Bur Geol &amp; Mineral Resources, Socorro, NM 87801 USA; [Valley, John W.; Kitajima, Kouki] Univ Wisconsin, Dept Geosci, Madison, WI 53706 USA; [Kyle, Philip] New Mexico Inst Min &amp; Technol, Dept Earth &amp; Environm Sci, Socorro, NM 87801 USA; [Hart, Stan; Blusztajn, Jerzy] Woods Hole Oceanog Inst, Woods Hole, MA 02543 USA</t>
  </si>
  <si>
    <t>University System of Ohio; Bowling Green State University; University of California System; University of California San Diego; Scripps Institution of Oceanography; Michigan State University; Michigan Technological University; University of Wisconsin System; University of Wisconsin Madison; New Mexico Institute of Mining Technology; Woods Hole Oceanographic Institution</t>
  </si>
  <si>
    <t>Panter, KS (corresponding author), Bowling Green State Univ, Dept Geol, Bowling Green, OH 43403 USA.</t>
  </si>
  <si>
    <t>kpanter@bgsu.edu</t>
  </si>
  <si>
    <t>Valley, John W./B-3466-2011; Panter, Kurt S/B-4486-2010</t>
  </si>
  <si>
    <t>Valley, John W./0000-0003-3530-2722; Kitajima, Kouki/0000-0001-7634-4924; Krans, Susan/0000-0002-3936-0850; Panter, Kurt S./0000-0002-0990-5880</t>
  </si>
  <si>
    <t>National Science Foundation [ANT 0943503, ANT 0943274, OPP 05-38374]; NSF [ANT 1141534, EAR 1355590]; University of Wisconsin-Madison; Division Of Earth Sciences; Directorate For Geosciences [1524336] Funding Source: National Science Foundation</t>
  </si>
  <si>
    <t>National Science Foundation(National Science Foundation (NSF)); NSF(National Science Foundation (NSF)); University of Wisconsin-Madison; Division Of Earth Sciences; Directorate For Geosciences(National Science Foundation (NSF)NSF - Directorate for Geosciences (GEO))</t>
  </si>
  <si>
    <t>This study was supported by National Science Foundation grants ANT 0943503, ANT 0943274 and OPP 05-38374. P.R.K. acknowledges support from NSF grant ANT 1141534. WiscSIMS is supported by NSF EAR 1355590 and the University of Wisconsin-Madison.</t>
  </si>
  <si>
    <t>0022-3530</t>
  </si>
  <si>
    <t>1460-2415</t>
  </si>
  <si>
    <t>J PETROL</t>
  </si>
  <si>
    <t>J. Petrol.</t>
  </si>
  <si>
    <t>10.1093/petrology/egy036</t>
  </si>
  <si>
    <t>GM6QM</t>
  </si>
  <si>
    <t>WOS:000438296700006</t>
  </si>
  <si>
    <t>Yuan, F; Liu, JJ; Carranza, EJM; Zhang, S; Zhai, DG; Liu, G; Wang, GW; Zhang, HY; Sha, YZ; Yang, SS</t>
  </si>
  <si>
    <t>Yuan, Feng; Liu, Jia-Jun; Carranza, Emmanuel John M.; Zhang, Shuai; Zhai, De-Gao; Liu, Gang; Wang, Gong-Wen; Zhang, Hong-Yuan; Sha, Ya-Zhou; Yang, Shang-Song</t>
  </si>
  <si>
    <t>Zircon trace element and isotopic (Sr, Nd, Hf, Pb) effects of assimilation-fractional crystallization of pegmatite magma: A case study of the Guangshigou biotite pegmatites from the North Qinling Orogen, central China</t>
  </si>
  <si>
    <t>LITHOS</t>
  </si>
  <si>
    <t>Assimilation-fraction crystallization; Zircon trace element; Isotope; Biotite pegmatite; Guangshigou</t>
  </si>
  <si>
    <t>ENERGY-CONSTRAINED ASSIMILATION; EARLY PALEOZOIC METAMORPHISM; MELT PARTITION-COEFFICIENTS; CANADA MINERAL COMPOSITIONS; PACIFIC-ANTARCTIC RISE; A-TYPE GRANITES; TI-IN-ZIRCON; U-PB; TECTONIC EVOLUTION; LU-HF</t>
  </si>
  <si>
    <t>Evidence for open-system magmatic processes related to wallrock assimilation accompanied by fractional crystallization (AFC) is present in the Guangshigou biotite pegmatites, North Qinling Orogen. The biotite pegmatite-gneiss contacts generally coincide with the greatest enrichment of U and Th. Zircon U-Pb dating constrains the crystallization ages of the biotite pegmatite (rim zone-415 +/- 2.6 Ma; internal zone-413.5 +/- 2.5 Ma), in line with a pyrite Pb-Pb isochron age (413 +/- 22 Ma). Metamict areas in zircon show generally elevated concentrations of trace elements and expulsion of radioactive Pb. Internal zone samples, representing uncontaminated magma, have negative to positive zircon (similar to 413 Ma) epsilon(Hf)(t) (-1.53 - +324), low epsilon(Nd)(t) values (-2.4), and old Hf and Nd model ages (t(DM2) = 1.5-1.19 Ga, T-2DM = 1.35 Ga, respectively), indicating a dominantly recycled Mesoproterozoic lower crustal material with involvement of some juvenile materials in the source region. The magmatic oxygen fugacity (fO(2)) and crystallization temperatures ranges from -24.81 to -13.34 of log fO(2) and 570 degrees C to 793 degrees C, respectively. Compared to the internal zone, pegmatite rim samples display a variable and lower epsilon(Nd)(t) values (-3.9 to -2.8) and T-2DM (1.47-137 Ga), but similar Hf isotopic compositions, favouring a three-component isotopic mixing model (recycled Mesoproterozoic lower crust materials, juvenile materials, and host gneiss). Pronounced variations of Ti, Y, U, Th, Hf, and REE concentrations in zircon from grain to grain in individual samples and from area to area within individual grains suggest a fluctuating crystallization environment in hybridized magma from which the rim-hosted zircons crystallized. Variable and high radiogenic Pb ratios of pyrites forming in the hybridized magma were inherited from the matrix. Zircons from both zones exhibit similar Hf isotope patterns, indicating the rim-hosted zircons crystallized during the early stage of hybridization of magma. However, the heterogeneous Nd isotopic composition in individual pegmatites imply an incorporation of wallrock-derived melt with less radiogenic Nd. (C) 2018 Elsevier B.V. All rights reserved.</t>
  </si>
  <si>
    <t>[Yuan, Feng; Liu, Jia-Jun; Zhang, Shuai; Zhai, De-Gao; Liu, Gang; Wang, Gong-Wen; Zhang, Hong-Yuan; Yang, Shang-Song] China Univ Geosci, State Key Lab Geol Proc &amp; Mineral Resources, Beijing 100083, Peoples R China; [Yuan, Feng; Liu, Jia-Jun; Zhang, Shuai; Zhai, De-Gao; Liu, Gang; Yang, Shang-Song] China Univ Geosci, Sch Earth Sci &amp; Resources, Beijing 100083, Peoples R China; [Carranza, Emmanuel John M.] Univ KwaZulu Natal, Sch Agr Earth &amp; Environm Sci, Durban, South Africa; [Carranza, Emmanuel John M.] James Cook Univ, Econ Geol Res Ctr EGRU, Townsville, Qld, Australia; [Sha, Ya-Zhou] Shaanxi Nucl Ind Geol Bur, 224 Geol Party, Xian 710024, Shaanxi, Peoples R China</t>
  </si>
  <si>
    <t>China University of Geosciences; China University of Geosciences; University of Kwazulu Natal; James Cook University</t>
  </si>
  <si>
    <t>Liu, JJ (corresponding author), China Univ Geosci, State Key Lab Geol Proc &amp; Mineral Resources, Beijing 100083, Peoples R China.</t>
  </si>
  <si>
    <t>liujiajun@cugb.edu.cn</t>
  </si>
  <si>
    <t>Wang, Gongwen/AAC-1682-2022; Carranza, Emmanuel John M./D-3837-2009</t>
  </si>
  <si>
    <t>Carranza, Emmanuel John M./0000-0003-1765-0352; Wang, Gongwen/0000-0002-0141-7209</t>
  </si>
  <si>
    <t>State Key Program of National Natural Science of China [41730426]; Major Basic Research Program of People's Republic of China [2014CB440903]; Specialized Research Fund for the Doctoral Program of Higher Education [20130022110001]; Work items of China Geological Survey [12120114014401]; State Administration of Foreign Experts Affairs, China [B07011]</t>
  </si>
  <si>
    <t>State Key Program of National Natural Science of China(National Natural Science Foundation of China (NSFC)); Major Basic Research Program of People's Republic of China; Specialized Research Fund for the Doctoral Program of Higher Education(Specialized Research Fund for the Doctoral Program of Higher Education (SRFDP)); Work items of China Geological Survey; State Administration of Foreign Experts Affairs, China</t>
  </si>
  <si>
    <t>This study was jointly funded by the State Key Program of National Natural Science of China (Grant No. 41730426), the Major Basic Research Program of People's Republic of China (Grant No. 2014CB440903), the Specialized Research Fund for the Doctoral Program of Higher Education (Grant No. 20130022110001), the Work items of China Geological Survey (Grant No. 12120114014401), and the State Administration of Foreign Experts Affairs, China (Grant No. B07011). We express our sincere appreciation to Editor-in-Chief Nelson Eby and two reviewers (Prof. Christine McKechnie and one anonymous reviewer) for their constructive reviews that have significantly improved the quality of this paper. We also thank Prof. David Lentz and Christophe Ballouard for their valuable suggestions.</t>
  </si>
  <si>
    <t>0024-4937</t>
  </si>
  <si>
    <t>1872-6143</t>
  </si>
  <si>
    <t>Lithos</t>
  </si>
  <si>
    <t>10.1016/j.lithos.2017.12.022</t>
  </si>
  <si>
    <t>GA7EN</t>
  </si>
  <si>
    <t>WOS:000428497500002</t>
  </si>
  <si>
    <t>Neal, L; Linse, K; Brasier, MJ; Sherlock, E; Glover, AG</t>
  </si>
  <si>
    <t>Neal, Lenka; Linse, Katrin; Brasier, Madeleine J.; Sherlock, Emma; Glover, Adrian G.</t>
  </si>
  <si>
    <t>Comparative marine biodiversity and depth zonation in the Southern Ocean: evidence from a new large polychaete dataset from Scotia and Amundsen seas</t>
  </si>
  <si>
    <t>MARINE BIODIVERSITY</t>
  </si>
  <si>
    <t>Antarctica; Southern Ocean; Amundsen Sea; Scotia Sea; Annelida; Polychaeta; Taxonomy; Deep Sea; Depth zonation</t>
  </si>
  <si>
    <t>ANTARCTIC ICE-SHEET; PINE ISLAND BAY; DEEP-SEA; CONTINENTAL-SHELF; SPECIES RICHNESS; ATLANTIC SECTOR; WEDDELL SEA; COMMUNITY STRUCTURE; BENTHIC DIVERSITY; SANDWICH ISLANDS</t>
  </si>
  <si>
    <t>Based on a dataset of 16,991 and 307 morphospecies of polychaete worms collected from 58 epibenthic sledge deployments across the Scotia and Amundsen Seas, we show that the structures of their shelf, deep-shelf and slope communities are composed of distinct polychaete assemblages spanning regions with high, intermediate, and low biodiversity. Depth has been identified as the main factor structuring the polychaete communities in both seas, countering the prevalent notion of extended eurybathy of the Southern Ocean benthos. From an evolutionary perspective, this strong dissimilarity between shelf and slope fauna could be interpreted as evidence for survival in shelf refugias, rather than migration into deeper waters during glacial maxima. The previously unsampled Amundsen Sea is shown to be diverse, harbouring a high level of taxonomic novelty, with many species new to science. The polychaete community of the inner shelf in the Amundsen Sea (Pine Island Bay) has also been shown to be of deep-sea character, likely due to intrusion of the Circumpolar Deep Water onto the shelf. In the Scotia Sea, our data support the notion of relatively high biodiversity of waters around the South Orkney Islands, South Georgia, and Shag Rocks (all recently established as Marine Protected Areas) and depressed diversity in the extreme environment of Southern Thule.</t>
  </si>
  <si>
    <t>[Neal, Lenka; Brasier, Madeleine J.; Sherlock, Emma; Glover, Adrian G.] Nat Hist Museum, Dept Life Sci, Cromwell Rd, London SW7 5BD, England; [Linse, Katrin] British Antarctic Survey, High Cross Madingley Rd, Cambridge CB3 0ET, England</t>
  </si>
  <si>
    <t>Natural History Museum London; UK Research &amp; Innovation (UKRI); Natural Environment Research Council (NERC); NERC British Antarctic Survey</t>
  </si>
  <si>
    <t>Glover, AG (corresponding author), Nat Hist Museum, Dept Life Sci, Cromwell Rd, London SW7 5BD, England.</t>
  </si>
  <si>
    <t>a.glover@nhm.ac.uk</t>
  </si>
  <si>
    <t>Brasier, Madeleine/0000-0003-2844-655X</t>
  </si>
  <si>
    <t>Natural History Museum, London; NERC [bas0100036] Funding Source: UKRI</t>
  </si>
  <si>
    <t>Natural History Museum, London; NERC(UK Research &amp; Innovation (UKRI)Natural Environment Research Council (NERC))</t>
  </si>
  <si>
    <t>The BIOPEARL project required a large amount of macrofaunal sorting over several years, and for this in particular we are indebted to Rebekah Baker, David Barnes, Ondine Cornubert, Stefanie Kaiser, Adam Reed, Chester Sands, and Marla Spencer. Imperial College Masters students Elizabeth Bryce and Thomas Writer assisted with specimen identification. We also thank Brian Bett for his support with the use of EstimateS software. NHM London volunteer Cate Huque assisted with the Darwin Core database and assembling of Fig. 6. We would also like to thank Huw Griffiths for providing the map in Fig. 1a and Olivia Martin-Sanchez for providing maps in Fig. 1b, c for this publication. We are particularly grateful to Peter Enderlein for his expertise in sample collection and cruise leadership during the BIOPEARL II expedition. Further thanks go to the crew of James Clark Ross on both BIOPEARL expeditions. Thanks also to Muriel Rabone for assistance with DarwinCore archive. Post-cruise sorting and analysis was also enabled by series of small internal grants provided by the Natural History Museum, London, as well as many hours of voluntary work by all people involved.</t>
  </si>
  <si>
    <t>1867-1616</t>
  </si>
  <si>
    <t>1867-1624</t>
  </si>
  <si>
    <t>MAR BIODIVERS</t>
  </si>
  <si>
    <t>Mar. Biodivers.</t>
  </si>
  <si>
    <t>10.1007/s12526-017-0735-y</t>
  </si>
  <si>
    <t>Biodiversity Conservation; Marine &amp; Freshwater Biology</t>
  </si>
  <si>
    <t>Biodiversity &amp; Conservation; Marine &amp; Freshwater Biology</t>
  </si>
  <si>
    <t>GA3WI</t>
  </si>
  <si>
    <t>WOS:000428260400040</t>
  </si>
  <si>
    <t>Armbrecht, LH; Lowe, V; Escutia, C; Iwai, M; Mckay, R; Armand, LK</t>
  </si>
  <si>
    <t>Armbrecht, Linda H.; Lowe, Vikki; Escutia, Carlota; Iwai, Masao; McKay, Robert; Armand, Leanne K.</t>
  </si>
  <si>
    <t>Variability in diatom and silicoflagellate assemblages during mid-Pliocene glacial-interglacial cycles determined in Hole U1361A of IODP Expedition 318, Antarctic Wilkes Land Margin</t>
  </si>
  <si>
    <t>Sea-surface temperature; Sea-ice; Fragilariopsis barronii; Rouxia naviculoides; Rouxia antarctica; Denticulopsis simonsenii; Chaetoceros resting spore</t>
  </si>
  <si>
    <t>SEA-LEVEL RISE; ICE-SHEET; SOUTHERN-OCEAN; SORSDAL FORMATION; AND-1B DRILLCORE; VESTFOLD HILLS; LATE MIOCENE; BIOSTRATIGRAPHY; DEPOSITION; CLIMATE</t>
  </si>
  <si>
    <t>The Earth is currently experiencing climatic changes that will result in similar environmental conditions to those experienced during the mid-Pliocene (5.3-3.6 million years ago [Ma]), such as similar atmospheric CO2 concentrations, elevated sea surface temperature, and higher sea-levels due to polar ice melt. Studying the temporal distribution of Antarctic diatoms and silicoflagellates from this epoch provides insights into environmental conditions and sea-ice configurations during that time, and remains the only way to realistically estimate future phytoplankton community responses and Southern Ocean sea-ice extent during large-scale transient changes of similar magnitude to that anticipated by anthropogenic causes. In this study, we identified and quantified diatoms and silicoflagellates in a sediment core section obtained from the Antarctic Wilkes Land margin (IODP Expedition 318, Hole U1361A), spanning four glacial and interglacial cycles around the Gauss/Gilbert geochron boundary (3.6 Ma) between about 3.69 and 3.56 Ma. Two major abundance peaks (around 79.66 and 76.86 mbsf; representing time intervals around 3.65 Ma and 3.58 Ma, respectively) were identified. Both peaks temporally match previously determined high productivity warm intervals (interglacials). Diatom and silicoflagellate assemblages in these two interglacial periods differed: the abundance peak in the older sediments is dominated by the pennate diatoms Fragilariopsis barronii, Rouxia naviculoides and Rouxia antarctica; indicative of seasonal, meltwater associated stratification. The abundance peak in the younger sediments is composed principally of Chaetoceros resting spores, suggesting higher productivity, strong stratification and prolonged ice-free, open water conditions. Analysing highly abundant diatoms and environmental indicator species from this IODP Site in relation to the previously determined palaeo-productivity proxy Ba/Al allowed us to refine the age model. Our study provides orbital-scale insights into the variability of Antarctic diatom and silicoflagellate assemblages during the mid-Pliocene, thereby offering a reference for future predictions of extant diatom responses to ongoing climate change.</t>
  </si>
  <si>
    <t>[Armbrecht, Linda H.; Lowe, Vikki; Armand, Leanne K.] Macquarie Univ, Dept Biol Sci MQMarine, N Ryde, NSW 2109, Australia; [Escutia, Carlota] Univ Granada, CSIC, Inst Andaluz Ciencias Tierra, Granada 18100, Spain; [Iwai, Masao] Kochi Univ, Nat Sci Cluster Ctr Adv Marine Core Res, Akebono Cho, Kochi 7808520, Japan; [McKay, Robert] Victoria Univ Wellington, Antarctic Res Ctr, Wellington 6140, New Zealand; [Armand, Leanne K.] Australian Natl Univ, Res Sch Earth Sci, Acton, ACT 2601, Australia</t>
  </si>
  <si>
    <t>Macquarie University; Consejo Superior de Investigaciones Cientificas (CSIC); CSIC - Instituto Andaluz de Ciencias de la Tierra (IACT); University of Granada; Kochi University; Victoria University Wellington; Australian National University</t>
  </si>
  <si>
    <t>Armbrecht, LH (corresponding author), Macquarie Univ, Dept Biol Sci MQMarine, N Ryde, NSW 2109, Australia.</t>
  </si>
  <si>
    <t>linda.armbrecht@mq.edu.au</t>
  </si>
  <si>
    <t>Armbrecht, Linda/GZB-0547-2022; Lowe, Vikki/KDO-5506-2024; Armand, Leanne K/C-9004-2009; Escutia, Carlota/B-8614-2015</t>
  </si>
  <si>
    <t>Lowe, Vikki/0000-0003-3314-1005; McKay, Robert/0000-0002-5602-6985; Armand, Leanne/0000-0003-3995-308X; Iwai, Masao/0000-0001-7489-1262; Escutia, Carlota/0000-0002-4932-8619</t>
  </si>
  <si>
    <t>Australia-New Zealand IODP Consortium (ANZIC) [LE140100047]; Spanish Ministry of Science and Innovation - European Regional Development Fund (FEDER) [CTM2014-60451-C2-1-P]; Japan Society for Promotion of Science (JSPS) KAKENHI [25550015]; Royal Society of New Zealand [RDF-13-VUW-003]; Grants-in-Aid for Scientific Research [25550015] Funding Source: KAKEN</t>
  </si>
  <si>
    <t>Australia-New Zealand IODP Consortium (ANZIC); Spanish Ministry of Science and Innovation - European Regional Development Fund (FEDER); Japan Society for Promotion of Science (JSPS) KAKENHI(Ministry of Education, Culture, Sports, Science and Technology, Japan (MEXT)Japan Society for the Promotion of ScienceGrants-in-Aid for Scientific Research (KAKENHI)); Royal Society of New Zealand(Royal Society of New Zealand); Grants-in-Aid for Scientific Research(Ministry of Education, Culture, Sports, Science and Technology, Japan (MEXT)Japan Society for the Promotion of ScienceGrants-in-Aid for Scientific Research (KAKENHI))</t>
  </si>
  <si>
    <t>We thank the International Ocean Discovery Program (IODP), which provided the samples, and the Australia-New Zealand IODP Consortium (ANZIC), which provided Special Analytical Funding (LE140100047) for this particular study. Additional funding was provided by the Spanish Ministry of Science and Innovation Grant CTM2014-60451-C2-1-P co-financed by the European Regional Development Fund (FEDER). This work was also supported by the Japan Society for Promotion of Science (JSPS) KAKENHI Grant Number 25550015 and the Royal Society of New Zealand Rutherford Discovery Fellowship (RDF-13-VUW-003). Many thanks go to Andres Rigual-Hernandez for his help with logistics and in the laboratory, to David Harwood for his assistance with diatom identifications, to Amy Leventer and Xavier Crosta for constructive discussions and to the anonymous reviewers for valuable feedback.</t>
  </si>
  <si>
    <t>10.1016/j.marmicro.2017.10.008</t>
  </si>
  <si>
    <t>GA1TT</t>
  </si>
  <si>
    <t>WOS:000428101000002</t>
  </si>
  <si>
    <t>Baalsrud, HT; Torresen, OK; Solbakken, MH; Salzburger, W; Hanel, R; Jakobsen, KS; Jentoft, S</t>
  </si>
  <si>
    <t>Baalsrud, Helle Tessand; Torresen, Ole Kristian; Solbakken, Monica Hongro; Salzburger, Walter; Hanel, Reinhold; Jakobsen, Kjetill S.; Jentoft, Sissel</t>
  </si>
  <si>
    <t>De Novo Gene Evolution of Antifreeze Glycoproteins in Codfishes Revealed by Whole Genome Sequence Data</t>
  </si>
  <si>
    <t>MOLECULAR BIOLOGY AND EVOLUTION</t>
  </si>
  <si>
    <t>orphan genes; teleost fishes; molecular adaptation</t>
  </si>
  <si>
    <t>ANTARCTIC NOTOTHENIOID FISHES; IMMUNE-SYSTEM; POLAR FISH; PROTEINS; ORIGIN; COD; MECHANISM; TIME; AGE</t>
  </si>
  <si>
    <t>New genes can arise through duplication of a pre-existing gene or de novo from non-coding DNA, providing raw material for evolution of new functions in response to a changing environment. A prime example is the independent evolution of antifreeze glycoprotein genes (afgps) in the Arctic codfishes and Antarctic notothenioids to prevent freezing. However, the highly repetitive nature of these genes complicates studies of their organization. In notothenioids, afgps evolved from an extant gene, yet the evolutionary origin of afgps in codfishes is unknown. Here, we demonstrate that afgps in codfishes have evolved de novo from non-coding DNA 13-18 Ma, coinciding with the cooling of the Northern Hemisphere. Using whole-genome sequence data from several codfishes and notothenioids, we find higher copy number of afgp in species exposed to more severe freezing suggesting a gene dosage effect. Notably, antifreeze function is lost in one lineage of codfishes analogous to the afgp losses in non-Antarctic notothenioids. This indicates that selection can eliminate the antifreeze function when freezing is no longer imminent. In addition, we show that evolution of afgp-assisting antifreeze potentiating protein genes (afpps) in notothenioids coincides with origin and lineage-specific losses of afgp. The origin of afgps in codfishes is one of the first examples of an essential gene born from non-coding DNA in a non-model species. Our study underlines the power of comparative genomics to uncover past molecular signatures of genome evolution, and further highlights the impact of de novo gene origin in response to a changing selection regime.</t>
  </si>
  <si>
    <t>[Baalsrud, Helle Tessand; Torresen, Ole Kristian; Solbakken, Monica Hongro; Salzburger, Walter; Jakobsen, Kjetill S.; Jentoft, Sissel] Univ Oslo, Dept Biosci, CEES, Oslo, Norway; [Salzburger, Walter] Univ Basel, Zool Inst, Basel, Switzerland; [Hanel, Reinhold] Johann Heinrich von Thunen Inst, Inst Fisheries Ecol, Fed Res Inst Rural Areas Forestry &amp; Fisheries, Hamburg, Germany</t>
  </si>
  <si>
    <t>University of Oslo; University of Basel; Johann Heinrich von Thunen Institute</t>
  </si>
  <si>
    <t>Baalsrud, HT (corresponding author), Univ Oslo, Dept Biosci, CEES, Oslo, Norway.</t>
  </si>
  <si>
    <t>h.t.baalsrud@ibv.uio.no</t>
  </si>
  <si>
    <t>Jakobsen, Kjetill Sigurd/HJP-1221-2023; Hanel, Reinhold/AAO-4887-2021</t>
  </si>
  <si>
    <t>Jakobsen, Kjetill Sigurd/0000-0002-8861-5397; Torresen, Ole Kristian/0000-0002-1932-8212; Baalsrud, Helle Tessand/0000-0002-4161-3247; Jentoft, Sissel/0000-0001-8707-531X; Hongro Solbakken, Monica/0000-0002-9677-403X</t>
  </si>
  <si>
    <t>Research Council of Norway (RCN) [222378]</t>
  </si>
  <si>
    <t>Research Council of Norway (RCN)(Research Council of Norway)</t>
  </si>
  <si>
    <t>This study was funded by grant awarded to K.S.J. from the Research Council of Norway (RCN grant 222378).</t>
  </si>
  <si>
    <t>0737-4038</t>
  </si>
  <si>
    <t>1537-1719</t>
  </si>
  <si>
    <t>MOL BIOL EVOL</t>
  </si>
  <si>
    <t>Mol. Biol. Evol.</t>
  </si>
  <si>
    <t>10.1093/molbev/msx311</t>
  </si>
  <si>
    <t>FZ0LK</t>
  </si>
  <si>
    <t>WOS:000427260700007</t>
  </si>
  <si>
    <t>Hong, JM; Suh, SS; Kim, TK; Kim, JE; Han, SJ; Youn, UJ; Yim, JH; Kim, IC</t>
  </si>
  <si>
    <t>Hong, Ju-Mi; Suh, Sung-Suk; Kim, Tai Kyoung; Kim, Jung Eun; Han, Se Jong; Youn, Ui Joung; Yim, Joung Han; Kim, Il-Chan</t>
  </si>
  <si>
    <t>Anti-Cancer Activity of Lobaric Acid and Lobarstin Extracted from the Antarctic Lichen Stereocaulon alpnum</t>
  </si>
  <si>
    <t>MOLECULES</t>
  </si>
  <si>
    <t>lobaric acid; lobarstin; antarctic lichen; apoptosis; cell cycle arrest; human cervix adenocarcinoma; human colon carcinoma</t>
  </si>
  <si>
    <t>COMPOUND</t>
  </si>
  <si>
    <t>Lobaric acid and lobarstin, secondary metabolites derived from the antarctic lichen Stereocaulon alpnum, exert various biological activities, including antitumor, anti-proliferation, anti-inflammation, and antioxidant activities. However, the underlying mechanisms of these effects have not yet been elucidated in human cervix adenocarcinoma and human colon carcinoma. In the present study, we evaluated the anticancer effects of lobaric acid and lobarstin on human cervix adenocarcinoma HeLa cells and colon carcinoma HCT116 cells. We show that the proliferation of Hela and HCT116 cells treated with lobaric acid and lobarstin significantly decreased in a dose- and time-dependent manner. Using flow cytometry analysis, we observed that the treatment with these compounds resulted in significant apoptosis in both cell lines, following cell cycle perturbation and arrest in G2/M phase. Furthermore, using immunoblot analysis, we investigated the expression of cell cycle and apoptosis-related marker genes and found a significant downregulation of the apoptosis regulator B-cell lymphoma 2 (Bcl-2) and upregulation of the cleaved form of the poly (ADP-ribose) polymerase (PARP), a DNA repair and apoptosis regulator. These results suggest that lobaric acid and lobarstin could significantly inhibit cell proliferation through cell cycle arrest and induction of apoptosis via the mitochondrial apoptotic pathway in cervix adenocarcinoma and colon carcinoma cells. Taken together, our data suggests that lobaric acid and lobarstin might be novel agents for clinical treatment of cervix adenocarcinoma and colon carcinoma.</t>
  </si>
  <si>
    <t>[Hong, Ju-Mi; Kim, Tai Kyoung; Kim, Jung Eun; Han, Se Jong; Youn, Ui Joung; Yim, Joung Han; Kim, Il-Chan] Korea Polar Res Inst, Div Polar Life Sci, Incheon 21990, South Korea; [Suh, Sung-Suk] Mokpo Natl Univ, Dept Biosci, Muan 58554, South Korea; [Kim, Jung Eun] Sungkyunkwan Univ, Grad Sch, Dept Pharm, Suwon 16419, South Korea; [Han, Se Jong] Univ Sci &amp; Technol, Dept Polar Sci, Incheon 21990, South Korea</t>
  </si>
  <si>
    <t>Korea Polar Research Institute (KOPRI); Mokpo National University; Sungkyunkwan University (SKKU)</t>
  </si>
  <si>
    <t>Kim, IC (corresponding author), Korea Polar Res Inst, Div Polar Life Sci, Incheon 21990, South Korea.</t>
  </si>
  <si>
    <t>wnal5555@kopri.re.kr; sung-suk.suh@kopri.re.kr; tkkim@kopri.re.kr; je2202@kopri.re.kr; hansj@kopri.re.kr; ujyoun@kopri.re.kr; jhyim@kopri.re.kr; ickim@kopri.re.kr</t>
  </si>
  <si>
    <t>HAN, Se Jong/0000-0001-9576-2179</t>
  </si>
  <si>
    <t>KOPRI Research Initiative Program of the Republic of Korea [PE18100]</t>
  </si>
  <si>
    <t>KOPRI Research Initiative Program of the Republic of Korea(Korea Polar Research Institute of Marine Research Placement (KOPRI))</t>
  </si>
  <si>
    <t>This research was supported by a grant from the KOPRI Research Initiative Program (project No. PE18100) of the Republic of Korea.</t>
  </si>
  <si>
    <t>1420-3049</t>
  </si>
  <si>
    <t>Molecules</t>
  </si>
  <si>
    <t>10.3390/molecules23030658</t>
  </si>
  <si>
    <t>Biochemistry &amp; Molecular Biology; Chemistry, Multidisciplinary</t>
  </si>
  <si>
    <t>Biochemistry &amp; Molecular Biology; Chemistry</t>
  </si>
  <si>
    <t>GA7KD</t>
  </si>
  <si>
    <t>WOS:000428514100149</t>
  </si>
  <si>
    <t>Cristofari, R; Liu, XM; Bonadonna, F; Cherel, Y; Pistorius, P; Le Maho, Y; Raybaud, V; Stenseth, NC; Le Bohec, C; Trucchi, E</t>
  </si>
  <si>
    <t>Cristofari, Robin; Liu, Xiaoming; Bonadonna, Francesco; Cherel, Yves; Pistorius, Pierre; Le Maho, Yvon; Raybaud, Virginie; Stenseth, Nils Christian; Le Bohec, Celine; Trucchi, Emiliano</t>
  </si>
  <si>
    <t>Climate-driven range shifts of the king penguin in a fragmented ecosystem</t>
  </si>
  <si>
    <t>GENERATION SEQUENCING DATA; LAST GLACIAL MAXIMUM; SEA-SURFACE TEMPERATURE; ANTARCTIC POLAR FRONT; APTENODYTES-PATAGONICUS; SOUTHERN-OCEAN; CMIP5 MODELS; EVOLUTIONARY HISTORY; POPULATION-DYNAMICS; GENOME SEQUENCES</t>
  </si>
  <si>
    <t>Range shift is the primary short-term species response to rapid climate change, but it is often hampered by natural or anthropogenic habitat fragmentation. Different critical areas of a species' niche may be exposed to heterogeneous environmental changes and modelling species response under such complex spatial and ecological scenarios presents well-known challenges. Here, we use a biophysical ecological niche model validated through population genomics and palaeodemography to reconstruct past range shifts and identify future vulnerable areas and potential refugia of the king penguin in the Southern Ocean. Integrating genomic and demographic data at the whole-species level with specific biophysical constraints, we present a refined framework for predicting the effect of climate change on species relying on spatially and ecologically distinct areas to complete their life cycle (for example, migratory animals, marine pelagic organisms and central-place foragers) and, in general, on species living in fragmented ecosystems.</t>
  </si>
  <si>
    <t>[Cristofari, Robin; Le Maho, Yvon; Le Bohec, Celine] Univ Strasbourg, CNRS, IPHC, Strasbourg, France; [Cristofari, Robin; Le Maho, Yvon; Le Bohec, Celine] CSM, Dept Biol Polaire, Monaco, Monaco; [Cristofari, Robin; Le Maho, Yvon; Le Bohec, Celine] Unistra, CNRS, CSM, LIA,Biosensib 647, Monaco, Monaco; [Cristofari, Robin; Stenseth, Nils Christian; Trucchi, Emiliano] Univ Oslo, CEES, Dept Biosci, Oslo, Norway; [Liu, Xiaoming] Univ Texas Hlth Sci Ctr Houston, Sch Publ Hlth, Dept Epidemiol Human Genet &amp; Environm Sci, Houston, TX 77030 USA; [Bonadonna, Francesco] Univ Paul Valery Montpellier, Univ Montpellier, EPHE, CNRS,CEFE, Montpellier, France; [Cherel, Yves] Univ La Rochelle, CNRS, CEBC, Villiers En Bois, France; [Pistorius, Pierre] Nelson Mandela Univ, Dept Zool, Percy Fitzpatrick Inst African Ornithol, DST,NRF Ctr Excellence, South Campus, Port Elizabeth, South Africa; [Raybaud, Virginie] CSM, Dept Biol Marine, Monaco, Monaco; [Raybaud, Virginie] Univ Cote Azur, CNRS, ECOMERS, Nice, France; [Trucchi, Emiliano] Univ Vienna, Dept Bot &amp; Biodivers Res, Vienna, Austria; [Trucchi, Emiliano] Univ Ferrara, Dept Life Sci &amp; Biotechnol, Ferrara, Italy</t>
  </si>
  <si>
    <t>Centre National de la Recherche Scientifique (CNRS); Universites de Strasbourg Etablissements Associes; Universite de Strasbourg; University of Oslo; University of Texas System; University of Texas Health Science Center Houston; University of Texas School Public Health; Universite PSL; Ecole Pratique des Hautes Etudes (EPHE); Institut Agro; Montpellier SupAgro; CIRAD; Centre National de la Recherche Scientifique (CNRS); Institut de Recherche pour le Developpement (IRD); Universite Paul-Valery; Universite de Montpellier; Centre National de la Recherche Scientifique (CNRS); La Rochelle Universite; National Research Foundation - South Africa; Nelson Mandela University; Universite Cote d'Azur; Centre National de la Recherche Scientifique (CNRS); University of Vienna; University of Ferrara</t>
  </si>
  <si>
    <t>Le Bohec, C (corresponding author), Univ Strasbourg, CNRS, IPHC, Strasbourg, France.;Le Bohec, C (corresponding author), CSM, Dept Biol Polaire, Monaco, Monaco.;Le Bohec, C (corresponding author), Unistra, CNRS, CSM, LIA,Biosensib 647, Monaco, Monaco.;Trucchi, E (corresponding author), Univ Oslo, CEES, Dept Biosci, Oslo, Norway.;Trucchi, E (corresponding author), Univ Vienna, Dept Bot &amp; Biodivers Res, Vienna, Austria.;Trucchi, E (corresponding author), Univ Ferrara, Dept Life Sci &amp; Biotechnol, Ferrara, Italy.</t>
  </si>
  <si>
    <t>celine.lebohec@iphc.cnrs.fr; emiliano.trucchi@unife.it</t>
  </si>
  <si>
    <t>LE BOHEC, CELINE/AAD-3589-2022; Bonadonna, Francesco/A-7456-2008; Cristofari, Robin/AAO-8097-2021; Stenseth, Nils Chr./G-5212-2016; Liu, Xiaoming/C-2743-2008</t>
  </si>
  <si>
    <t>Bonadonna, Francesco/0000-0002-2702-5801; Raybaud, Virginie/0000-0001-6426-3326; Pistorius, Pierre/0000-0001-6561-7069; Liu, Xiaoming/0000-0001-8285-5528; LE BOHEC, Celine/0000-0003-0149-6477</t>
  </si>
  <si>
    <t>Institut Polaire Francais Paul-Emile Victor (IPEV) [137]; French National Research Agency (ANR) 'PICASO' grant [ANR-2010-BLAN-1728-01]; European Commission [235962, 252252]; Centre Scientifique de Monaco (CSM/CNRS-University of Strasbourg); Centre National de la Recherche Scientifique (Programme Zone Atelier de Recherches sur l'Environnement Antarctique et Subantarctique); South African National Antarctic Programme; IPEV Programme [137, 109]; South African Department of Environmental Affairs; National Research Foundation</t>
  </si>
  <si>
    <t>Institut Polaire Francais Paul-Emile Victor (IPEV); French National Research Agency (ANR) 'PICASO' grant(Agence Nationale de la Recherche (ANR)); European Commission(European Union (EU)European Commission Joint Research Centre); Centre Scientifique de Monaco (CSM/CNRS-University of Strasbourg); Centre National de la Recherche Scientifique (Programme Zone Atelier de Recherches sur l'Environnement Antarctique et Subantarctique); South African National Antarctic Programme; IPEV Programme; South African Department of Environmental Affairs; National Research Foundation</t>
  </si>
  <si>
    <t>This work was conducted within the framework of the Programme 137 of the Institut Polaire Francais Paul-Emile Victor (IPEV; CLB), with additional support from the French National Research Agency (ANR) 'PICASO' grant (ANR-2010-BLAN-1728-01; Y.L.M.), Marie Curie Intra European Fellowships (FP7-PEOPLE-IEF-2008, European Commission; project no. 235962 to C.L.B. and FP7-PEOPLE-IEF-2010, European Commission; project no. 252252 to E.T.), the Centre Scientifique de Monaco through the budget allocated to the Laboratoire International Associe 647 BioSensib (CSM/CNRS-University of Strasbourg; C.L.B., Y.L.M.), the Centre National de la Recherche Scientifique (Programme Zone Atelier de Recherches sur l'Environnement Antarctique et Subantarctique), South African National Antarctic Programme (P.P.) and the IPEV Programme 109 (Y.C.). Logistic and field costs of research were supported by the IPEV Programme 137 (C.L.B.), the South African Department of Environmental Affairs and the National Research Foundation (P.P.). This work was performed on the Abel Cluster, owned by the University of Oslo and the Norwegian Metacenter for High Performance Computing (NOTUR), and operated by the Department for Research Computing at USIT, the University of Oslo. We are very grateful to M. Skage, A. Tooming-Klunderud, M. Selander-Hansen and the Norwegian Sequencing Center for their very valuable help in the laboratory, as well as L. Nederbragt and M. Matschiner for their assistance with the Abel cluster, and M. Fumagalli and T. Korneliussen for their precious advice regarding ngsTools and ANGSD. We thank G. Bertorelle, L. Fusani, A. Mazzarella and D. Fordham for useful comments and advice. We acknowledge the World Climate Research Programme's Working Group on Coupled Modelling, which is responsible for CMIP, and we thank the climate modelling groups (listed in Supplementary Table 1) for producing and making available their model output. For CMIP, the US Department of Energy's Program for Climate Model Diagnosis and Intercomparison provides coordinating support and led development of software infrastructure in partnership with the Global Organization for Earth System Science Portals.</t>
  </si>
  <si>
    <t>10.1038/s41558-018-0084-2</t>
  </si>
  <si>
    <t>FX7YW</t>
  </si>
  <si>
    <t>WOS:000426308500023</t>
  </si>
  <si>
    <t>Krishnan, A; Convey, P; Gonzalez, M; Smykla, J; Alias, SA</t>
  </si>
  <si>
    <t>Krishnan, Abiramy; Convey, Peter; Gonzalez, Marcelo; Smykla, Jerzy; Alias, Siti Aisyah</t>
  </si>
  <si>
    <t>Effects of temperature on extracellular hydrolase enzymes from soil microfungi</t>
  </si>
  <si>
    <t>Amylase; Cellulase; Soil microfungi; Arctic; Antarctic; Tropical</t>
  </si>
  <si>
    <t>MOUNTAIN PASSES; CARBON TURNOVER; ARCTIC TUNDRA; FUNGI; ADAPTATION; DIVERSITY; GEOMYCES; DECOMPOSITION; DEHYDROGENASES; ENVIRONMENTS</t>
  </si>
  <si>
    <t>Soil microbes play important roles in global carbon and nutrient cycling. Soil microfungi are generally amongst the most important contributors. They produce various extracellular hydrolase enzymes that break down the complex organic molecules in the soil into simpler form. In this study, we investigated patterns of amylase and cellulase (which are responsible for breaking down starch and cellulose, respectively) relative activity (RA) on solid media at different culture temperatures in fungal strains from Arctic, Antarctic and tropical soils. Fungal isolates from all three regions were inoculated onto R2A media supplemented with starch for amylase and carboxymethylcellulose and trypan blue for cellulase screening. The isolates were then incubated at 4, 10, 15, 20, 25, 30, 35 and 40 A degrees C and examined for activity after 5 and 10 days, for tropical and polar isolates, respectively. The data obtained indicate that the polar fungal strains exhibited similar patterns of amylase and cellulase RA. Both Arctic and Antarctic fungi showed highest RA for amylase and cellulase at 35 A degrees C, while colony growth was maximised at 15 A degrees C. Colony growth and RA of the polar isolates were negatively correlated suggesting that, as temperatures increase, the cells become stressed and have fewer resources available to invest in growth. Unlike polar isolates, tropical isolates did not exhibit any trend of colony growth with temperature, rather having idiosyncratic patterns in each isolate. The low enzyme production and RA levels in the tropical strains may suggest both a low ability to respond to temperature variation in their natural thermally stable tropical habitats, as well as a level of thermal stress limiting their enzyme production ability.</t>
  </si>
  <si>
    <t>[Krishnan, Abiramy; Convey, Peter; Alias, Siti Aisyah] Univ Malaya, Natl Antarctic Res Ctr, B303 Level 3,Block B,IPS Bldg, Kuala Lumpur 50603, Malaysia; [Krishnan, Abiramy] Univ Malaya, Inst Biol Sci, Fac Sci, Kuala Lumpur, Malaysia; [Alias, Siti Aisyah] Univ Malaya, Inst Ocean &amp; Earth Sci, Inst Postgrad Studies, Level 3,Block C, Kuala Lumpur 50603, Malaysia; [Convey, Peter] British Antarctic Survey, NERC, Madingley Rd, Cambridge, England; [Gonzalez, Marcelo] Inst Antartico Chileno, Plaza Munero, Punta Arenas, Chile; [Smykla, Jerzy] Polish Acad Sci, Inst Nat Conservat, Mickiewicza 33, PL-31120 Krakow, Poland</t>
  </si>
  <si>
    <t>Universiti Malaya; Universiti Malaya; Universiti Malaya; UK Research &amp; Innovation (UKRI); Natural Environment Research Council (NERC); NERC British Antarctic Survey; Polish Academy of Sciences</t>
  </si>
  <si>
    <t>Alias, SA (corresponding author), Univ Malaya, Natl Antarctic Res Ctr, B303 Level 3,Block B,IPS Bldg, Kuala Lumpur 50603, Malaysia.;Alias, SA (corresponding author), Univ Malaya, Inst Ocean &amp; Earth Sci, Inst Postgrad Studies, Level 3,Block C, Kuala Lumpur 50603, Malaysia.</t>
  </si>
  <si>
    <t>siti.alias@gmail.com</t>
  </si>
  <si>
    <t>González, Marcelo/ABF-1450-2020; FASc, SITI AISYAH A. HJ ALIAS/B-9785-2010; Convey, Peter/AAV-5728-2020; Krishnan, Abiramy/AAH-5411-2020; Smykla, Jerzy/N-3288-2014</t>
  </si>
  <si>
    <t>FASc, SITI AISYAH A. HJ ALIAS/0000-0002-6759-5745; Convey, Peter/0000-0001-8497-9903; Gonzalez, Marcelo/0000-0001-9986-9504; Smykla, Jerzy/0000-0001-8228-6695</t>
  </si>
  <si>
    <t>University of Malaya [RP007-2012C, PG041-2013A]; Ministry of Science, Technology and Innovation [Flagship GA006-2014FL]; HiCOE [IOES-2014G]; Yayasan Penyelidikan Antartika Sultan Mizan; UM; NERC; NERC [bas0100036] Funding Source: UKRI</t>
  </si>
  <si>
    <t>University of Malaya(Universiti Malaya); Ministry of Science, Technology and Innovation(Ministry of Energy, Science, Technology, Environment and Climate Change (MESTECC), Malaysia); HiCOE; Yayasan Penyelidikan Antartika Sultan Mizan; UM; NERC(UK Research &amp; Innovation (UKRI)Natural Environment Research Council (NERC)); NERC(UK Research &amp; Innovation (UKRI)Natural Environment Research Council (NERC))</t>
  </si>
  <si>
    <t>We thank the University of Malaya (Grants RP007-2012C, PG041-2013A), Ministry of Science, Technology and Innovation (Flagship GA006-2014FL), HiCOE (IOES-2014G) and Yayasan Penyelidikan Antartika Sultan Mizan. P. Convey is supported by a UM Icon Visiting Professorship and NERC core funding to the BAS Biodiversity, Evolution and Adaptation Team. This paper also contributes to the AnT-ERA SCAR scientific programme.</t>
  </si>
  <si>
    <t>10.1007/s00300-017-2215-z</t>
  </si>
  <si>
    <t>FX3FN</t>
  </si>
  <si>
    <t>WOS:000425956700016</t>
  </si>
  <si>
    <t>Frainer, G; Heissler, VL; Moreno, IB</t>
  </si>
  <si>
    <t>Frainer, Guilherme; Heissler, Vanessa L.; Moreno, Ignacio B.</t>
  </si>
  <si>
    <t>A wandering Weddell seal (Leptonychotes weddellii) at Trindade Island, Brazil: the extreme sighting of a circumpolar species</t>
  </si>
  <si>
    <t>Weddell seal; Circumpolar distribution; El Nino; Trindade Island; Climate change</t>
  </si>
  <si>
    <t>FAMILY-PHOCIDAE; INVASIONS; RECORDS; MARINE; OCEAN; COAST</t>
  </si>
  <si>
    <t>Records of vagrant marine organisms provide important information on oceanographic anomalies and the changing environment. We report on an immature Weddell seal, Leptonychotes weddellii, sighted at Calheta Beach in Trindade Island (20 degrees 31'S 29 degrees 19'W), Brazil, on July 9, 2015. A number of injuries were noted, including blisters on the dorsal surface of the body and a small cut at the right-hand side distal portion of the mandible. Based on its size and the state of fusion of cranial sutures, we suggest that it was born in the 2014 austral spring and was possibly 8-10 months old. We suggest that it comes from the South Shetland Islands, Antarctic Peninsula. This is the closest breeding location of this species. This sighting is the northernmost of L. weddellii, being at least similar to 5140 km from the Antarctic Peninsula (63 degrees 12'S 55 degrees 04'W) and similar to 2840 km north from the second northernmost sighting of this species in Uruguay.</t>
  </si>
  <si>
    <t>[Frainer, Guilherme; Moreno, Ignacio B.] Univ Fed Rio Grande do Sul, Dept Zool, Programa Posgrad Biol Anim PPGBAN, Ave Bento Goncalves 9500,Bloco 4,Predio 43435, Porto Alegre, RS, Brazil; [Frainer, Guilherme; Moreno, Ignacio B.] UFRGS, Ctr Estudos Costeiros Limnol &amp; Marinhos CECLIMAR, Ave Tramandai 976, Imbe, RS, Brazil; [Frainer, Guilherme; Heissler, Vanessa L.; Moreno, Ignacio B.] Univ Fed Rio Grande do Sul, Lab Sistemat &amp; Ecol Aves &amp; Mamiferos Marinhos LAB, Ave Bento Goncalves 9500,Bloco 4,Predio 43435, Porto Alegre, RS, Brazil</t>
  </si>
  <si>
    <t>Universidade Federal do Rio Grande do Sul; Universidade Federal do Rio Grande do Sul; Universidade Federal do Rio Grande do Sul</t>
  </si>
  <si>
    <t>Frainer, G (corresponding author), Univ Fed Rio Grande do Sul, Dept Zool, Programa Posgrad Biol Anim PPGBAN, Ave Bento Goncalves 9500,Bloco 4,Predio 43435, Porto Alegre, RS, Brazil.;Frainer, G (corresponding author), UFRGS, Ctr Estudos Costeiros Limnol &amp; Marinhos CECLIMAR, Ave Tramandai 976, Imbe, RS, Brazil.;Frainer, G (corresponding author), Univ Fed Rio Grande do Sul, Lab Sistemat &amp; Ecol Aves &amp; Mamiferos Marinhos LAB, Ave Bento Goncalves 9500,Bloco 4,Predio 43435, Porto Alegre, RS, Brazil.</t>
  </si>
  <si>
    <t>gui.frainer@gmail.com</t>
  </si>
  <si>
    <t>Frainer, Guilherme/KDO-1452-2024; Moreno, Ignacio b/I-3235-2012; Frainer, Guilherme/AAC-9306-2019</t>
  </si>
  <si>
    <t>Frainer, Guilherme/0000-0002-5527-9219; Benites Moreno, Ignacio/0000-0001-9854-6033</t>
  </si>
  <si>
    <t>Conselho Nacional de Desenvolvimento Cientifico e Tecnologico (CNPq) [557182/2009-3, 404558/2012-7]; Brazilian Navy; Coordenacao de Aperfeicoamento de Pessoal de Nivel Superior (CAPES); PROPESQ/UFRGS</t>
  </si>
  <si>
    <t>Conselho Nacional de Desenvolvimento Cientifico e Tecnologico (CNPq)(Conselho Nacional de Desenvolvimento Cientifico e Tecnologico (CNPQ)); Brazilian Navy; Coordenacao de Aperfeicoamento de Pessoal de Nivel Superior (CAPES)(Coordenacao de Aperfeicoamento de Pessoal de Nivel Superior (CAPES)); PROPESQ/UFRGS</t>
  </si>
  <si>
    <t>We are thankful to Joel Braga for providing images of the live stranding and the animal size information, and the Brazilian Navy for logistical support for the recovery of the skeleton. Special thanks to Dr. Greg Hofmeyr for his comments and suggestions that improved considerably this manuscript. Many thanks to Msc. Mauricio Tavares for comments and suggestions on early drafts. Financial and logistical support to the Projects: A Fauna de Odontocetos no Brasil, Biogeografia e Taxonomia: Subsidios para a Conservacao (processes 557182/2009-3 and 404558/2012-7) was provided by Conselho Nacional de Desenvolvimento Cientifico e Tecnologico (CNPq) and Brazilian Navy, respectively. GF was supported by a PhD fellowship from Coordenacao de Aperfeicoamento de Pessoal de Nivel Superior (CAPES) (2015-2018). VLH was supported by an undergraduate scholarship from PROPESQ/UFRGS (2015-2016). This is a contribution of the Research Group Evolucao e Biodiversidade de Cetaceos/CNPq.</t>
  </si>
  <si>
    <t>10.1007/s00300-017-2218-9</t>
  </si>
  <si>
    <t>WOS:000425956700019</t>
  </si>
  <si>
    <t>Tang, MSY; Chenoli, SN; Abu Samah, A; Hai, OS</t>
  </si>
  <si>
    <t>Tang, Malcolm S. Y.; Chenoli, Sheeba Nettukandy; Abu Samah, Azizan; Hai, Ooi See</t>
  </si>
  <si>
    <t>An assessment of historical Antarctic precipitation and temperature trend using CMIP5 models and reanalysis datasets</t>
  </si>
  <si>
    <t>Antarctica; CMIP5; Reanalyses; Precipitation; Temperature</t>
  </si>
  <si>
    <t>HEMISPHERE ANNULAR MODE; SURFACE MASS-BALANCE; SNOW ACCUMULATION; ICE-SHEET; CLIMATE; CIRCULATION; SIMULATIONS</t>
  </si>
  <si>
    <t>The study of Antarctic precipitation has attracted a lot of attention recently. The reliability of climate models in simulating Antarctic precipitation, however, is still debatable. This work assess the precipitation and surface air temperature (SAT) of Antarctica (90 degrees S to 60 degrees S) using 49 Coupled Model Intercomparison Project phase 5 (CMIP5) global climate models and the European Centre for Medium-range Weather Forecasts Interim reanalysis (ERA-Interim); the National Centers for Environmental Prediction Climate Forecast System Reanalysis (CFSR); the Japan Meteorological Agency 55-year Reanalysis (JRA-55); and the Modern Era Retrospective-analysis for Research and Applications (MERRA) datasets for 1979-2005 (27 years). For precipitation, the time series show that the MERRA and JRA-55 have significantly increased from 1979 to 2005, while the ERA-Int and CFSR have insignificant changes. The reanalyses also have low correlation with one another (generally less than + 0.69). 37 CMIP5 models show increasing trend, 18 of which are significant. The resulting CMIP5 MMM also has a significant increasing trend of 0.29 +/- 0.06 mm year(-1). For SAT, the reanalyses show insignificant changes and have high correlation with one another, while the CMIP5 MMM shows a significant increasing trend. Nonetheless, the variability of precipitation and SAT of MMM could affect the significance of its trend. One of the many reasons for the large differences of precipitation is the CMIP5 models' resolution.</t>
  </si>
  <si>
    <t>[Tang, Malcolm S. Y.; Chenoli, Sheeba Nettukandy; Abu Samah, Azizan; Hai, Ooi See] Univ Malaya, Natl Antarctic Res Ctr, IGS Bldg, Kuala Lumpur 50603, Malaysia; [Chenoli, Sheeba Nettukandy; Abu Samah, Azizan] Univ Malaya, Fac Arts &amp; Social Sci, Dept Geog, Kuala Lumpur 50603, Malaysia; [Chenoli, Sheeba Nettukandy; Abu Samah, Azizan] Univ Malaya, Inst Ocean &amp; Earth Sci, IGS Bldg, Kuala Lumpur 50603, Malaysia</t>
  </si>
  <si>
    <t>Universiti Malaya; Universiti Malaya; Universiti Malaya</t>
  </si>
  <si>
    <t>Chenoli, SN (corresponding author), Univ Malaya, Fac Arts &amp; Social Sci, Dept Geog, Kuala Lumpur 50603, Malaysia.</t>
  </si>
  <si>
    <t>sheeba@um.edu.my</t>
  </si>
  <si>
    <t>Pau Loke, Show/A-7953-2015; ABU SAMAH, AZIZAN HJ/B-8295-2010; Chenoli, Sheeba Nettukandy/G-6726-2012</t>
  </si>
  <si>
    <t>Pau Loke, Show/0000-0002-0913-5409; Tang, Malcolm/0000-0002-9536-2009</t>
  </si>
  <si>
    <t>Ministry of Science Technology and Innovation (MOSTI) Grant [FP1213E037]; University of Malaya Research Grant (UMRG) [RP002B-13SUS]</t>
  </si>
  <si>
    <t>Ministry of Science Technology and Innovation (MOSTI) Grant; University of Malaya Research Grant (UMRG)</t>
  </si>
  <si>
    <t>The study was funded by the Ministry of Science Technology and Innovation (MOSTI) Grant FP1213E037 and University of Malaya Research Grant (UMRG) RP002B-13SUS. We thank the World Climate Research Programme's Working Group on Coupled Modelling and the climate modelling groups (listed in Table 1 of this paper) for providing the results of their models. The CMIP5 data can be retrieved from the website mentioned in section 2. The authors would also like to thank Professor John Turner of the British Antarctic Survey for his significant and invaluable contribution to this work.</t>
  </si>
  <si>
    <t>10.1016/j.polar.2018.01.001</t>
  </si>
  <si>
    <t>FZ4RI</t>
  </si>
  <si>
    <t>WOS:000427579100001</t>
  </si>
  <si>
    <t>Almeida, L; de Azevedo, JLL; Kerr, R; Araujo, M; Mata, MM</t>
  </si>
  <si>
    <t>Almeida, Lucas; Lima de Azevedo, Jose Luiz; Kerr, Rodrigo; Araujo, Moacyr; Mata, Mauricio M.</t>
  </si>
  <si>
    <t>Impact of the new equation of state of seawater (TEOS-10) on the estimates of water mass mixture and meridional transport in the Atlantic Ocean</t>
  </si>
  <si>
    <t>TEOS-10; Water masses; Baroclinic velocity; Volume transport; Heat transport; Ocean circulation; Atlantic Ocean; AMOC</t>
  </si>
  <si>
    <t>OVERTURNING CIRCULATION; NORTH-ATLANTIC; HEAT-TRANSPORT; DEEP-WATER; CLIMATE</t>
  </si>
  <si>
    <t>The equation of state of seawater (EOS) provides a simple way to link the properties of seawater that are the most important for ocean dynamics and the ocean-atmosphere climate system. In 2010, the set of equations used to derive all thermodynamic properties of seawater were updated using a thermodynamic approach. The new approach, named TEOS-10, results in better estimates of seawater properties, such as salinity and temperature, when compared to the previous EOS version (EOS-80). Since several physical processes in the oceans are driven by these properties, improvements in the EOS performance are expected to lead to a better and more realistic representation of the ocean. This work focuses on assessing the main differences of the: (i) contribution of water masses to a total mixture, (ii) baroclinic velocity, and (iii) volume and heat transport, as calculated by the EOS80 and by the TEOS-10, along four zonal transects at 26.5 N, 10 N, 11 S, and 34.5 S in the Atlantic Ocean. The density differences (always between TEOS-10 and EOS-80) increase with depth and hence the results indicate that the most significant difference in the water mass contributions was found for Antarctic Bottom Water. Within that layer, the differences reach up to 10% on its fraction of the mixture when calculated by the TEOS-10, although the difference in the North Atlantic Deep Water contribution was not negligible either. The estimated baroclinic velocities showed considerable differences in all studied areas, being more significant over boundary current systems. The Gulf Stream presented lower velocity, while the Brazil Current presented increasing velocity when using TEOS-10. The comparison between values computed for volume transported by the Atlantic Meridional Overturning Circulation showed a total difference of about + 6%, which cannot be neglected when considering the space and time variability involved. The heat transport showed significant differences in the study areas at the mid latitudes, where large variations in the total flow were observed.</t>
  </si>
  <si>
    <t>[Almeida, Lucas; Lima de Azevedo, Jose Luiz; Kerr, Rodrigo; Mata, Mauricio M.] Univ Fed Rio Grande, Inst Oceanog, LEOC, BR-96203900 Rio Grande, RS, Brazil; [Araujo, Moacyr] Univ Fed Pernambuco, Dept Oceanog, LOFEC, BR-50740550 Recife, PE, Brazil; [Araujo, Moacyr] Rede Brasileira Pesquisas Mudancas Climat Globais, BR-12227010 Sao Jose Dos Campos, SP, Brazil</t>
  </si>
  <si>
    <t>Universidade Federal do Rio Grande; Universidade Federal de Pernambuco</t>
  </si>
  <si>
    <t>Almeida, L (corresponding author), Univ Fed Rio Grande, Inst Oceanog, LEOC, BR-96203900 Rio Grande, RS, Brazil.</t>
  </si>
  <si>
    <t>lucasralm@gmail.com</t>
  </si>
  <si>
    <t>Kerr, Rodrigo/I-2494-2012; Mata, Mauricio/H-4605-2011; Araujo, Moacyr/B-1167-2013</t>
  </si>
  <si>
    <t>Kerr, Rodrigo/0000-0002-2632-3137; Mata, Mauricio/0000-0002-9028-8284; Araujo, Moacyr/0000-0001-8462-6446; Almeida, Lucas/0000-0002-4401-0273</t>
  </si>
  <si>
    <t>CAPES/CMAR2 (CAPES grant) [23038.001421/2014-30]; NAUTILUS (CNPq grant) [405869/2013-4]; CAPES Foundation [23038.004299/2014-53]; Brazilian Research Network on Global Climate Change - Rede CLIMA (FINEP) [01.13.0353-00]; CNPq [302604/2015-4, 306896/2015-0, 445446/2014-5]; FAPERGS [2325-2551/14-OSIAFEM]</t>
  </si>
  <si>
    <t>CAPES/CMAR2 (CAPES grant)(Coordenacao de Aperfeicoamento de Pessoal de Nivel Superior (CAPES)); NAUTILUS (CNPq grant); CAPES Foundation(Coordenacao de Aperfeicoamento de Pessoal de Nivel Superior (CAPES)); Brazilian Research Network on Global Climate Change - Rede CLIMA (FINEP); CNPq(Conselho Nacional de Desenvolvimento Cientifico e Tecnologico (CNPQ)); FAPERGS(Fundacao de Amparo a Ciencia e Tecnologia do Estado do Rio Grande do Sul (FAPERGS))</t>
  </si>
  <si>
    <t>This study has been partially funded by CAPES/CMAR2 (CAPES grant no. 23038.001421/2014-30) and NAUTILUS (CNPq grant no. 405869/2013-4) projects. L. Almeida also thanks the supports of CAPES Foundation (grant 23038.004299/2014-53). M. Araujo thanks the Brazilian Research Network on Global Climate Change - Rede CLIMA (FINEP Grants 01.13.0353-00). R. Kerr and M.M. Mata acknowledge CNPq research grants no. 302604/2015-4 and 306896/2015-0, respectively. J. Azevedo thanks the supports of CNPQ (grant 445446/2014-5) and FAPERGS (grant 2325-2551/14-OSIAFEM). The authors would like to thank two anonymous reviewers for comments that significantly improved the manuscript.</t>
  </si>
  <si>
    <t>10.1016/j.pocean.2018.02.008</t>
  </si>
  <si>
    <t>GE4DD</t>
  </si>
  <si>
    <t>WOS:000431163600002</t>
  </si>
  <si>
    <t>Giorio, C; Kehrwald, N; Barbante, C; Kalberer, M; King, ACF; Thomas, ER; Wolff, EW; Zennaro, P</t>
  </si>
  <si>
    <t>Giorio, Chiara; Kehrwald, Natalie; Barbante, Carlo; Kalberer, Markus; King, Amy C. F.; Thomas, Elizabeth R.; Wolff, Eric W.; Zennaro, Piero</t>
  </si>
  <si>
    <t>Prospects for reconstructing paleoenvironmental conditions from organic compounds in polar snow and ice</t>
  </si>
  <si>
    <t>Organic compounds; Molecular markers; Ice core; Polar; Environmental proxies</t>
  </si>
  <si>
    <t>POLYCYCLIC AROMATIC-HYDROCARBONS; SEA-SURFACE MICROLAYER; LIGHT CARBOXYLIC-ACIDS; LONG-RANGE TRANSPORT; GREENLAND ICE; METHANESULFONIC-ACID; CORE RECORDS; ORGANOCHLORINE PESTICIDES; FATTY-ACIDS; ATMOSPHERIC CONCENTRATIONS</t>
  </si>
  <si>
    <t>Polar ice cores provide information about past climate and environmental changes over periods ranging from a few years up to 800,000 years. The majority of chemical studies have focused on determining inorganic components, such as major ions and trace elements as well as on their isotopic fingerprint. In this paper, we review the different classes of organic compounds that might yield environmental information, discussing existing research and what is needed to improve knowledge. We also discuss the problems of sampling, analysis and interpretation of organic molecules in ice. This review highlights the great potential for organic compounds to be used as proxies for anthropogenic activities, past fire events from different types of biomass, terrestrial biogenic emissions and marine biological activity, along with the possibility of inferring past temperature fluctuations and even large-scale climate variability. In parallel, comprehensive research needs to be done to assess the atmospheric stability of these compounds, their ability to be transported long distances in the atmosphere, and their stability in the archive in order to better interpret their fluxes in ice cores. In addition, specific decontamination procedures, analytical methods with low detection limits (ng/L or lower), fast analysis time and low sample requests need to be developed in order to ensure a good time resolution in the archive. (C) 2018 Elsevier Ltd. All rights reserved.</t>
  </si>
  <si>
    <t>[Giorio, Chiara; Kalberer, Markus; King, Amy C. F.] Univ Cambridge, Dept Chem, Lensfield Rd, Cambridge CB2 1EW, England; [Kehrwald, Natalie] US Geol Survey, Geosci &amp; Environm Change Sci Ctr, Denver Fed Ctr, MS 980, Denver, CO 80225 USA; [Barbante, Carlo] CNR, Inst Dynam Environm Proc, Via Torino 155, I-30172 Venice, VE, Italy; [Barbante, Carlo; Zennaro, Piero] Ca Foscari Univ Venice, Dept Environm Sci Informat &amp; Stat, Via Torino 155, I-30172 Venice, VE, Italy; [King, Amy C. F.; Thomas, Elizabeth R.] British Antarctic Survey, Madingley Rd, Cambridge CB3 0ET, England; [Wolff, Eric W.] Univ Cambridge, Dept Earth Sci, Downing St, Cambridge CB2 3EQ, England; [Giorio, Chiara] Univ Padua, Dipartimento Sci Chim, Via Marzolo 1, I-35131 Padua, Italy</t>
  </si>
  <si>
    <t>University of Cambridge; United States Department of the Interior; United States Geological Survey; Consiglio Nazionale delle Ricerche (CNR); Istituto per la Dinamica dei Processi Ambientali (IDPA-CNR); Universita Ca Foscari Venezia; UK Research &amp; Innovation (UKRI); Natural Environment Research Council (NERC); NERC British Antarctic Survey; University of Cambridge; University of Padua</t>
  </si>
  <si>
    <t>Giorio, C (corresponding author), Univ Cambridge, Dept Chem, Lensfield Rd, Cambridge CB2 1EW, England.;Kehrwald, N (corresponding author), US Geol Survey, Geosci &amp; Environm Change Sci Ctr, Denver Fed Ctr, MS 980, Denver, CO 80225 USA.;Giorio, C (corresponding author), Univ Padua, Dipartimento Sci Chim, Via Marzolo 1, I-35131 Padua, Italy.</t>
  </si>
  <si>
    <t>chiara.giorio@unipd.it; nkehrwald@usgs.gov</t>
  </si>
  <si>
    <t>Barbante, Carlo/B-3195-2011; Wolff, Eric W/D-7925-2014; Thomas, Elizabeth Ruth/ADF-3660-2022; Giorio, Chiara/O-1707-2015; Kehrwald, Natalie M/A-3848-2013</t>
  </si>
  <si>
    <t>Wolff, Eric W/0000-0002-5914-8531; Thomas, Elizabeth Ruth/0000-0002-3010-6493; Giorio, Chiara/0000-0001-7821-7398; Kehrwald, Natalie M/0000-0002-9160-2239; King, Amy/0000-0002-1285-7568; Barbante, Carlo/0000-0003-4177-2288</t>
  </si>
  <si>
    <t>Royal Society professorship; European Union's Seventh Framework Programme (Ideas Specific Programme, ERC) [267696, 279405]; NERC [bas0100034] Funding Source: UKRI; Natural Environment Research Council [bas0100034, 1653427] Funding Source: researchfish; European Research Council (ERC) [267696] Funding Source: European Research Council (ERC)</t>
  </si>
  <si>
    <t>Royal Society professorship(Royal Society); European Union's Seventh Framework Programme (Ideas Specific Programme, ERC); NERC(UK Research &amp; Innovation (UKRI)Natural Environment Research Council (NERC)); Natural Environment Research Council(UK Research &amp; Innovation (UKRI)Natural Environment Research Council (NERC)); European Research Council (ERC)(European Research Council (ERC)Spanish Government)</t>
  </si>
  <si>
    <t>EW is supported by a Royal Society professorship. The research leading to these results has received funding from the European Union's Seventh Framework Programme (Ideas Specific Programme, ERC Advanced and Consolidator Grants) under grant agreement 267696 EARLYhumanIMPACT and under grant agreement 279405 COrANE.</t>
  </si>
  <si>
    <t>10.1016/j.quascirev.2018.01.007</t>
  </si>
  <si>
    <t>FY8GA</t>
  </si>
  <si>
    <t>WOS:000427101000001</t>
  </si>
  <si>
    <t>Wang, XW; Holland, DM; Gudmundsson, GH</t>
  </si>
  <si>
    <t>Wang, Xianwei; Holland, David M.; Gudmundsson, G. Hilmar</t>
  </si>
  <si>
    <t>Accurate coastal DEM generation by merging ASTER GDEM and ICESat/GLAS data over Mertz Glacier, Antarctica</t>
  </si>
  <si>
    <t>ASTER GDEM; ICESat/GLAS; ICE-Bridge; Mertz Glacier; Antarctic coast; Laser altimetry</t>
  </si>
  <si>
    <t>DIGITAL ELEVATION MODEL; SATELLITE RADAR; ICE-SHELF; THICKNESS; SURFACE; GREENLAND; PERFORMANCE; RESOLUTION; PRECISION; ALTIMETRY</t>
  </si>
  <si>
    <t>Mertz Glacier (MG) calved in February 2010 and a 70-years' calving cycle of MG was reported recently because of the shallow Mertz Bank. To better investigate the calving process, a high accurate surface Digital Elevation Model (DEM) with accurate date marker over MG is urgently required for numerical modeling, especially over the ice tongue. However it is quite challenging to generate an accurate DEM over high relief and steep slope regions. To solve this problem, a new method for accurate coastal DEM production by merging ASTER GDEM and ICESat/GLAS data is designed, which can effectively discriminate accurate elevation data from ASTER GDEM. Then, a DEM corresponding to the end of 2002 over MG is generated, which has an accuracy of 0.99 +/- 17.50 m. This DEM is several times better in accuracy than the original ASTER GDEM (accuracy: -8.17 +/- 54.31 m) and two new characteristics of ASTER GDEM have been found through analysis. First, ASTER GDEM has elevation bias (varying from 23 m to 28 m), spatially correlated to ASTER ground tracks, which was most probably caused by uncertainty of attitude measurements of ASTER. Second, ASTER GDEM grids with stacking number &gt;= 4 can be effectively adjusted by ground control points so as to improve elevation accuracy. Additionally, this DEM has the best accuracy by comparing with other DEMs (RAMP DEM: 47.71 +/- 91.61 m, ICESat/GLAS DEM: -1.01 +/- 30.33, Bamber DEM: -1.07 +/- 33.04 m, Bedmap-2 DEM: 9.19 +/- 48.34 m, and Cryosat-2 DEM: -5.42 +/- 32.02 m). The high performance of our DEM in accuracy indicates that our method is effective and has a potential to be widely used to improve existing ASTER GDEM along Antarctic coast.</t>
  </si>
  <si>
    <t>[Wang, Xianwei; Holland, David M.] New York Univ Abu Dhabi, Ctr Global Sea Level Change, Abu Dhabi, U Arab Emirates; [Gudmundsson, G. Hilmar] British Antarctic Survey, High Cross, Madingley Rd, Cambridge CB3 0ET, England; [Holland, David M.] NYU, Courant Inst Math Sci, New York, NY 10012 USA</t>
  </si>
  <si>
    <t>New York University Abu Dhabi; UK Research &amp; Innovation (UKRI); Natural Environment Research Council (NERC); NERC British Antarctic Survey; New York University</t>
  </si>
  <si>
    <t>Wang, XW (corresponding author), New York Univ Abu Dhabi, Ctr Global Sea Level Change, Abu Dhabi, U Arab Emirates.</t>
  </si>
  <si>
    <t>wangxianwei0304@163.com</t>
  </si>
  <si>
    <t>Gudmundsson, Gudmundur Hilmar/AAU-5987-2020</t>
  </si>
  <si>
    <t>Gudmundsson, Gudmundur Hilmar/0000-0003-4236-5369; wang, xianwei/0000-0002-2119-0267</t>
  </si>
  <si>
    <t>Center for Global Sea Level Change (CSLC) of NYU Abu Dhabi [G1204]; NERC [bas0100034] Funding Source: UKRI</t>
  </si>
  <si>
    <t>Center for Global Sea Level Change (CSLC) of NYU Abu Dhabi; NERC(UK Research &amp; Innovation (UKRI)Natural Environment Research Council (NERC))</t>
  </si>
  <si>
    <t>ASTER GDEM is a product of METI and NASA. We are grateful to the NSIDC for free using of ICESat/GLAS data and ICE-Bridge data. This research was supported by the Center for Global Sea Level Change (CSLC) of NYU Abu Dhabi (Grant: G1204). The DEM can be achieved by contacting with Dr. Wang (wangxianwei0304@163.com). We are grateful to both reviewers for their constructive comments to improve this research.</t>
  </si>
  <si>
    <t>10.1016/j.rse.2017.12.041</t>
  </si>
  <si>
    <t>FZ1NF</t>
  </si>
  <si>
    <t>WOS:000427342700016</t>
  </si>
  <si>
    <t>Chernykh, IV; Aldukhov, OA</t>
  </si>
  <si>
    <t>Chernykh, I. V.; Aldukhov, O. A.</t>
  </si>
  <si>
    <t>Estimating the Number of Cloud Layers through Radiosonde Data from Russian Aerological Stations for 1964-2014</t>
  </si>
  <si>
    <t>RUSSIAN METEOROLOGY AND HYDROLOGY</t>
  </si>
  <si>
    <t>Russian aerological stations; radiosonde data; cloud layer number; vertical distribution</t>
  </si>
  <si>
    <t>Radiosonde data are used for the period of 1964-2014 and the method that determines the boundaries and cloud amount based on the profiles of temperature and humidity [23]; long-period statistical characteristics are computed for the cloud layer number for different altitude ranges from the ground to 10 km. The study is performed for the Russian aerological stations located at different latitudes and climate zones. To specify the spatiotemporal features of the atmosphere layering into cloud layers and cloudless layers between them, the estimates of monthly mean, seasonal mean, and annual mean values of cloud layer number as well as of their standard deviations are computed, and the amplitude of their variations is determined. The results qualitatively agree with the data of aircraft-based sounding of the atmosphere as well as with the data of radars and experiments with free balloons.</t>
  </si>
  <si>
    <t>[Chernykh, I. V.; Aldukhov, O. A.] All Russian Res Inst Hydrometeorol Informat World, Ul Koroleva 6, Obninsk 249035, Kaluga Oblast, Russia</t>
  </si>
  <si>
    <t>Chernykh, IV (corresponding author), All Russian Res Inst Hydrometeorol Informat World, Ul Koroleva 6, Obninsk 249035, Kaluga Oblast, Russia.</t>
  </si>
  <si>
    <t>civ@meteo.ru</t>
  </si>
  <si>
    <t>Soros grant [Z1000]; Russian Foundation for Basic Research [01-05-65285, 01-05-96287, 02-05-64088, 04-05-97207, 07-05-96402]; subprogram Detection of Changes in the Antarctic Environment under Conditions of Changing Climate of the Federal Task Program The World Ocean</t>
  </si>
  <si>
    <t>Soros grant; Russian Foundation for Basic Research(Russian Foundation for Basic Research (RFBR)Spanish Government); subprogram Detection of Changes in the Antarctic Environment under Conditions of Changing Climate of the Federal Task Program The World Ocean</t>
  </si>
  <si>
    <t>The works on retrieving the amount and boundaries of clouds from radiosonde data were supported by the Soros grant (Z1000), the works on studying the vertical macrostructure of cloudiness were supported by the Russian Foundation for Basic Research (grants 01-05-65285, 01-05-96287, 02-05-64088, 04-05-97207, and 07-05-96402), and the works on the climatic study of cloud layers over the Antarctic region were supported by the subprogram Detection of Changes in the Antarctic Environment under Conditions of Changing Climate of the Federal Task Program The World Ocean.</t>
  </si>
  <si>
    <t>PLEIADES PUBLISHING INC</t>
  </si>
  <si>
    <t>MOSCOW</t>
  </si>
  <si>
    <t>PLEIADES PUBLISHING INC, MOSCOW, 00000, RUSSIA</t>
  </si>
  <si>
    <t>1068-3739</t>
  </si>
  <si>
    <t>1934-8096</t>
  </si>
  <si>
    <t>RUSS METEOROL HYDRO+</t>
  </si>
  <si>
    <t>Russ. Meteorol. Hydrol.</t>
  </si>
  <si>
    <t>10.3103/S1068373918030032</t>
  </si>
  <si>
    <t>GB9AA</t>
  </si>
  <si>
    <t>WOS:000429365200003</t>
  </si>
  <si>
    <t>Pewsey, A</t>
  </si>
  <si>
    <t>Pewsey, Arthur</t>
  </si>
  <si>
    <t>Parametric bootstrap edf-based goodness-of-fit testing for sinh-arcsinh distributions</t>
  </si>
  <si>
    <t>TEST</t>
  </si>
  <si>
    <t>2nd Workshop on Goodness-of-Fit and Change-Point Problems (GOF)</t>
  </si>
  <si>
    <t>SEP 04-06, 2015</t>
  </si>
  <si>
    <t>Natl &amp; Kapodistrian Univ Athens, Dept Econ, Athens, GREECE</t>
  </si>
  <si>
    <t>Natl &amp; Kapodistrian Univ Athens, Dept Econ</t>
  </si>
  <si>
    <t>Anderson-Darling statistic; Logistic distribution; Normal distribution; Quantile-based estimation; Sinh-arcsinh transformation; t-distribution</t>
  </si>
  <si>
    <t>LOGISTIC DISTRIBUTION; CRUDE-OIL; KURTOSIS</t>
  </si>
  <si>
    <t>Four-parameter sinh-arcsinh classes provide flexible distributions with which to model skew, as well as light- or heavy-tailed, departures from a symmetric base distribution. A quantile-based method of estimating their parameters is proposed and the resulting estimates advocated as starting values from which to initiate maximum likelihood estimation. Parametric bootstrap edf-based goodness-of-fit tests for sinh-arcsinh distributions are proposed, and their operating characteristics for small- to medium-sized samples explored in Monte Carlo experiments. The developed methodology is illustrated in the analysis of data on the body mass index of athletes and the depth of snow on an Antarctic ice floe.</t>
  </si>
  <si>
    <t>[Pewsey, Arthur] Univ Extremadura, Dept Math, Escuela Polit, Caceres 10003, Spain</t>
  </si>
  <si>
    <t>Universidad de Extremadura</t>
  </si>
  <si>
    <t>Pewsey, A (corresponding author), Univ Extremadura, Dept Math, Escuela Polit, Caceres 10003, Spain.</t>
  </si>
  <si>
    <t>apewsey@unex.es</t>
  </si>
  <si>
    <t>Pewsey, Arthur/L-5760-2014; Pewsey, Arthur/ABH-7473-2020</t>
  </si>
  <si>
    <t>Pewsey, Arthur/0000-0003-3093-2469; Pewsey, Arthur/0000-0003-3093-2469</t>
  </si>
  <si>
    <t>Junta de Extremadura; European Union [GR15013]</t>
  </si>
  <si>
    <t>Junta de Extremadura; European Union(European Union (EU))</t>
  </si>
  <si>
    <t>I am most grateful to Dr Chris Banks and Professor Paul Garthwaite for access to the snow depth data, and to two referees and an Associate Editor for their careful reading of the original manuscript and helpful suggestions as to how it might be improved. Financial support for the research which led to the production of this paper was received from the Junta de Extremadura and the European Union in the form of grant GR15013.</t>
  </si>
  <si>
    <t>1133-0686</t>
  </si>
  <si>
    <t>1863-8260</t>
  </si>
  <si>
    <t>TEST-SPAIN</t>
  </si>
  <si>
    <t>Test</t>
  </si>
  <si>
    <t>10.1007/s11749-017-0538-2</t>
  </si>
  <si>
    <t>Statistics &amp; Probability</t>
  </si>
  <si>
    <t>FW2VV</t>
  </si>
  <si>
    <t>WOS:000425163500008</t>
  </si>
  <si>
    <t>Lange, PK; Ligowski, R; Tenenbaum, DR</t>
  </si>
  <si>
    <t>Lange, Priscila Kienteca; Ligowski, Ryszard; Tenenbaum, Denise Rivera</t>
  </si>
  <si>
    <t>Phytoplankton in the embayments of King George Island (Antarctic Peninsula): a review with emphasis on diatoms</t>
  </si>
  <si>
    <t>SOUTH-SHETLAND ISLANDS; ADMIRALTY BAY; POTTER COVE; SEASONAL-VARIATION; BENTHIC DIATOMS; SP NOV.; IRON; VARIABILITY; DYNAMICS; BIOMASS</t>
  </si>
  <si>
    <t>Considering that phytoplankton assemblages are good bioindicators of environmental conditions, the sensitivity of the Western Antarctic Peninsula (WAP) to climate change, and the importance of some areas of its islands as Antarctic Specially Managed Areas, this work assembles published datasets on phytoplankton biodiversity and ecology in confined coastal areas (embayments) of King George Island, WAP. Over 33 years (1980-2013), 415 species from 122 genera have been identified to species level, being mostly diatoms (371 species), with 10 new species described with local material (6 diatoms, 4 cyanobacteria). The importance of diatoms was indicated by the frequent occurrence of Corethron pennatum, Pseudogomphonema kamtshaticum, and abundant benthic genera in the plankton (e.g. Navicula, Cocconeis). The increased contribution of dinoflagellates after 2010 suggests marked changes in the water column. Early-summer blooms differ between the bays' eastern and western shores, with terrestrial melting and wind-driven upwelling inducing the dominance of benthic species at eastern shores, whereas planktonic diatoms (Thalassiosira, Pseudo-nizschia, and Chaetoceros) are most abundant along western shores and central areas. The importance of an accurate identification of organisms that are becoming key ecological components of the region is discussed, as recent changes in the microflora may affect the entire marine food web.</t>
  </si>
  <si>
    <t>[Lange, Priscila Kienteca] Univ Fed Rio de Janeiro, Inst Biol, Predio CCS, Rua Prof Rodolpho P Rocco 211,Bl A, BR-21941617 Rio De Janeiro, RJ, Brazil; [Ligowski, Ryszard] Univ Lodz, Fac Biol &amp; Environm Protect, Lab Polar Biol &amp; Oceanobiol, Lodz, Poland; [Tenenbaum, Denise Rivera] Univ Fed Rio de Janeiro, Inst Biol, Rio De Janeiro, RJ, Brazil</t>
  </si>
  <si>
    <t>Universidade Federal do Rio de Janeiro; University of Lodz; Universidade Federal do Rio de Janeiro</t>
  </si>
  <si>
    <t>Lange, PK (corresponding author), Univ Fed Rio de Janeiro, Inst Biol, Predio CCS, Rua Prof Rodolpho P Rocco 211,Bl A, BR-21941617 Rio De Janeiro, RJ, Brazil.</t>
  </si>
  <si>
    <t>prilange@gmail.com</t>
  </si>
  <si>
    <t>Lange, Priscila/Q-4106-2019</t>
  </si>
  <si>
    <t>Kienteca Lange, Priscila/0000-0003-2136-2273</t>
  </si>
  <si>
    <t>National Council for Research and Development (CNPq) [574018/2008-5]; Research Support Foundation of the State of Rio de Janeiro (FAPERJ) [E-16/170.023/2008]</t>
  </si>
  <si>
    <t>National Council for Research and Development (CNPq)(Conselho Nacional de Desenvolvimento Cientifico e Tecnologico (CNPQ)); Research Support Foundation of the State of Rio de Janeiro (FAPERJ)(Fundacao Carlos Chagas Filho de Amparo a Pesquisa do Estado do Rio De Janeiro (FAPERJ))</t>
  </si>
  <si>
    <t>This work received financial support fromz the National Council for Research and Development (CNPq no 574018/2008-5) and Research Support Foundation of the State of Rio de Janeiro (FAPERJ no E-16/170.023/2008).</t>
  </si>
  <si>
    <t>10.1017/S0032247418000232</t>
  </si>
  <si>
    <t>GP2MJ</t>
  </si>
  <si>
    <t>WOS:000440667400006</t>
  </si>
  <si>
    <t>Dudeney, JR; Sheail, J; Walton, DWH</t>
  </si>
  <si>
    <t>Dudeney, J. R.; Sheail, J.; Walton, D. W. H.</t>
  </si>
  <si>
    <t>The British Government, Ernest Shackleton, and the rescue of the Imperial Trans-Antarctic Expedition (vol 52, pg 380, 2014)</t>
  </si>
  <si>
    <t>10.1017/S0032247418000281</t>
  </si>
  <si>
    <t>WOS:000440667400011</t>
  </si>
  <si>
    <t>Lund-Hansen, LC; Hawes, I; Nielsen, MH; Dahllöf, I; Sorrell, BK</t>
  </si>
  <si>
    <t>Lund-Hansen, Lars Chresten; Hawes, Ian; Nielsen, Morten Holtegaard; Dahllof, Ingela; Sorrell, Brian K.</t>
  </si>
  <si>
    <t>Summer meltwater and spring sea ice primary production, light climate and nutrients in an Arctic estuary, Kangedussuaq, west Greenland</t>
  </si>
  <si>
    <t>Arctic estuary; melt water; primary production; sea ice</t>
  </si>
  <si>
    <t>PELAGIC PRIMARY PRODUCTION; OPTICAL-PROPERTIES; MARINE ECOSYSTEM; SNOW COVER; KANGERLUSSUAQ; PHYTOPLANKTON; FJORD; SHEET; ALGAE; RIVER</t>
  </si>
  <si>
    <t>The estuary is dominated by sea ice and snow cover from winter to spring, and a highly turbid meltwater plume during summer. The aims were to quantify the variability in optical conditions, inorganic nutrients, and primary production between these two extremes, and identify the drivers of variability. Data were obtained during a summer cruise along a transect in the estuary in August 2007, and a spring campaign on the ice in March 2011. The study comprises conductivity, temperature, and depth (CTD), K-d (PAR), K-d (A), PAR transmittance, photic depth, chl-a, nutrients (NO3, NO2, NH3 , PO4, and SiO2), primary production, and sediment concentrations. PAR transmittance varied between 5% below snow and ice and 85% in clear water with 44% in turbid meltwater. Primary production rates were similar below the ice in March (76.8 mg C m(-2) d(-1)) and in the highly turbid meltwater in August (94.8 mg C m(-2) d(-1)), but higher (246.6 mg C m(-2) d(-1)) at the mouth of the fjord. Meltwater inflow was the main driver of variability during summer and the snow and sea ice during spring. Under-ice primary production will increase three-fold with less snow on the sea ice, and the higher meltwater turbidity with increased melting of glacial ice and runoff will only reduce primary production slightly.</t>
  </si>
  <si>
    <t>[Lund-Hansen, Lars Chresten; Sorrell, Brian K.] Aarhus Univ, Aquat Biol, Dept Biosci, Aarhus C, Denmark; [Lund-Hansen, Lars Chresten; Sorrell, Brian K.] Aarhus Univ, Arctic Res Ctr, Aarhus C, Denmark; [Hawes, Ian] Univ Canterbury, Gateway Antarctica, Christchurch, New Zealand; [Hawes, Ian] Univ Waikato, Coastal Marine Field Stn, Tauranga, New Zealand; [Nielsen, Morten Holtegaard] Marine Sci Consulting, Copenhagen S, Denmark; [Dahllof, Ingela] Univ Gothenburg, Biol &amp; Environm Sci, Gothenburg, Sweden</t>
  </si>
  <si>
    <t>Aarhus University; Aarhus University; University of Canterbury; University of Waikato; University of Gothenburg</t>
  </si>
  <si>
    <t>Lund-Hansen, LC (corresponding author), Aarhus Univ, Aquat Biol, Dept Biosci, Aarhus C, Denmark.;Lund-Hansen, LC (corresponding author), Aarhus Univ, Arctic Res Ctr, Aarhus C, Denmark.</t>
  </si>
  <si>
    <t>lund-hansen@bios.au.dk</t>
  </si>
  <si>
    <t>Dahllöf, Ingela/K-6742-2018; Lund-Hansen, Lars Chresten/J-8888-2013; Sorrell, Brian/L-1351-2013</t>
  </si>
  <si>
    <t>Dahllöf, Ingela/0000-0002-0777-5971; Lund-Hansen, Lars Chresten/0000-0001-5925-322X; Sorrell, Brian/0000-0002-2460-8438</t>
  </si>
  <si>
    <t>Greenland Science Commission; Carlsberg Foundation; Brdr. Hartmanns Foundation; Aarhus University Research Foundation; Danish Research Council for Independent Research [DFF - 1323-00335]</t>
  </si>
  <si>
    <t>Greenland Science Commission; Carlsberg Foundation(Carlsberg Foundation); Brdr. Hartmanns Foundation; Aarhus University Research Foundation; Danish Research Council for Independent Research(Det Frie Forskningsrad (DFF))</t>
  </si>
  <si>
    <t>This study was supported by the Greenland Science Commission, The Carlsberg Foundation, Brdr. Hartmanns Foundation, Aarhus University Research Foundation, and Danish Research Council for Independent Research (Project DFF - 1323-00335).</t>
  </si>
  <si>
    <t>e1414468</t>
  </si>
  <si>
    <t>10.1080/15230430.2017.1414468</t>
  </si>
  <si>
    <t>GN1KS</t>
  </si>
  <si>
    <t>WOS:000438749600001</t>
  </si>
  <si>
    <t>van Caspel, M; Hellmer, HH; Mata, MM</t>
  </si>
  <si>
    <t>van Caspel, Mathias; Hellmer, Hartmut H.; Mata, Mauricio M.</t>
  </si>
  <si>
    <t>On the ventilation of Bransfield Strait deep basins</t>
  </si>
  <si>
    <t>Bransfield Strait; Weddell Sea; Deep water mass; Ice shelf water; West Antarctic Peninsula</t>
  </si>
  <si>
    <t>NORTHWESTERN WEDDELL SEA; ICE-OCEAN MODEL; BOTTOM-WATER; SHELF; CIRCULATION; VARIABILITY</t>
  </si>
  <si>
    <t>The deep basins of the Bransfield Strait (BS) are ventilated by Weddell Sea (WS) waters from different origins. Depending on the source and density, these water masses follow different routes across the complex topography near the tip of the Antarctic Peninsula and thus into the Bransfield Strait abyss. Using a global setup of the Finite Element Sea-ice Ocean Model (FESOM) we show that the WS waters found at the western WS continental shelf break have a higher influence on the short period variability of BS bottom waters than the waters present over the continental shelf. Adding passive tracers to the glacial melt water (GMW) from two different origins, Larsen Ice Shelf (LIS) and Filchner-Ronne Ice Shelf (FRIS), we show that the GMW from FRIS has a larger influence on BS bottom waters than the GMW from LIS. FRIS GMW has a higher concentration in the BS eastern basin, while LIS GMW is more abundant in the BS central basin. This duality mainly leads to the difference between BS central and eastern basins seen on the observations. This is a novel result and we believe is a significant contribution to the understanding of the BS-WS circulation and interactions.</t>
  </si>
  <si>
    <t>[van Caspel, Mathias; Hellmer, Hartmut H.] Alfred Wegener Inst, Bussestr 24, D-27570 Bremerhaven, Germany; [Mata, Mauricio M.] Fundacao Univ Fed Rio Grande, Rio Grande, RS, Brazil</t>
  </si>
  <si>
    <t>Helmholtz Association; Alfred Wegener Institute, Helmholtz Centre for Polar &amp; Marine Research; Universidade Federal do Rio Grande</t>
  </si>
  <si>
    <t>van Caspel, M (corresponding author), Alfred Wegener Inst, Bussestr 24, D-27570 Bremerhaven, Germany.</t>
  </si>
  <si>
    <t>Mathias.van.Caspel@awi.de; Hartmut.Hellmer@awi.de; mauricio.mata@furg.br</t>
  </si>
  <si>
    <t>; Mata, Mauricio/H-4605-2011</t>
  </si>
  <si>
    <t>van Caspel, Mathias/0000-0002-8730-1636; Mata, Mauricio/0000-0002-9028-8284; Hellmer, Hartmut/0000-0002-9357-9853</t>
  </si>
  <si>
    <t>DFG [SPP1158]; CNPq [290034/2011-6, 405869/2013-4, 306896/2015-0]; NCT-Criosfera</t>
  </si>
  <si>
    <t>DFG(German Research Foundation (DFG)); CNPq(Conselho Nacional de Desenvolvimento Cientifico e Tecnologico (CNPQ)); NCT-Criosfera</t>
  </si>
  <si>
    <t>The first author is financed by DFG SPP1158, grant no. The simulation was performed under financial support CNPq grant no. 290034/2011-6. M. M. Mata acknowledges the support from NCT-Criosfera and CNPq grants (405869/2013-4 and 306896/2015-0). The authors acknowledge the North-German Supercomputing Alliance (HLRN) for providing HPC resources that have contributed to the research results reported in this paper.</t>
  </si>
  <si>
    <t>10.1016/j.dsr2.2017.09.006</t>
  </si>
  <si>
    <t>WOS:000437037100004</t>
  </si>
  <si>
    <t>Barlett, EMR; Tosonotto, GV; Piola, AR; Sierra, ME; Mata, MM</t>
  </si>
  <si>
    <t>Ruiz Barlett, Eduardo M.; Tosonotto, Gabriela V.; Piola, Alberto R.; Sierra, Marta E.; Mata, Mauricio M.</t>
  </si>
  <si>
    <t>On the temporal variability of intermediate and deep waters in the Western Basin of the Bransfield Strait</t>
  </si>
  <si>
    <t>Water masses; Western Basin; Bransfield Strait; Modified Circumpolar Deep Water (mCDW); Warming; Interannual variability; ENSO; SAM</t>
  </si>
  <si>
    <t>OPTIMUM MULTIPARAMETER ANALYSIS; PENINSULA CONTINENTAL-SHELF; ANTARCTIC BOTTOM WATER; CLIMATE-CHANGE; MASS PROPERTIES; SOUTHERN-OCEAN; ANNULAR MODE; SEA-ICE; WEDDELL; ENSO</t>
  </si>
  <si>
    <t>The Western Basin (WB) of the Bransfield Strait has a complex water mass structure derived from a variety of sources, and is located next to the Antarctic region most affected by climate change. The WB is one of the three Bransfield Strait deep basins and the one most directly influenced by the waters from the Bellingshausen Sea and Drake Passage. The objective of this paper is to study the variability of the inflow of water masses to the WB and to detect the possible impact of regional climate change. We focus on the modified Circumpolar Deep Water (mCDW) that enters the WB through the northwestern passages. To achieve this goal, this study uses historical hydrographic data collected between 1960 and 2014. Warming (0.0161 +/- 0.0079 degrees C yr(-1)) and lightening (-0.0023 +/- 0.0010 kg m(-3) yr(-1)) of the mCDW core (gamma(n) = 27.85-28.27 kg m(-3)) are observed in the WB between 1960 and 2013. The waters within the 27.85-28 kg m(-3) gamma(n) range presented warming and salinization. Waters deeper than 500 m showed cooling and freshening between the 1960s and 1990s; however, warming and lightening are observed if 1981-2013 is considered. These trends appear to be associated with the positive SAM trend observed since the mid-20th century. Statistically significant negative correlations between theta, S and gamma(n) of the mCDW core with ENSO were found between 1980 and 2014. During La Nina phases, the mCDW core extended along the southern slope of the South Shetland Islands while during El Nino phases, it was present in patches or was totally absent. Since the 2000s, the mCDW core extends southward within the WB, possibly associated to positive SAM phases. Statistically significant negative correlations between theta and S of the WB deeper waters with ENSO and SAM were found. These waters were in general more saline and denser during negative ENSO and SAM phases. Positive SAM phases with La Nina events suggest the increase (decrease) of mCDW (Weddell Sea shelf waters) contribution to the deep WB during the 2000s. Thus, high interannual variability in the thermohaline properties within the WB seem to be linked to the effect of these modes of climate variability on the source water masses.</t>
  </si>
  <si>
    <t>[Ruiz Barlett, Eduardo M.; Tosonotto, Gabriela V.; Sierra, Marta E.] Inst Antartico Argentino, Dept Oceanog, Ave 25 Mayo 1143 B1650HMK, Buenos Aires, DF, Argentina; [Piola, Alberto R.; Sierra, Marta E.] UBA, Fac Ciencias Exactas &amp; Nat, Intendente Guraldes 2160 C1428EGA, Buenos Aires, DF, Argentina; [Piola, Alberto R.] Serv Hidrog Naval, Ave Montes Oca 2124 C1270ABV, Buenos Aires, DF, Argentina; [Piola, Alberto R.] UMI IFAECI, Ave Montes Oca 2124 C1270ABV, Buenos Aires, DF, Argentina; [Mata, Mauricio M.] Univ Fed Rio Grande FURG, Inst Oceanog, Lab Escudos Oceanos &amp; Clima, BR-96203900 Rio Grande, RS, Brazil</t>
  </si>
  <si>
    <t>Instituto Antartico Argentino; University of Buenos Aires; Servicio de Hidrografia Naval; Universidade Federal do Rio Grande</t>
  </si>
  <si>
    <t>Barlett, EMR (corresponding author), Inst Antartico Argentino, Dept Oceanog, Ave 25 Mayo 1143 B1650HMK, Buenos Aires, DF, Argentina.</t>
  </si>
  <si>
    <t>eruiz@dna.gov.ar; gtosonotto@dna.gov.ar; piolaar@gmail.com; msierra@dna.gov.ar; mauricio.mata@furg.br</t>
  </si>
  <si>
    <t>Piola, Alberto R/O-2280-2013; Piola, Alberto/HZI-5475-2023; Mata, Mauricio/H-4605-2011</t>
  </si>
  <si>
    <t>Mata, Mauricio/0000-0002-9028-8284</t>
  </si>
  <si>
    <t>Brazilian Ministry of the Environment; Brazilian Ministry of Science, Technology, Innovation and Communication (MCTIC); Brazilian Council for Research and Scientific Development (CNPq) through grant from the Brazilian National Institute of Science and Technology of Cryosphere (INCT-CRIOSFERA); Brazilian Council for Research and Scientific Development (CNPq) through grant from the Brazilian National Institute of Science and Technology of Cryosphere (CNPq) [573720/2008-8, 465680/2014-3]; NAUTILUS (CNPq) [405869/2013-4]; CAPES/CMAR2 (CAPES) [23038.001421/2014-30]; Inter-American Institute for Global Change Research (IAI) through the US National Science Foundation [CRN3070, GEO-1128040]; Instituto Antartico Argentino (IAA); CNPq [306896/2015-0]</t>
  </si>
  <si>
    <t>Brazilian Ministry of the Environment; Brazilian Ministry of Science, Technology, Innovation and Communication (MCTIC); Brazilian Council for Research and Scientific Development (CNPq) through grant from the Brazilian National Institute of Science and Technology of Cryosphere (INCT-CRIOSFERA)(Conselho Nacional de Desenvolvimento Cientifico e Tecnologico (CNPQ)); Brazilian Council for Research and Scientific Development (CNPq) through grant from the Brazilian National Institute of Science and Technology of Cryosphere (CNPq)(Conselho Nacional de Desenvolvimento Cientifico e Tecnologico (CNPQ)); NAUTILUS (CNPq)(Conselho Nacional de Desenvolvimento Cientifico e Tecnologico (CNPQ)); CAPES/CMAR2 (CAPES)(Coordenacao de Aperfeicoamento de Pessoal de Nivel Superior (CAPES)); Inter-American Institute for Global Change Research (IAI) through the US National Science Foundation; Instituto Antartico Argentino (IAA); CNPq(Conselho Nacional de Desenvolvimento Cientifico e Tecnologico (CNPQ))</t>
  </si>
  <si>
    <t>This study provides a contribution to the activities of the Brazilian High Latitudes Oceanography Group (GOAL), which is part of the Brazilian Antarctic Program (PROANTAR). GOAL has been funded by and/or has received logistical support from the Brazilian Ministry of the Environment (MMA), the Brazilian Ministry of Science, Technology, Innovation and Communication (MCTIC), and the Brazilian Council for Research and Scientific Development (CNPq) through grants from the Brazilian National Institute of Science and Technology of Cryosphere (INCT-CRIOSFERA; CNPq grants no 573720/2008-8 and 465680/2014-3), NAUTILUS (CNPq grant no 405869/2013-4), and CAPES/CMAR2 (CAPES grant no 23038.001421/2014-30) projects. A.R. Piola acknowledges the support of the Inter-American Institute for Global Change Research (IAI grant CRN3070) through the US National Science Foundation grant GEO-1128040. E.M. Ruiz Barlett, G.V. Tosonotto and M.E. Sierra acknowledge the support of the Instituto Antartico Argentino (IAA). M. M. Mata acknowledges CNPq researcher grant 306896/2015-0. We would also like to thank to Silvia Rodriguez, Martha Martorell, Lucas Martinez Alvarez and Alfredo Costa for providing language help.</t>
  </si>
  <si>
    <t>10.1016/j.dsr2.2017.12.010</t>
  </si>
  <si>
    <t>WOS:000437037100005</t>
  </si>
  <si>
    <t>Santini, MF; Souza, RB; Wainer, I; Muelbert, MM</t>
  </si>
  <si>
    <t>Santini, Marcelo F.; Souza, Ronald B.; Wainer, Ilana; Muelbert, Monica M.</t>
  </si>
  <si>
    <t>Temporal analysis of water masses and sea ice formation rate west of the Antarctic Peninsula in 2008 estimated from southern elephant seals' SRDL-CTD data</t>
  </si>
  <si>
    <t>Water masses; Sea ice formation rate; SRDL-CTD; Antarctic Peninsula</t>
  </si>
  <si>
    <t>CONTINENTAL-SHELF; WEDDELL SEA; TEMPERATURE TRENDS; OCEAN; CIRCULATION; VARIABILITY; SUMMER; FALL; STRATIFICATION; 20TH-CENTURY</t>
  </si>
  <si>
    <t>As an alternative method to collect oceanographic data in the polar oceans, especially during winter when traditional methods are very difficult to be used, sea mammals can be tagged with Satellite Relay Data Loggers with CTD capabilities (SRDL-CTD). Using data from nine southern elephant seals (SES; Mirounga leonina) tagged during a field campaign of the MEOP-BR project (the Brazilian Counterpart to the Marine Mammal Exploration of the Oceans Pole to Pole), this work presents a temporal analysis of the water masses and the sea ice formation rate at the western part of the Antarctic Peninsula (AP) during 2008. We found that the seasonal and local processes controlling the surface and intermediate layers of the ocean produced differences in the water mass composition and the sea ice formation rates in our study region. Sea ice formation rates ranged from less than 1 cm/day in deep sea waters off the northern part of the AP to 14 cm/day at the vicinity of ice shelves such as the Abbot and Wilkins ice shelves, further south in the AP. Maximum sea ice formation rates, as expected, occurred during autumn to winter. After the successive collapse events of the Wilkins Ice Shelf (WIS) in 2008, the sea ice formation rate endured significant reductions even when sea ice concentrations were high in the region. These reductions, observed by SES in the vicinity of WIS can be associated with freshwater input derived from shelf collapses. The presence of the Circumpolar Deep Water (CDW) over the continental shelf west of the AP affected the sea ice formation rate by both contributing to the observed low sea ice coverage and to the acceleration of the ice shelf melting. Another process that demonstrated influence on the formation of sea ice was the advection of more saline waters in the oceanic layer considered here for the application of salt balance equation. This advection resulted in unrealistic sea ice formation rates in regions where there was no sea ice cover. The data and results presented here can be used to feed and to validate climate ocean-atmosphere coupled models. The data can be combined with other (more traditional) meteorological and oceanographic data in order to provide a better understanding of both oceanic and ocean-atmosphere coupled processes yet not very well known in our study region.</t>
  </si>
  <si>
    <t>[Santini, Marcelo F.] Inst Nacl Pesquisas Espaciais DSR INPE, Div Sensoriamento Remoto, Ave Astronautas 1758, BR-12227010 Sao Jose Dos Campos, SP, Brazil; [Souza, Ronald B.] Inst Nacl Pesquisas Espaciais CRS INPE, Ctr Reg Sul Pesquisas Espaciais, Santa Maria, RS, Brazil; [Wainer, Ilana] Univ Sao Paulo IOUSP, Inst Oceanog, Dept Oceanog Fis, Sao Paulo, SP, Brazil; [Muelbert, Monica M.] Univ Fed Rio Grande IO FURG, Inst Oceanog, Rio Grande, RS, Brazil</t>
  </si>
  <si>
    <t>Universidade Federal do Rio Grande</t>
  </si>
  <si>
    <t>Santini, MF (corresponding author), Inst Nacl Pesquisas Espaciais DSR INPE, Div Sensoriamento Remoto, Ave Astronautas 1758, BR-12227010 Sao Jose Dos Campos, SP, Brazil.</t>
  </si>
  <si>
    <t>marcelo.santini@inpe.br</t>
  </si>
  <si>
    <t>Souza, Ronald Buss de/R-5867-2016; Muelbert, Monica/T-3935-2019; de Souza, Ronald Buss/AAP-7586-2021; WAINER, ILANA/B-4540-2011</t>
  </si>
  <si>
    <t>Souza, Ronald Buss de/0000-0003-3346-3370; de Souza, Ronald Buss/0000-0003-3346-3370; WAINER, ILANA/0000-0003-3784-623X; Santini, Marcelo/0000-0002-6760-2247</t>
  </si>
  <si>
    <t>Research and Scientific Development Council of Brazil (CNPq) as part of MEOP (Marine Mammals Exploring the Oceans Pole to Pole), an International Polar Year (IPY) programme; CNPq [520196/2006-6, 550370/2002-1, 520189/2006-0, 704222/2009, 465680/2014-13]; Brazilian Ministry of the Environment (MMA); Brazilian Ministry of Science, Technology, Innovation and Communications (MCTIC); CAPES (Ministry of Education) [23038.004304/2014-28]</t>
  </si>
  <si>
    <t>Research and Scientific Development Council of Brazil (CNPq) as part of MEOP (Marine Mammals Exploring the Oceans Pole to Pole), an International Polar Year (IPY) programme(Fundacao de Apoio a Pesquisa do Distrito Federal (FAPDF)Conselho Nacional de Desenvolvimento Cientifico e Tecnologico (CNPQ)); CNPq(Conselho Nacional de Desenvolvimento Cientifico e Tecnologico (CNPQ)); Brazilian Ministry of the Environment (MMA); Brazilian Ministry of Science, Technology, Innovation and Communications (MCTIC); CAPES (Ministry of Education)(Coordenacao de Aperfeicoamento de Pessoal de Nivel Superior (CAPES))</t>
  </si>
  <si>
    <t>We thank Dr. Rodrigo Kerr from the Brazilian High Latitudes Oceanographic Group for making the traditional LID data from GOAL available for this work. Two anonymous reviewers provided important comments that reflected in substantial improvements to this paper. The authors acknowledge the logistical support of PROANTAR and the Brazilian Navy to Projects MEOP-BR, SOS-Climate and GOAL. MEOP-BR is funded by the Research and Scientific Development Council of Brazil (CNPq) as part of MEOP (Marine Mammals Exploring the Oceans Pole to Pole), an International Polar Year (IPY) programme. CNPq also provided grant number 520196/2006-6 to MMCM. GOAL has been funded by the Brazilian Ministry of the Environment (MMA), the Brazilian Ministry of Science, Technology, Innovation and Communications (MCTIC) and CNPq through grants 550370/2002-1 (GOAL), 520189/2006-0 (SOS/CLIMATE), 704222/2009 and 465680/2014-13 (INCT Cryosphere). The first author and MMCM were also supported by CAPES (Ministry of Education) through the Marine Sciences Programme (23038.004304/2014-28). The marine mammal data was collected and made freely available by the International MEOP Consortium and the national programmes that contributed to it (http://www.meop.net).</t>
  </si>
  <si>
    <t>10.1016/j.dsr2.2018.02.013</t>
  </si>
  <si>
    <t>WOS:000437037100007</t>
  </si>
  <si>
    <t>Ito, RG; Tavano, VM; Mendes, CRB; Garcia, CAE</t>
  </si>
  <si>
    <t>Ito, Rosane Goncalves; Tavano, Virginia Maria; Borges Mendes, Carlos Rafael; Eiras Garcia, Carlos Alberto</t>
  </si>
  <si>
    <t>Sea-air CO2 fluxes and pCO2 variability in the Northern Antarctic Peninsula during three summer periods (2008-2010)</t>
  </si>
  <si>
    <t>CO2 partial pressure; CO2 sea-air exchange; Phytoplankton composition; Chlorophyll a; Northern Antarctic Peninsula; Southern Ocean</t>
  </si>
  <si>
    <t>MARGINAL ICE-ZONE; JAMES-ROSS-ISLAND; WESTERN BRANSFIELD STRAIT; NORTHWESTERN WEDDELL SEA; A MAXIMA DCMS; SOUTHERN-OCEAN; CARBON-DIOXIDE; PHYTOPLANKTON BIOMASS; SURFACE WATERS; AUSTRAL SUMMER</t>
  </si>
  <si>
    <t>This work aimed to improve the understanding of the role played by surface waters in controlling the carbon dioxide partial pressure (pCO(2)) and sea-air CO2 fluxes in the Northern Antarctic Peninsula (NAP) region. Physical, chemical and biological measurements were made on board the Brazilian RV NApOc. Ary Rongel during the austral summers of 2008, 2009 and 2010. The study region included the southern portion of Drake Passage, Bransfield Strait and the northwestern Weddell Sea. The variability in seawater pCO(2) and sea-air CO2 fluxes was investigated by quantifying the relevant biological, physical and thermodynamic effects. Considerable variability in the seawater pCO(2) was found at both spatial and interannual scales. Biological activity was the dominant process that removed inorganic carbon from the surface waters throughout most of the region, especially in areas with strong diatom blooms in the Weddell Sea and areas dominated by cryptophytes in Bransfield Strait. Features such as glacial meltwater discharges, fronts, eddies, thermodynamic effects and stratification of the mixing layer also modified these distributions. Overall, the surface waters in the study area represented a sink of atmospheric CO2 in the summers of 2008 and 2010, with average CO2 fluxes of - 1.0 mmol CO2 m(-2) d(-1) and - 2.4 mmol CO2 m(-2) d(-1), respectively. In the summer of 2009, the region was a weak source of CO2 to the atmosphere, with an average CO2 flux of 0.2 mmol CO2 m(-2) d(-1). This result suggests that the physical processes prevailed over the biological activity at that time, mainly in Bransfield Strait.</t>
  </si>
  <si>
    <t>[Ito, Rosane Goncalves] Univ Sao Paulo, Ist Oceanog, Praca Oceanog 191, BR-05508120 Sao Paulo, SP, Brazil; [Tavano, Virginia Maria; Borges Mendes, Carlos Rafael; Eiras Garcia, Carlos Alberto] Fundacao Univ Fed Rio Grande, Inst Oceanog, Ave Italia Km 8, BR-96203900 Rio Grande, RS, Brazil</t>
  </si>
  <si>
    <t>Universidade de Sao Paulo; Universidade Federal do Rio Grande</t>
  </si>
  <si>
    <t>Ito, RG (corresponding author), Univ Sao Paulo, Ist Oceanog, Praca Oceanog 191, BR-05508120 Sao Paulo, SP, Brazil.</t>
  </si>
  <si>
    <t>rgito@usp.br; docvmtg@furg.br; crbmendes@gmail.com; dfsgar@furg.br</t>
  </si>
  <si>
    <t>Mendes, Carlos/GVU-7596-2022; Garcia, Carlos A. E./K-7382-2012; Mendes, Carlos/AAD-6504-2021; Mendes, Carlos/I-1520-2012; Tavano, Virginia/C-5241-2013</t>
  </si>
  <si>
    <t>Mendes, Carlos/0000-0001-6875-8860; Mendes, Carlos/0000-0001-6875-8860; Tavano, Virginia/0000-0003-0039-8111</t>
  </si>
  <si>
    <t>Council for Research and Scientific Development (CNPq) [520189/2006-0]; CAPES/PNPD</t>
  </si>
  <si>
    <t>Council for Research and Scientific Development (CNPq)(Conselho Nacional de Desenvolvimento Cientifico e Tecnologico (CNPQ)Fundacao de Apoio a Pesquisa do Distrito Federal (FAPDF)); CAPES/PNPD(Coordenacao de Aperfeicoamento de Pessoal de Nivel Superior (CAPES))</t>
  </si>
  <si>
    <t>This project is part of the activities of the Brazilian Ocean Acidification Network (BrOA) and the High Latitudes Oceanography Group (GOAL), which is part of the Brazilian Antarctic Program (PROANTAR). GOAL received logistical support from the Brazilian Ministry of the Environment (MMA); the Brazilian Ministry of Science, Technology, Innovation and Communication (MCTIC); the Brazilian Navy (MB); and the Brazilian Air Force (FAB). This project was supported by funding from the Council for Research and Scientific Development (CNPq) through Grant no. 520189/2006-0. C.R.B. Mendes was funded by a postdoc grant from CAPES/PNPD. The GOAL dataset will be provided upon request. We are very grateful to R. Kerr, R.G. Pollery, E.S. Hansen and all of the students who participated in organizing the GOAL datasets and for their help in the nutrient analyses and the sampling and analysis of pCO2. We would also like to thank the crew of the Brazilian Navy RV NApOc. Ary Rongel for their assistance and for their contributions to all of the activities of the cruises. We gratefully acknowledge the helpful comments of two anonymous reviewers, which have considerably improved the quality of the manuscript.</t>
  </si>
  <si>
    <t>10.1016/j.dsr2.2017.09.004</t>
  </si>
  <si>
    <t>WOS:000437037100009</t>
  </si>
  <si>
    <t>Russo, ADPG; de Souza, MS; Mendes, CRB; Tavano, VM; Garcia, CAE</t>
  </si>
  <si>
    <t>Pereira Granja Russo, Arnaldo D'Amaral; de Souza, Marcio Silva; Borges Mendes, Carlos Rafael; Tavano, Virginia Maria; Eiras Garcia, Carlos Alberto</t>
  </si>
  <si>
    <t>Spatial variability of photophysiology and primary production rates of the phytoplankton communities across the western Antarctic Peninsula in late summer 2013</t>
  </si>
  <si>
    <t>Antarctic Peninsula; Phytoplankton community; Photophysiology; F-v/F-m; Primary production</t>
  </si>
  <si>
    <t>SOUTH SHETLAND ISLANDS; SIZE-FRACTIONATED PHYTOPLANKTON; AUSTRAL SUMMER; BRANSFIELD STRAIT; IRON LIMITATION; GERLACHE STRAIT; DRAKE PASSAGE; IN-SITU; PHOTOSYNTHETIC PARAMETERS; FRAGILARIOPSIS-CYLINDRUS</t>
  </si>
  <si>
    <t>Primary production measurements in the Southern Ocean are generally carried out during phytoplankton blooms in the Antarctic summer, whereas information from late summer is scarcer, especially in the northernmost part of the western Antarctic Peninsula (wAP). Here, we present data on phytoplankton photophysiology, chlorophyll-a concentration (Chl a), phytoplankton communities and primary productivity for 3 sub-regions, as follows: Transitional Water with Bellingshausen Sea influence (TBW-dominated sub-region), Transitional Water with Weddell Sea influence (TWW-dominated sub-region), both occupying the Bransfield Strait (BS), and a mixture of both transitional waters in the Gerlache Strait (Gerlache sub-region). Comparisons between these sub-regions have shown that, on average, Chl a, (0.65 mg m(-3)) was lower and upper mixed layer depth (Z(UMLD) = 52.62 m) was deeper in TWW-dominated waters, whereas intermediate Chl a (1.22 mg m(-3)) and moderate Z(UMLD) (36.46 m) values were found in the TBW-dominated sub-region and the lowest Z(UMLD) (22.33 m) and highest Chl a values (1.58 mg m(-3)) were found in the Gerlache sub-region. However, similar values of F-v/F-m were found in the 3 sub-regions, which indicate a high physiological plasticity, even considering different phytoplankton communities. A canonical correspondence analysis highlighted the association between the TBW-dominated sub-region and the dominance of diatoms, coupled with higher photosynthetic carotenoids (especially fucoxanthin), contrasting with the Gerlache sub-region, mainly associated with photoprotective carotenoids (particularly alloxanthin from cryptophytes) and relative lower Z(UMLD). Primary production rates estimated from the PAM (Pulse-Amplitude Modulate) fluorometric technique agreed very well with C-14 measurements (r(2) = 0.91, n = 5, p = 0.01). Although higher maximum chlorophyll a specific primary production rates were found in the TWW sub-region (1.91 +/- 1.22 mgC mg Chl a(-1) h(-1)), the other two areas also showed relatively high assimilation numbers as compared to previous works in the region. In short, despite the large spatial variability of physical water column features, adequate photophysiological traits allowed high primary production rates by those late summer phytoplankton communities in the northern wAP region.</t>
  </si>
  <si>
    <t>[Pereira Granja Russo, Arnaldo D'Amaral; de Souza, Marcio Silva; Borges Mendes, Carlos Rafael; Tavano, Virginia Maria; Eiras Garcia, Carlos Alberto] Fundacao Univ Fed Rio Grande, Inst Oceanog, Lab Estudo Oceanos &amp; Clima, Ave Italia,Km 8, BR-96201900 Rio Grande, RS, Brazil; [de Souza, Marcio Silva; Borges Mendes, Carlos Rafael; Tavano, Virginia Maria] Fundacao Univ Fed Rio Grande, Inst Oceanog, Lab Fitoplancton &amp; Microorganismos Marinhos, Ave Italia,Km 8, BR-96201900 Rio Grande, RS, Brazil</t>
  </si>
  <si>
    <t>Russo, ADPG (corresponding author), Fundacao Univ Fed Rio Grande, Inst Oceanog, Lab Estudo Oceanos &amp; Clima, Ave Italia,Km 8, BR-96201900 Rio Grande, RS, Brazil.</t>
  </si>
  <si>
    <t>arnaldorusso@gmail.com</t>
  </si>
  <si>
    <t>Garcia, Carlos A. E./K-7382-2012; Mendes, Carlos/GVU-7596-2022; Mendes, Carlos/I-1520-2012; de Souza, Márcio Silva/AAR-5757-2021; Mendes, Carlos/AAD-6504-2021; Tavano, Virginia/C-5241-2013</t>
  </si>
  <si>
    <t>Mendes, Carlos/0000-0001-6875-8860; Mendes, Carlos/0000-0001-6875-8860; de Souza, Márcio Silva/0000-0003-1572-9307; Tavano, Virginia/0000-0003-0039-8111</t>
  </si>
  <si>
    <t>CNPq (National Council for Research and Development); PRO-OASIS (CNPq) [565040/2010-3]; INTERBIOTA (CNPq) [407889/2013-2]; CAPES (Brazil); CNPq; CAPES</t>
  </si>
  <si>
    <t>CNPq (National Council for Research and Development)(Conselho Nacional de Desenvolvimento Cientifico e Tecnologico (CNPQ)); PRO-OASIS (CNPq)(Conselho Nacional de Desenvolvimento Cientifico e Tecnologico (CNPQ)Fundacao de Apoio a Pesquisa do Distrito Federal (FAPDF)); INTERBIOTA (CNPq)(Conselho Nacional de Desenvolvimento Cientifico e Tecnologico (CNPQ)Fundacao de Apoio a Pesquisa do Distrito Federal (FAPDF)); CAPES (Brazil)(Coordenacao de Aperfeicoamento de Pessoal de Nivel Superior (CAPES)); CNPq(Conselho Nacional de Desenvolvimento Cientifico e Tecnologico (CNPQ)); CAPES(Coordenacao de Aperfeicoamento de Pessoal de Nivel Superior (CAPES))</t>
  </si>
  <si>
    <t>This work was included in a multidisciplinary umbrella program within the GOAL (Group of High Latitude Oceanography) activities in the Brazilian Antarctic Program, coordinated by SECIRM. Financial support was provided by CNPq (National Council for Research and Development). This study was conducted within the activities of the following projects: PRO-OASIS (CNPq grant number 565040/2010-3) and INTERBIOTA (CNPq grant number 407889/2013-2). The authors thank the crew of the Brazilian Navy NPo Almirante Maximiano and several investigators participating in the cruises for their valuable help during the collection of samples. We also thank Dr. Ricardo C. Pollery and Dr. Amabile Ferreira for providing, respectively, nutrient and phytoplankton absorption data. A.D.A.P.G. Russo was funded by a Ph.D. fellowship from CAPES (Brazil). V.M. Tavano and C.A. Garcia are granted science fellowships from CNPq. C.R. Mendes and M.S. de Souza were granted research fellowships from CAPES.</t>
  </si>
  <si>
    <t>10.1016/j.dsr2.2017.09.021</t>
  </si>
  <si>
    <t>WOS:000437037100010</t>
  </si>
  <si>
    <t>Pereira, ES; Garcia, CAE</t>
  </si>
  <si>
    <t>Pereira, Ella S.; Garcia, Carlos A. E.</t>
  </si>
  <si>
    <t>Evaluation of satellite-derived MODIS chlorophyll algorithms in the northern Antarctic Peninsula</t>
  </si>
  <si>
    <t>Phytoplankton; Chlorophyll algorithm; Remote sensing reflectance; Atmospheric correction; Antarctic Peninsula</t>
  </si>
  <si>
    <t>WATER-LEAVING REFLECTANCE; OCEAN COLOR ALGORITHMS; GULF-OF-MEXICO; SOUTHERN-OCEAN; BIOOPTICAL PROPERTIES; ATMOSPHERIC CORRECTION; PHYTOPLANKTON COMMUNITIES; SOUTHWESTERN ATLANTIC; CLIMATE-CHANGE; SEA</t>
  </si>
  <si>
    <t>In this study, we used in situ spectral remote sensing reflectance data, R-rs, (lambda), coincident with chlorophyll-a concentration (Chia) measurements obtained by the Brazilian High Latitude Oceanography Group (GOAL, FURG) and provided by the SeaWiFS Bio-Optical Archive and Storage System (SeaBASS) in the northern Antarctic Peninsula (NAP). These data span the period between 2002 and 2010. The objective of this work was to evaluate the existing MODIS/Aqua chlorophyll algorithms and show an alternative atmospheric correction scheme based on the near-infrared (NIR) and shortwave near-infrared (SWIR) bands that could be used in the turbid coastal waters of the NAP. The current OC2M and OC3M empirical and GSMO1 semi-analytical algorithms tend to underestimate Chla, which was determined by using Chla estimated by either high performance liquid chromatography (HPLC) or fluorometry. The GSMO1 algorithm showed the best performance. The NIR-SWIR atmospheric correction scheme (Wang et al., 2009) was applied for the northern Antarctic Peninsula (NAP) in the presence of sea ice and deicing waters and showed an increase in Chla in the range from 0.75 to 2.5 mg(-3) and a slight decrease in the values above 2.5 mg m(-3). Regional empirical chlorophyll algorithms based on the 3-band OC3M operational algorithm were derived and showed better performance in estimating Chla than the global algorithms.</t>
  </si>
  <si>
    <t>[Pereira, Ella S.; Garcia, Carlos A. E.] Univ Fed Rio Grande, Inst Oceanog, BR-96201900 Rio Grande, RS, Brazil; [Garcia, Carlos A. E.] Univ Fed Santa Catarina, Programa Posgrad Oceanog, Campus Univ, BR-88040900 Florianopolis, SC, Brazil</t>
  </si>
  <si>
    <t>Universidade Federal do Rio Grande; Universidade Federal de Santa Catarina (UFSC)</t>
  </si>
  <si>
    <t>Garcia, CAE (corresponding author), Univ Fed Santa Catarina, Programa Posgrad Oceanog, Campus Univ, BR-88040900 Florianopolis, SC, Brazil.</t>
  </si>
  <si>
    <t>garcia.io.furg@gmail.com</t>
  </si>
  <si>
    <t>Garcia, Carlos A. E./K-7382-2012</t>
  </si>
  <si>
    <t>Soares Pereira, Ella/0000-0002-5692-5315</t>
  </si>
  <si>
    <t>CNPq (National Council for Research and Development) [52.0189/06-0]; CAPES</t>
  </si>
  <si>
    <t>CNPq (National Council for Research and Development)(Conselho Nacional de Desenvolvimento Cientifico e Tecnologico (CNPQ)); CAPES(Coordenacao de Aperfeicoamento de Pessoal de Nivel Superior (CAPES))</t>
  </si>
  <si>
    <t>This work is part of a multidisciplinary programme under the GOAL (Brazilian High Latitudes Oceanography Group) activities in the Brazilian Antarctic Program (PROANTAR). Financial support was provided by CNPq (National Council for Research and Development) for the GOAL and SOS-CLIMATE (grant number 52.0189/06-0) projects. The latter was conducted during the International Geophysical Year. Ella S. Pereira thanks CAPES for the graduate scholarship. The algal pigment concentrations were determined in the Laboratory of Ecology of Phytoplankton and Marine Microorganisms at FURG. We thank Prof. V. M. Tavano and C.R. Mendes for providing the in situ chlorophyll data. The ocean colour images were provided by the Goddard Space Flight Center at NASA. The NASA bio-Optical Marine Algorithm Dataset (NOMAD) was provided by the SeaWiFS Bio-optical Archive and Storage System (SeaBASS) at GSFC/NASA. The authors also thank the crew of the Brazilian Polar Vessel Ary Rongel for sampling assistance during the cruises. We also thank Dr. A. Ciotti and an anonymous reviewer for their comments on the manuscript.</t>
  </si>
  <si>
    <t>10.1016/j.dsr2.2017.12.018</t>
  </si>
  <si>
    <t>WOS:000437037100012</t>
  </si>
  <si>
    <t>Ferreira, A; Ciotti, AM; Garcia, CAE</t>
  </si>
  <si>
    <t>Ferreira, Amabile; Ciotti, Aurea M.; Garcia, Carlos A. E.</t>
  </si>
  <si>
    <t>Bio-optical characterization of the northern Antarctic Peninsula waters: Absorption budget and insights on particulate backscattering</t>
  </si>
  <si>
    <t>Phytoplankton; cdom; Detritus; Absorption; Scattering; Backscattering</t>
  </si>
  <si>
    <t>DISSOLVED ORGANIC-MATTER; OCEAN COLOR ALGORITHMS; EASTERN SOUTH-PACIFIC; LIGHT-ABSORPTION; OPTICAL BACKSCATTERING; CASE-1 WATERS; CHLOROPHYLL CONCENTRATION; PARTICLE BACKSCATTERING; MARINE-PHYTOPLANKTON; NATURAL VARIABILITY</t>
  </si>
  <si>
    <t>We utilize a comprehensive set of bio-optical properties collected in the northern Antarctic Peninsula to contribute to the poor documentation of in situ bio-optical measurements in the Southern Ocean. The relative contributions of phytoplankton, colored dissolved organic matter (cdom) and detritus to light absorption highlight the importance of phytoplankton, but cdom contribution is often important in the blue range of the spectra despite its roughly constant values at 443 nm along the three orders of magnitude of total chlorophyll-a concentration, [TChl a], (0.019-2.91 mg m(-3)) observed in the upper 100 m. The particulate backscattering coefficient, b(bp)(lambda), was remarkably low if compared to other oceanic waters, but agrees with previous studies in the Southern Ocean. Even with very low absorption, detritus was the component better correlated with particulate backscattering in the Antarctic Peninsula, while phytoplankton cells (dominant in the particles pool) mostly covaried with particulate scattering. Particulate backscattering ratios b(bp)(lambda) divided by the particulate scattering coefficient, b(p)(lambda)) were also below values observed in other oceanic waters. The spectral diffuse attenuation coefficient, K-d(lambda), was highly correlated to [TChI a] (R-2 = 0.90 at 443 nm) and showed no dependence on b(bp)(lambda). Indeed, K-d(443) and non-water absorption coefficients at 443 nm were related by a 1 to 1 dependence. The shape of the spectral remote sensing reflectance varied little responding mainly to variability in [TChl while [TChl a] vs. maximum band ratios dependence deviated from global trends in a very similar fashion as in other studies of the Southern Ocean, likely due to very low b(bp)(lambda).</t>
  </si>
  <si>
    <t>[Ferreira, Amabile; Ciotti, Aurea M.] Univ Sao Paulo, Ctr Biol Marinha, Rod Manuel Hypolito Rego,Km 131-5, BR-11612109 Sao Sebastiao, SP, Brazil; [Garcia, Carlos A. E.] Univ Fed Rio Grande, Inst Oceanog, BR-96201900 Rio Grande, RS, Brazil; [Garcia, Carlos A. E.] Univ Fed Santa Catarina, Programa Posgrad Oceanog, BR-88900900 Florianopolis, SC, Brazil</t>
  </si>
  <si>
    <t>Universidade de Sao Paulo; Universidade Federal do Rio Grande; Universidade Federal de Santa Catarina (UFSC)</t>
  </si>
  <si>
    <t>Ferreira, A (corresponding author), Univ Sao Paulo, Ctr Biol Marinha, Rod Manuel Hypolito Rego,Km 131-5, BR-11612109 Sao Sebastiao, SP, Brazil.</t>
  </si>
  <si>
    <t>amabilefr@gmail.com</t>
  </si>
  <si>
    <t>Ciotti, Aurea Maria/M-9025-2019; Garcia, Carlos A. E./K-7382-2012; Ciotti, Aurea Maria/B-7188-2011</t>
  </si>
  <si>
    <t>Ciotti, Aurea Maria/0000-0001-7163-8819; Ciotti, Aurea Maria/0000-0001-7163-8819</t>
  </si>
  <si>
    <t>CNPq (National Council for Research and Development) [556848/2009-8, 565040/2010-3]; FAPESP (Research Support Foundation of the State of Sao Paulo) [2013/16957-2, 2016/01601-6]; CNPq [PQ 310985/2013-7, PQ 311943/2015-2]; Fundacao de Amparo a Pesquisa do Estado de Sao Paulo (FAPESP) [16/01601-6] Funding Source: FAPESP</t>
  </si>
  <si>
    <t>CNPq (National Council for Research and Development)(Conselho Nacional de Desenvolvimento Cientifico e Tecnologico (CNPQ)); FAPESP (Research Support Foundation of the State of Sao Paulo)(Fundacao de Amparo a Pesquisa do Estado de Sao Paulo (FAPESP)); CNPq(Conselho Nacional de Desenvolvimento Cientifico e Tecnologico (CNPQ)); Fundacao de Amparo a Pesquisa do Estado de Sao Paulo (FAPESP)(Fundacao de Amparo a Pesquisa do Estado de Sao Paulo (FAPESP))</t>
  </si>
  <si>
    <t>This work is part of a multidisciplinary program under the GOAL (Brazilian High Latitudes Oceanography Group) activities in the Brazilian Antarctic Program (PROANTAR). Financial support was provided by CNPq (National Council for Research and Development) for the projects POLARCANION (CNPq Grant 556848/2009-8) and PRO-OASIS (CNPq Grant 565040/2010-3). Amabile Ferreira was supported by FAPESP (Research Support Foundation of the State of Sao Paulo, Grants 2013/16957-2 and 2016/01601-6). Aurea M. Ciotti (PQ 310985/2013-7) and Carlos A. E. Garcia (PQ 311943/2015-2) thank CNPq for the research fellowship. The analysis of samples for algal pigments was performed at FURG. The authors thank the crew of the Polar Vessel Almirante Maximiano of the Brazilian Navy and several investigations on the cruises for assistance. We acknowledge the help provided by Bianca Tocci and Maria Fernanda C. Giannini during the field work. The discussions with David Doxaran and Vincenzo Vellucci on the processing of AC-9 and backscattering data is much appreciated. Special thanks to Inia Soto that provided the MATLAB code for the SAS data processing, developed at FURG. This research is a contribution of the NP-BioMar, University of Sao Paulo. We acknowledge the two anonymous reviewers for their valuable contributions that have greatly improved the manuscript.</t>
  </si>
  <si>
    <t>10.1016/j.dsr2.2017.09.007</t>
  </si>
  <si>
    <t>WOS:000437037100013</t>
  </si>
  <si>
    <t>Signori, CN; Pellizari, VH; Enrich-Prast, A; Sievert, SM</t>
  </si>
  <si>
    <t>Signori, Camila N.; Pellizari, Vivian H.; Enrich-Prast, Alex; Sievert, Stefan M.</t>
  </si>
  <si>
    <t>Spatiotemporal dynamics of marine bacterial and archaeal communities in surface waters off the northern Antarctic Peninsula</t>
  </si>
  <si>
    <t>Microbial Oceanography; Phytoplankton; Interannual variability; Seasonal changes; Spatial changes; Temperature; Organic matter</t>
  </si>
  <si>
    <t>EASTERN BRANSFIELD STRAIT; CLIMATE-CHANGE; PHYTOPLANKTON COMMUNITIES; SUMMER BACTERIOPLANKTON; CONTINENTAL-SHELF; GERLACHE STRAITS; MARGUERITE BAY; UPPER-OCEAN; FOOD-WEB; WEST</t>
  </si>
  <si>
    <t>Seasonal changes in taxonomic and functional diversity of microbial communities in polar regions are commonly observed, requiring strategies of microbes to adapt to the corresponding changes in environmental conditions. These natural fluctuations form the backdrop for changes induced by anthropogenic impacts. The main goal of this study was to assess the seasonal and temporal changes in bacterial and archaeal diversity and community structure off the northern Antarctic Peninsula over several seasons (spring, summer, autumn) from 2013 to 2015. Ten monitoring stations were selected across the Gerlache and Bransfield Straits and nearby Elephant Island, and archaeal and bacterial communities examined by amplicon sequencing of 16S rRNA genes. Alpha-diversity indices were higher in spring and correlated significantly with temperature. Spring was characterized by the presence of SAR11, and microbial communities remaining from winter, including representatives of Thaumarchaeota (Nimosopurnilus), Euryarchaeota, members of Oceanospirillales, SAR324. Summer and autumn were characterized by a high prevalence of Flavobacteria (NS5 marine group and Polaribacter), Alphaproizobacteria (Rhodobacterales and SAR11 Glade) and Gammaproteobacteria (Oceanospirillales/Balneatrix and Celivibrionales), generally known to be associated with organic matter degradation. Relatively higher abundance of phytoplankton groups occurred in spring, mainly characterized by the presence of the haptophyte Phaeocystis and the diatom Corethron, influencing the succession of heterotrophic bacterial communities. Microbial diversity and community structure varied significantly over time, but not over space, i.e., were similar between monitoring stations for the same time. In addition, the observed interannual variability in microbial community structure might be related to an increase in sea surface temperature. Environmental conditions related to seasonal variation, including temperature and most likely phytoplankton derived organic matter, appear to have triggered the observed shifts in microbial communities in the waters off the northern Antarctic Peninsula.</t>
  </si>
  <si>
    <t>[Signori, Camila N.; Pellizari, Vivian H.] Univ Sao Paulo, Inst Oceanog, Dept Oceanog Biol, Praca Oceanog 191, BR-05508900 Sao Paulo, SP, Brazil; [Enrich-Prast, Alex] Linkoping Univ, Dept Themat Studies Environm Change, S-58183 Linkoping, Sweden; [Enrich-Prast, Alex] Univ Fed Rio De Janeiro UFRJ, Inst Biol, Dept Bot, Av Carlos Chagas Filho 373, BR-21941902 Rio De Janeiro, Brazil; [Sievert, Stefan M.] WHOI, Biol Dept, 266 Woods Hole Rd, Woods Hole, MA 02543 USA</t>
  </si>
  <si>
    <t>Universidade de Sao Paulo; Linkoping University; Universidade Federal do Rio de Janeiro</t>
  </si>
  <si>
    <t>Signori, CN (corresponding author), Univ Sao Paulo, Inst Oceanog, Dept Oceanog Biol, Praca Oceanog 191, BR-05508900 Sao Paulo, SP, Brazil.;Sievert, SM (corresponding author), WHOI, Biol Dept, 266 Woods Hole Rd, Woods Hole, MA 02543 USA.</t>
  </si>
  <si>
    <t>camisignori@hotmail.com; ssievert@whoi.edu</t>
  </si>
  <si>
    <t>Signori, Camila Negrão/AAQ-4156-2020; Pellizari, Vivian/J-9153-2012</t>
  </si>
  <si>
    <t>Signori, Camila Negrão/0000-0001-5259-9332; Pellizari, Vivian/0000-0003-2757-6352; Sievert, Stefan/0000-0002-9541-2707</t>
  </si>
  <si>
    <t>Project INTERBIOTA (CNPq) [407889/2013-2]; INCT-MAR-COI (CNPq); CNPq; FAPERJ; Investment in Science Funds at WHOI; Scientific Committee on Antarctic Research (SCAR) Fellowship; Sao Paulo Research Foundation [FAPESP 2016/16183-5]; Fundacao de Amparo a Pesquisa do Estado de Sao Paulo (FAPESP) [16/16183-5] Funding Source: FAPESP</t>
  </si>
  <si>
    <t>Project INTERBIOTA (CNPq)(Conselho Nacional de Desenvolvimento Cientifico e Tecnologico (CNPQ)Fundacao de Apoio a Pesquisa do Distrito Federal (FAPDF)); INCT-MAR-COI (CNPq)(Conselho Nacional de Desenvolvimento Cientifico e Tecnologico (CNPQ)Fundacao de Apoio a Pesquisa do Distrito Federal (FAPDF)); CNPq(Conselho Nacional de Desenvolvimento Cientifico e Tecnologico (CNPQ)); FAPERJ(Fundacao Carlos Chagas Filho de Amparo a Pesquisa do Estado do Rio De Janeiro (FAPERJ)); Investment in Science Funds at WHOI; Scientific Committee on Antarctic Research (SCAR) Fellowship; Sao Paulo Research Foundation(Fundacao de Amparo a Pesquisa do Estado de Sao Paulo (FAPESP)); Fundacao de Amparo a Pesquisa do Estado de Sao Paulo (FAPESP)(Fundacao de Amparo a Pesquisa do Estado de Sao Paulo (FAPESP))</t>
  </si>
  <si>
    <t>Thanks to the captains of Npo. Almirante Maximiano (H41) and their respective crews of the Brazilian Antarctic Expeditions OPERANTAR XXXI, XXXII, XXXIII, XXXIV. We are thankful to our colleagues onboard for their help in sampling, and in particular to the project leader Eduardo Secchi, Rodrigo Kerr, Carlos Rafael Mendes, and Marcio de Souza from the Universidade Federal do Rio Grande (FURG, Brazil) for the very productive discussions. Thanks to Diego Franco, Natascha Bergo and Francielli Peres (Laboratorio de Ecologia Microbiana, IOUSP) for helping with bioinformatics and statistics, and to Marcos Tonelli (Laboratorio de Oceanografia Fisica, Clima e Criosfera, IOUSP) for helpful discussions on temperature data. We further thank the Laboratorio de Estudos dos Oceanos e Clima (LEOC) at FURG for sharing their CTD data. This research was supported by the Project INTERBIOTA (CNPq grant no 407889/2013-2) and the INCT-MAR-COI (CNPq). AE-P is a research fellow from CNPq and Cientista do Estado from FAPERJ, and uses financial resources from these two agencies for this research. SMS received funding from the Investment in Science Funds at WHOI. CNS was supported by the Scientific Committee on Antarctic Research (SCAR) Fellowship 2014-2015 and a Post Doc fellowship (FAPESP 2016/16183-5) from the Sao Paulo Research Foundation.</t>
  </si>
  <si>
    <t>10.1016/j.dsr2.2017.12.017</t>
  </si>
  <si>
    <t>WOS:000437037100014</t>
  </si>
  <si>
    <t>Seyboth, E; Bottaa, S; Mendes, CRB; Negrete, J; Dalla Rosa, L; Secchi, ER</t>
  </si>
  <si>
    <t>Seyboth, Elisa; Bottaa, Silvina; Borges Mendes, Carlos Rafael; Negrete, Javier; Dalla Rosa, Luciano; Secchi, Eduardo Resende</t>
  </si>
  <si>
    <t>Isotopic evidence of the effect of warming on the northern Antarctic Peninsula ecosystem</t>
  </si>
  <si>
    <t>Southern Ocean; Antarctic zone; Food webs; NAP; Cetacean; SIBER; Stable isotopes; Isoscapes</t>
  </si>
  <si>
    <t>KRILL EUPHAUSIA-SUPERBA; PHYTOPLANKTON COMMUNITY STRUCTURE; WHALES MEGAPTERA-NOVAEANGLIAE; STABLE-ISOTOPES; SEA-ICE; CLIMATE-CHANGE; HUMPBACK WHALES; TROPHIC RELATIONSHIPS; CARBON ISOTOPES; FATTY-ACID</t>
  </si>
  <si>
    <t>The Antarctic Peninsula (AP) region is one of the areas under faster warming rates worldwide, and where food web changes have been observed in the last decades. Among these changes are the development of cryptophytes under warmer conditions in detriment of diatoms, and the reduced krill availability in the environment. An isotopic approach was used to investigate whether the temporal and spatial patterns of energy transfer from phytoplankton (using particulate organic matter - POM - as a proxy of primary producers) to baleen whales (humpback Megaptera novaeanglieae, fin - Balaenoptera physalus, Antarctic minke - Balaenoptera bonaerensis), and killer whales - Orcinus orca - is similar in areas under different effects of warming around the northern Antarctic Peninsula (NAP). Samples of POM (n = 65), krill (n = 29) and skin of baleen (n = 106) and, opportunistically, killer whales (n = 5) were collected in Gerlache and Bransfield Straits (western AP) and the Powell Basin (northeastern AP) during the austral summers of 2013-2016. Mean isotope values for delta C-13 and delta N-15 values were, respectively, -26.3 parts per thousand (+/- 2.9) and 0.9 parts per thousand (+/- 1.7) for POM, -25.6 parts per thousand (0.9) and 5.3 parts per thousand (+/- 1.1) for krill, -24.1 parts per thousand (+/- 2) and 8.9 parts per thousand (+/- 1.5) for humpback, -24.6 parts per thousand (+/- 1.2) and 8.2 parts per thousand (+/- 0.7) for fin, -24.4 parts per thousand (+/- 1.6) and 8.7 parts per thousand (+/- 1) for Antarctic minke whales, and 23.6 parts per thousand (+/- 1.2) and 8.9%0 (+/- 1.7) for killer whales. Interannual significant differences were found for delta C-13 values of POM and fin whales' samples, while spatial differences were found for delta C-13 values of POM samples and humpback whales and for delta N-15 values of POM, humpback and Antarctic minke whales. Lower delta C-13 and delta N-15 values for the base of the food web tended to be observed towards open sea regions (Powell Basin and an area under the influence of the Bellingshausen Sea waters). The isoscapes generated for the baseline of the NAP ecosystem provided unprecedented information, to the best of our knowledge, of how the delta C-13 and delta N-15 values of POM varied spatially and temporally in the region. HPLC-CHEMTAX pigment analysis indicated that two of the main phytoplankton groups in the study region were diatoms and cryptophytes. The contribution of these groups to the total phytoplankton biomass was positively and negatively correlated with the POM delta C-13 values, respectively. Despite the spatial and temporal limited interpretation of our results due to our reduced sampling effort to the east of the AP and to the relatively short temporal range investigated, the differences observed in the isotopic composition are considered representative of contrasting environmental conditions. The present study provides new insights on stable isotope values in the Antarctic ecosystem and may help to foresee the consequences of physico-chemical changes in water properties to the biota due to global warming.</t>
  </si>
  <si>
    <t>[Seyboth, Elisa; Bottaa, Silvina; Borges Mendes, Carlos Rafael; Dalla Rosa, Luciano; Secchi, Eduardo Resende] Univ Fed Rio Grande FURG, Inst Oceanog, Program Posgrad Oceanog Biol, Av Italia,Km 8, BR-96203900 Rio Grande, RS, Brazil; [Seyboth, Elisa; Bottaa, Silvina; Dalla Rosa, Luciano; Secchi, Eduardo Resende] Univ Fed Rio Grande FURG, Inst Oceanog, Lab Ecol &amp; Conservacao Megafauna Marinha, BR-96203900 Rio Grande, RS, Brazil; [Borges Mendes, Carlos Rafael] Univ Fed Rio Grande FURG, Inst Oceanog, Lab Fitoplancton &amp; Microorganismos Marinhos, Av Italia,Km 8, BR-96203900 Rio Grande, RS, Brazil; [Negrete, Javier] Inst Antartico Argentine, Dept Biol Predadores Tope, Av 25 Mayo 1143,C101 AAZ, San Martin, Buenos Aires, Argentina; [Negrete, Javier] Fac Ciencias Nat &amp; Museo, Av 122 &amp; 60 S-N, RA-1900 La Plata, Buenos Aires, Argentina</t>
  </si>
  <si>
    <t>Universidade Federal do Rio Grande; Universidade Federal do Rio Grande; Universidade Federal do Rio Grande; Instituto Antartico Argentino; National University of La Plata; Museo La Plata</t>
  </si>
  <si>
    <t>Seyboth, E (corresponding author), Univ Fed Rio Grande FURG, Inst Oceanog, Lab Ecol &amp; Conservacao Megafauna Marinha, BR-96203900 Rio Grande, RS, Brazil.</t>
  </si>
  <si>
    <t>elisaseyboth@gmail.com</t>
  </si>
  <si>
    <t>Mendes, Carlos/GVU-7596-2022; Mendes, Carlos/AAD-6504-2021; Mendes, Carlos/I-1520-2012; Secchi, Eduardo R./ABF-1191-2020; Rosa, Luciano Dalla/D-5660-2012; botta, silvina/D-7528-2016</t>
  </si>
  <si>
    <t>Mendes, Carlos/0000-0001-6875-8860; Mendes, Carlos/0000-0001-6875-8860; Secchi, Eduardo R./0000-0001-9087-9909; Rosa, Luciano Dalla/0000-0002-1583-6471; Botta, Silvina/0000-0001-6219-6932; Negrete, Javier/0000-0001-6853-8307</t>
  </si>
  <si>
    <t>CNPq (National Council for Research and Development); CAPES (Coordination for the Improvement of Higher Education Personnel); INCT-APA (National Institute of Science and Technology on Antarctic Environmental Research); CNPq [PQ 307846/2014-8, PQ 309258/2016-2, 556848/2009-8, 565040/2010-3, 407889/2013-2, 408096/2013-6, 405869/2013-4]</t>
  </si>
  <si>
    <t>CNPq (National Council for Research and Development)(Conselho Nacional de Desenvolvimento Cientifico e Tecnologico (CNPQ)); CAPES (Coordination for the Improvement of Higher Education Personnel)(Coordenacao de Aperfeicoamento de Pessoal de Nivel Superior (CAPES)); INCT-APA (National Institute of Science and Technology on Antarctic Environmental Research); CNPq(Conselho Nacional de Desenvolvimento Cientifico e Tecnologico (CNPQ))</t>
  </si>
  <si>
    <t>We thank all crew members of the Polar Vessel Almirante Maximiano of the Brazilian Navy and the several investigators participating in the cruises for their efforts during sampling. We are also indebted to the team involved in the biopsy of whales around the Argentinian Primavera Station in the summer of 2016. Thanks to Frank Dehairs for allowing the isotope analysis at the land-based laboratory Analytical, Environmental and Geo-Chemistry at Vrije Universiteit Brussel (AMGC, VUB, Brussels) and to Genyffer Troina for analyzing the POM samples there. This study was conducted within the activities of the POLARCANION (CNPq Grant no. 556848/2009-8), PRO-OASIS (CNPq Grant no. 565040/2010-3), INTERBIOTA (CNPq Grant number 407889/2013-2), NAUTILUS (CNPq Grant no. 405869/2013-4) and BALEIAS (CNPq Grant no. 408096/2013-6) projects. Financial support was provided by CNPq (National Council for Research and Development), CAPES (Coordination for the Improvement of Higher Education Personnel) and INCT-APA (National Institute of Science and Technology on Antarctic Environmental Research). CNPq provided research fellowship to E.R.S. (PQ 307846/2014-8) and L.D.R. (PQ 309258/2016-2) and a scholarship to E.S. S.B. and C.R.B.M. are currently postdoctoral fellows (CAPES-PNPD). This article is part of E.S.'s Ph.D. Thesis in Biological Oceanography (FURG, Brazil) under the supervision of E.R.S. and L.D.R. This work is a contribution of the Grupo de Oceanografia de Alias Ladtudes - GOAL/ High Latitudes Oceanography Group activities in the Brazilian Antarctic Program (PROANTAR) and the research group Ecologia e Conservacdo da Megafauna Marinha - EcoMega/CNPq.</t>
  </si>
  <si>
    <t>10.1016/j.dsr2.2017.12.020</t>
  </si>
  <si>
    <t>WOS:000437037100020</t>
  </si>
  <si>
    <t>Gallon, S; Hindell, MA; Muelbert, MMC</t>
  </si>
  <si>
    <t>Gallon, S.; Hindell, M. A.; Muelbert, M. M. C.</t>
  </si>
  <si>
    <t>Foraging insights from whisker isotopic signatures of southern elephant seals around the Antarctic Peninsula</t>
  </si>
  <si>
    <t>Stable isotope; Mirounga leonina; Top-predator; Elephant Island</t>
  </si>
  <si>
    <t>KING-GEORGE ISLAND; MIROUNGA-LEONINA; STABLE-ISOTOPES; CLIMATE-CHANGE; DIVING BEHAVIOR; ADULT MALE; TROPHIC RELATIONSHIPS; JUVENILE SOUTHERN; FINE-SCALE; ROSS SEA</t>
  </si>
  <si>
    <t>The Antarctic Peninsula is one of the most rapidly warming regions on Earth and is home to a diverse and rich community of life, especially along its continental shelf. The biophysical characteristics that define these regions of highly localised productivity are associated with processes that are driven by climate. Climate changes will therefore potentially alter the oceanographic features and processes on which top predators rely to find their food. Studying the foraging behaviour of apex predators, such as southern elephant seals (SES), Mirounga leonina, is important during this time of rapid change to detect changes in prey availability. Carbon and nitrogen stable isotope (SI) analyses were performed to assess the dietary history (e.g. delta N-15) and infer the foraging habitat (e.g. delta C-13) on consecutive sections of whole whiskers from 119 southern elephant seals from Elephant Island (61 degrees 13'S 55 degrees 23'W) from all age and sex classes. Whisker SI values were spread over a large range, with delta C-13 and delta N-15 values varying from-23.21 to-16.344to (a 6.87 parts per thousand difference) and from 8.90%parts per thousand to 15.47%o (6.57 parts per thousand), respectively. SI analyses also confirmed marked differences in the feeding ecology of southern elephant seals according to sex (e.g. delta N-15 significantly different between sexes in adults, GLMM, p = 0.001) and age group (e.g. delta C-13 related to age classes in females, GLMM, p &lt; 0.001). Results suggest that yearlings foraged more frequently in the sub Antarctic zone whilst adult seals stayed south of the polar front and, adult and sub-adult males fed on higher trophic level prey than other sex and age classes. We discuss how these differences are likely a result of a combination of antra-specific competition, ontogenetic factors and resource distribution. Studying the degree and the ontogeny of individual specialisation within a population is a first step towards understanding its implications in various dimensions of ecological and evolutionary processes and hence for adapting to climate changes.</t>
  </si>
  <si>
    <t>[Gallon, S.] Univ Glasgow, Inst Biodivers Anim Hlth &amp; Comparat Med, Glasgow, Lanark, Scotland; [Gallon, S.] Agence Francaise Biodiversite, Marine Environm Dept, Brest, France; [Hindell, M. A.; Muelbert, M. M. C.] Univ Tasmania, Inst Marine &amp; Antarctic Studies, Private Bag 129, Hobart, Tas 7001, Australia; [Muelbert, M. M. C.] Univ Fed Rio Grande, Inst Oceanog, BR-96203900 Rio Grande, RS, Brazil</t>
  </si>
  <si>
    <t>University of Glasgow; University of Tasmania; Universidade Federal do Rio Grande</t>
  </si>
  <si>
    <t>Muelbert, MMC (corresponding author), Univ Fed Rio Grande, Inst Oceanog, BR-96203900 Rio Grande, RS, Brazil.</t>
  </si>
  <si>
    <t>monica.muelbert@furg.br</t>
  </si>
  <si>
    <t>Muelbert, Monica/T-3935-2019; Hindell, Mark A/K-1131-2013</t>
  </si>
  <si>
    <t>Hindell, Mark/0000-0002-7823-7185</t>
  </si>
  <si>
    <t>Brazilian Science, Technology and Innovation Ministry through the Brazilian National Research Council (CNPq) [520196/2006-6]; CAPES (Ministry of Education); CNPq [170126/2010-2]; Australian Endeavour Research Fellowship</t>
  </si>
  <si>
    <t>Brazilian Science, Technology and Innovation Ministry through the Brazilian National Research Council (CNPq)(Conselho Nacional de Desenvolvimento Cientifico e Tecnologico (CNPQ)); CAPES (Ministry of Education)(Coordenacao de Aperfeicoamento de Pessoal de Nivel Superior (CAPES)); CNPq(Conselho Nacional de Desenvolvimento Cientifico e Tecnologico (CNPQ)); Australian Endeavour Research Fellowship(Australian GovernmentDepartment of Industry, Innovation and Science)</t>
  </si>
  <si>
    <t>We would like to thank the two anonymous reviewers, their comments greatly improved the manuscript. We thank the Brazilian Navy, the Brazilian Antarctic Program (PROANTAR) and SECIRM for logistic support. We would also like to thank the Southern Elephant Seal Project (PEMS) crew for field support. This study is part of MEOP (Marine Mammals Exploring the Oceans Pole to pole), Brazil, an International Polar Year (IPY) programme funded by the Brazilian Science, Technology and Innovation Ministry through the Brazilian National Research Council (CNPq, Grant no. 520196/2006-6 to MMCM), a fellowship from CAPES (Ministry of Education) to MMCM, a fellowships from CNPq to SLG (BEV-no. 170126/2010-2) and to MAH (BEV-no. 170126/2010-2). S.L. Gallon was partially supported by an Australian Endeavour Research Fellowship.</t>
  </si>
  <si>
    <t>10.1016/j.dsr2.2018.01.006</t>
  </si>
  <si>
    <t>WOS:000437037100021</t>
  </si>
  <si>
    <t>Krishnapriya, PP; Minu, M; Nandan, SB</t>
  </si>
  <si>
    <t>Krishnapriya, P. P.; Minu, M.; Nandan, S. Bijoy</t>
  </si>
  <si>
    <t>Composition and distribution of meiobenthos in Arctic Kongsfjord (Svalbard) with reference to carbon potential of selected fauna</t>
  </si>
  <si>
    <t>INDIAN JOURNAL OF GEO-MARINE SCIENCES</t>
  </si>
  <si>
    <t>Kongsfjord; nematodes; foraminiferans; mineralisation; carbon sequestration</t>
  </si>
  <si>
    <t>COMMUNITY STRUCTURE; SEDIMENTS; POLLUTION; BIOMASS; MEIOFAUNA; NEMATODES; DETRITUS</t>
  </si>
  <si>
    <t>The meiobenthic samples collected as a part of Summer Phase III group 2 -Indian Arctic Expedition 2011, forms the basis of this study. There were some vital observations regarding the sediment characteristics that, inner and outer fjords were similar in terms of granulomertic composition and also the silt dominated in the entire Kongsfjord. Total carbon (TC) and total organic carbon (TOC) were higher in the outer fjord, but the inorganic carbon (IC) was slightly lower in the inner fjord. The meiofauna comprised of Nematoda, Foraminifera, Bivalvia, Polychaeta, Harpacticoid copepoda, Gastrotricha, and Kinoryncha. Nematodes (54%) formed the dominant phylum among the fauna followed by foraminifera (37%). Forty five nematodes belonging to nineteen families were identified, in which Anticoma eberthi (14.06 mu g) contributed the highest carbon, followed by Marylynnia complexa (12.94 mu g) in the Arctic Kongsfjord. Fifty six species of foraminiferans belonging to five sub orders were identified of which, Cribrostomoides jeffreysii (0.074 mu g) and Globobulimina auriculata (0.071 mu g) structured the maximum carbon content. Total carbon sequestered in the Kongsfjord accounted to an average of nematodes and foraminiferans respectively. The net carbon sequestrated by the nematodes and foraminiferans were higher in the outer fjord as compared to inner fjord of Kongsfjord region.</t>
  </si>
  <si>
    <t>[Krishnapriya, P. P.; Minu, M.; Nandan, S. Bijoy] Cochin Univ Sci &amp; Technol, Sch Marine Sci, Dept Marine Biol Microbiol &amp; Biochem, Cochin 682016, Kerala, India</t>
  </si>
  <si>
    <t>Cochin University Science &amp; Technology</t>
  </si>
  <si>
    <t>Nandan, SB (corresponding author), Cochin Univ Sci &amp; Technol, Sch Marine Sci, Dept Marine Biol Microbiol &amp; Biochem, Cochin 682016, Kerala, India.</t>
  </si>
  <si>
    <t>bijoynandan@yahoo.co.in</t>
  </si>
  <si>
    <t>National Centre for Antarctic and Ocean Research (NCAOR), Govt. of India; Dept. of Marine Biology, Microbiology and Biochemistry, School of Marine Sciences, Cochin University of Science and Technology</t>
  </si>
  <si>
    <t>The authors are thankful to the National Centre for Antarctic and Ocean Research (NCAOR), Govt. of India and to the Head, Dept. of Marine Biology, Microbiology and Biochemistry, School of Marine Sciences, Cochin University of Science and Technology for providing the financial support and necessary facilities for undertaking the study.</t>
  </si>
  <si>
    <t>NATL INST SCIENCE COMMUNICATION-NISCAIR</t>
  </si>
  <si>
    <t>NEW DELHI</t>
  </si>
  <si>
    <t>DR K S KRISHNAN MARG, PUSA CAMPUS, NEW DELHI 110 012, INDIA</t>
  </si>
  <si>
    <t>0379-5136</t>
  </si>
  <si>
    <t>0975-1033</t>
  </si>
  <si>
    <t>INDIAN J GEO-MAR SCI</t>
  </si>
  <si>
    <t>Indian J. Geo-Mar. Sci.</t>
  </si>
  <si>
    <t>GH6BJ</t>
  </si>
  <si>
    <t>WOS:000433524500012</t>
  </si>
  <si>
    <t>Naik, RK; Damare, S; Yapa, KKAS; D'Costa, PM; Roy, R</t>
  </si>
  <si>
    <t>Naik, Ravidas Krishna; Damare, Samir; Yapa, K. K. A. S.; D'Costa, Priya M.; Roy, Rajdeep</t>
  </si>
  <si>
    <t>First report of toxic Prorocentrum rhathymum (Dinophyceae) and its pigment composition from coastal waters of the eastern Arabian Sea</t>
  </si>
  <si>
    <t>Prorocentrum; Pigments; Arabian Sea; Chlorophyll a; Dinophysis toxin</t>
  </si>
  <si>
    <t>LIMA; PHYTOPLANKTON; MORPHOLOGY; VARIABILITY; LOCATIONS; INDIA; CYCLE</t>
  </si>
  <si>
    <t>Prorocentrum rhathymum, a toxic dinoflagellate, was isolated for the first time from coastal waters of the eastern Arabian Sea. Batch cultures were grown and cell pellets were extracted in methanol for analysis of algal toxin. LCMS/MS studies exhibited presence of dinophysis toxin 1 (DTX1) with no detectable Okadaic Acid. Growth rates varied between 0.23 day(-1)(exponential phase) and 0.05 day-1(decline phase). Phytoplankton pigment studies revealed the presence of chlorophyll a, chlorophyll c1c2, peridinin and diadinoxanthin. The average chlorophyll a production was found to be 163 pg cell(-1) and ranged between 73 to 223 pg cell(-1). Peridinin, the marker pigment of dinoflagellates, had an average value of 55 pg cell(-1) and ranged between 30 114 pg cell(-1). Further studies to identify its molecular diversity along with toxicity are presently underway. To our knowledge, this is the first report of successful isolation and culturing of Prorocentrum rhathymum from this region.</t>
  </si>
  <si>
    <t>[Naik, Ravidas Krishna] ESSO Natl Ctr Antarctic &amp; Ocean Res, Sada 403804, Goa, India; [Damare, Samir] CSIR Natl Inst Oceanog, Panaji 403004, Goa, India; [Yapa, K. K. A. S.] Univ Ruhuna, Dept Phys, Matara, Sri Lanka; [D'Costa, Priya M.] Goa Univ, Dept Microbiol, Taleigao Plateau 403206, Goa, India; [Roy, Rajdeep] Indian Space Res Org, Ocean Sci Grp, Natl Remote Sensing Ctr, Earth &amp; Climate Sci Area, Hyderabad 500037, India</t>
  </si>
  <si>
    <t>Ministry of Earth Sciences (MoES) - India; National Centre for Polar and Ocean Research (NCPOR); Council of Scientific &amp; Industrial Research (CSIR) - India; CSIR - National Institute of Oceanography (NIO); University Ruhuna; Goa University; Department of Space (DoS), Government of India; Indian Space Research Organisation (ISRO); National Remote Sensing Centre (NRSC)</t>
  </si>
  <si>
    <t>Naik, RK (corresponding author), ESSO Natl Ctr Antarctic &amp; Ocean Res, Sada 403804, Goa, India.</t>
  </si>
  <si>
    <t>ravi@ncaor.gov.in</t>
  </si>
  <si>
    <t>Damare, Samir R/C-3493-2009; Roy, Rajdeep/G-7790-2011</t>
  </si>
  <si>
    <t>roy, rajdeep/0000-0001-5509-257X; Damare, Samir/0000-0002-4201-4844</t>
  </si>
  <si>
    <t>WOS:000433524500016</t>
  </si>
  <si>
    <t>Park, M; Park, H; Lee, H; Lee, BH; Lee, J</t>
  </si>
  <si>
    <t>Park, Mira; Park, Hyun; Lee, Hyoungseok; Lee, Byeong-ha; Lee, Jungeun</t>
  </si>
  <si>
    <t>The Complete Plastome Sequence of an Antarctic Bryophyte Sanionia uncinata (Hedw.) Loeske</t>
  </si>
  <si>
    <t>INTERNATIONAL JOURNAL OF MOLECULAR SCIENCES</t>
  </si>
  <si>
    <t>Sanionia uncinata; chloroplast genome; Antarctic bryophyte; moss; plastome</t>
  </si>
  <si>
    <t>CHLOROPLAST GENOME; ORGANELLAR GENOMES; RNA; LAND; MOSS; GENES; EVOLUTION; PLANTS; PHOTOSYNTHESIS; CONSERVATION</t>
  </si>
  <si>
    <t>Organellar genomes of bryophytes are poorly represented with chloroplast genomes of only four mosses, four liverworts and two hornworts having been sequenced and annotated. Moreover, while Antarctic vegetation is dominated by the bryophytes, there are few reports on the plastid genomes for the Antarctic bryophytes. Sanionia uncinata (Hedw.) Loeske is one of the most dominant moss species in the maritime Antarctic. It has been researched as an important marker for ecological studies and as an extremophile plant for studies on stress tolerance. Here, we report the complete plastome sequence of S. uncinata, which can be exploited in comparative studies to identify the lineage-specific divergence across different species. The complete plastome of S. uncinata is 124,374 bp in length with a typical quadripartite structure of 114 unique genes including 82 unique protein-coding genes, 37 tRNA genes and four rRNA genes. However, two genes encoding the alpha subunit of RNA polymerase (rpoA) and encoding the cytochrome b(6/f) complex subunit VIII (petN) were absent. We could identify nuclear genes homologous to those genes, which suggests that rpoA and petN might have been relocated from the chloroplast genome to the nuclear genome.</t>
  </si>
  <si>
    <t>[Park, Mira; Park, Hyun; Lee, Hyoungseok; Lee, Jungeun] Korea Polar Res Inst, Unit Polar Genom, Incheon 21990, South Korea; [Park, Mira; Lee, Byeong-ha] Sogang Univ, Dept Life Sci, Seoul 04107, South Korea; [Park, Hyun; Lee, Hyoungseok; Lee, Jungeun] Univ Sci &amp; Technol, Polar Sci, Daejeon 34113, South Korea</t>
  </si>
  <si>
    <t>Korea Polar Research Institute (KOPRI); Sogang University; University of Science &amp; Technology (UST)</t>
  </si>
  <si>
    <t>Lee, H; Lee, J (corresponding author), Korea Polar Res Inst, Unit Polar Genom, Incheon 21990, South Korea.;Lee, BH (corresponding author), Sogang Univ, Dept Life Sci, Seoul 04107, South Korea.;Lee, H; Lee, J (corresponding author), Univ Sci &amp; Technol, Polar Sci, Daejeon 34113, South Korea.</t>
  </si>
  <si>
    <t>mira0295@kopri.re.kr; hpark@kopri.re.kr; soulaid@kopri.re.kr; byeongha@sogang.ac.kr; jelee@kopri.re.kr</t>
  </si>
  <si>
    <t>Lee, Byeong-ha/B-8478-2009; Park, Mira/F-8443-2015</t>
  </si>
  <si>
    <t>, Jungeun/0000-0002-6934-0199; Lee, Hyoungseok/0000-0002-5831-6345; Park, Hyun/0000-0002-8055-2010</t>
  </si>
  <si>
    <t>Polar Genome 101 Project: Genome Analysis of Polar Organisms and Establishment of Application Platform - Korea Polar Research Institute [PE18080]; Modeling responses of terrestrial organisms to environmental changes on King George Island - Korea Polar Research Institute [PE18090]</t>
  </si>
  <si>
    <t>Polar Genome 101 Project: Genome Analysis of Polar Organisms and Establishment of Application Platform - Korea Polar Research Institute(Korea Polar Research Institute of Marine Research Placement (KOPRI)); Modeling responses of terrestrial organisms to environmental changes on King George Island - Korea Polar Research Institute(Korea Polar Research Institute of Marine Research Placement (KOPRI))</t>
  </si>
  <si>
    <t>This work was supported by Polar Genome 101 Project: Genome Analysis of Polar Organisms and Establishment of Application Platform (PE18080) and Modeling responses of terrestrial organisms to environmental changes on King George Island (PE18090) funded by the Korea Polar Research Institute.</t>
  </si>
  <si>
    <t>1422-0067</t>
  </si>
  <si>
    <t>INT J MOL SCI</t>
  </si>
  <si>
    <t>Int. J. Mol. Sci.</t>
  </si>
  <si>
    <t>10.3390/ijms19030709</t>
  </si>
  <si>
    <t>GA4OO</t>
  </si>
  <si>
    <t>WOS:000428309800066</t>
  </si>
  <si>
    <t>Jia, YL; Nihous, GC; Rajagopalan, K</t>
  </si>
  <si>
    <t>Jia, Yanli; Nihous, Gerard C.; Rajagopalan, Krishnakumar</t>
  </si>
  <si>
    <t>An Evaluation of the Large-Scale Implementation of Ocean Thermal Energy Conversion (OTEC) Using an Ocean General Circulation Model with Low-Complexity Atmospheric Feedback Effects</t>
  </si>
  <si>
    <t>JOURNAL OF MARINE SCIENCE AND ENGINEERING</t>
  </si>
  <si>
    <t>Ocean Thermal Energy Conversion; OTEC; ocean general circulation model</t>
  </si>
  <si>
    <t>MERIDIONAL OVERTURNING CIRCULATION; RESOURCES; SIMULATIONS</t>
  </si>
  <si>
    <t>Previous investigations of the large-scale deployment of Ocean Thermal Energy Conversions (OTEC) systems are extended by allowing some atmospheric feedback in an ocean general circulation model. A modified ocean-atmosphere thermal boundary condition is used where relaxation corresponds to atmospheric longwave radiation to space, and an additional term expresses horizontal atmospheric transport. This produces lower steady-state OTEC power maxima (8 to 10.2 TW instead of 14.1 TW for global OTEC scenarios, and 7.2 to 9.3 TW instead of 11.9 TW for OTEC implementation within 100 km of coastlines). When power production peaks, power intensity remains practically unchanged, at 0.2 TW per Sverdrup of OTEC deep cold seawater, suggesting a similar degradation of the OTEC thermal resource. Large-scale environmental effects include surface cooling in low latitudes and warming elsewhere, with a net heat intake within the water column. These changes develop rapidly from the propagation of Kelvin and Rossby waves, and ocean current advection. Two deep circulation cells are generated in the Atlantic and Indo-Pacific basins. The Atlantic Meridional Overturning Circulation (AMOC) is reinforced while an AMOC-like feature appears in the North Pacific, with deep convective winter events at high latitudes. Transport between the Indo-Pacific and the Southern Ocean is strengthened, with impacts on the Atlantic via the Antarctic Circumpolar Current (ACC).</t>
  </si>
  <si>
    <t>[Jia, Yanli] Univ Hawaii, Int Pacific Res Ctr, Honolulu, HI 96822 USA; [Nihous, Gerard C.] Univ Hawaii, Dept Ocean &amp; Resources Engn, Honolulu, HI 96822 USA; [Rajagopalan, Krishnakumar] Univ Hawaii, Hawaii Nat Energy Inst, Honolulu, HI 96822 USA</t>
  </si>
  <si>
    <t>University of Hawaii System; University of Hawaii System; University of Hawaii System</t>
  </si>
  <si>
    <t>Jia, YL (corresponding author), Univ Hawaii, Int Pacific Res Ctr, Honolulu, HI 96822 USA.</t>
  </si>
  <si>
    <t>yjia@hawaii.edu; nihous@hawaii.edu; krishnak@hawaii.edu</t>
  </si>
  <si>
    <t>U.S. Department of Energy'sWind and Water Program [DE-FG36-08GO18180]</t>
  </si>
  <si>
    <t>U.S. Department of Energy'sWind and Water Program</t>
  </si>
  <si>
    <t>This work was funded by the U.S. Department of Energy'sWind and Water Program under Award DE-FG36-08GO18180 to HINMREC/HNEI of the University of Hawaii. All MITgcm computations were performed on the University of Hawaii High Performance Computing Cluster. The authors would like to thank Luis Vega for his steadfast support and encouragement.</t>
  </si>
  <si>
    <t>2077-1312</t>
  </si>
  <si>
    <t>J MAR SCI ENG</t>
  </si>
  <si>
    <t>J. Mar. Sci. Eng.</t>
  </si>
  <si>
    <t>10.3390/jmse6010012</t>
  </si>
  <si>
    <t>Engineering, Marine; Engineering, Ocean; Oceanography</t>
  </si>
  <si>
    <t>GA7ZY</t>
  </si>
  <si>
    <t>WOS:000428558900011</t>
  </si>
  <si>
    <t>Aulicino, G; Sansiviero, M; Paul, S; Cesarano, C; Fusco, G; Wadhams, P; Budillon, G</t>
  </si>
  <si>
    <t>Aulicino, Giuseppe; Sansiviero, Manuela; Paul, Stephan; Cesarano, Cinzia; Fusco, Giannetta; Wadhams, Peter; Budillon, Giorgio</t>
  </si>
  <si>
    <t>A New Approach for Monitoring the Terra Nova Bay Polynya through MODIS Ice Surface Temperature Imagery and Its Validation during 2010 and 2011 Winter Seasons</t>
  </si>
  <si>
    <t>Terra Nova Bay; polynya extent; sea ice; MODIS thermal infrared imagery; katabatic winds</t>
  </si>
  <si>
    <t>ROSS SEA; IN-SITU; MULTISENSOR SATELLITE; ANTARCTICA POLYNYA; SOUTHERN-OCEAN; DYNAMICS; VARIABILITY; CLIMATE; THICKNESS; BEHAVIOR</t>
  </si>
  <si>
    <t>Polynyas are dynamic stretches of open water surrounded by ice. They typically occur in remote regions of the Arctic and Antarctic, thus remote sensing is essential for monitoring their dynamics. On regional scales, daily passive microwave radiometers provide useful information about their extent because of their independence from cloud coverage and daylight; nonetheless, their coarse resolution often does not allow an accurate discrimination between sea ice and open water. Despite its sensitivity to the presence of clouds, thermal infrared (TIR) Moderate Resolution Imaging Spectroradiometer (MODIS) provides higher-resolution information (typically 1 km) at large swath widths, several times per day, proving to be useful for the retrieval of the size of polynyas. In this study, we deal with Aqua satellite MODIS observations of a frequently occurring coastal polynya in the Terra Nova Bay (TNB), Ross Sea (Antarctica). The potential of a new methodology for estimating the variability of this polynya through MODIS TIR during the 2010 and 2011 freezing season (April to October) is presented and discussed. The polynya is observed in more than 1600 radiance scenes, after a preliminary filter evaluates and discards cloudy and fog-contaminated scenes. This reduces the useful MODIS swaths to about 50% of the available acquisitions, but a revisit time of less than 24 h is kept for about 90% of the study period. As expected, results show a high interannual variability with an opening/closing fluctuation clearly depending on the regime of the katabatic winds recorded by the automatic weather stations Rita and Eneide along the TNB coast. Retrievals are also validated through a comparison with a set of 196 co-located high-resolution ENVISAT ASAR images. Although our estimations slightly underestimate the ASAR derived extents, a good agreement is found, the linear correlation reaching 0.75 and the average relative error being about 6%. Finally, a sensitivity test on the applied thermal thresholds supports the effectiveness of our setting.</t>
  </si>
  <si>
    <t>[Aulicino, Giuseppe; Sansiviero, Manuela; Fusco, Giannetta; Budillon, Giorgio] Univ Napoli Parthenope, Dept Sci &amp; Technol DiST, Ctr Direz Is C4, I-80143 Naples, Italy; [Aulicino, Giuseppe; Wadhams, Peter] Univ Politecn Marche, Dept Life &amp; Environm Sci DiSVA, Via Brecce Bianche, I-60131 Ancona, Italy; [Paul, Stephan] Alfred Wegener Inst, Handelshafen 12, D-27570 Bremerhaven, Germany; [Cesarano, Cinzia] Progetto Terra, Via Roma 85, I-80054 Gragnano, Italy; [Fusco, Giannetta; Budillon, Giorgio] Consorzio Nazl Interuniv Sci Mare, I-00196 Rome, Italy</t>
  </si>
  <si>
    <t>Parthenope University Naples; Marche Polytechnic University; Helmholtz Association; Alfred Wegener Institute, Helmholtz Centre for Polar &amp; Marine Research; CoNISMa</t>
  </si>
  <si>
    <t>Aulicino, G; Sansiviero, M (corresponding author), Univ Napoli Parthenope, Dept Sci &amp; Technol DiST, Ctr Direz Is C4, I-80143 Naples, Italy.;Aulicino, G (corresponding author), Univ Politecn Marche, Dept Life &amp; Environm Sci DiSVA, Via Brecce Bianche, I-60131 Ancona, Italy.</t>
  </si>
  <si>
    <t>g.aulicino@staff.univpm.it; manuela.sansiviero@uniparthenope.it; stephan.paul@awi.de; cinziacesarano@gmail.com; giannetta.fusco@uniparthenope.it; pw11@cam.ac.uk; giorgio.budillon@uniparthenope.it</t>
  </si>
  <si>
    <t>Paul, Stephan/I-5918-2019; Aulicino, Giuseppe/I-8981-2019; Fusco, Giannetta/J-5118-2019; Budillon, Giorgio/O-5348-2014</t>
  </si>
  <si>
    <t>Paul, Stephan/0000-0002-5136-714X; Aulicino, Giuseppe/0000-0001-6406-8715; Fusco, Giannetta/0000-0003-1769-2456; Budillon, Giorgio/0000-0003-1756-2221</t>
  </si>
  <si>
    <t>Universita degli Studi di Napoli Parthenope under Bando di sostegno alla ricerca individuale per il triennio</t>
  </si>
  <si>
    <t>The authors are thankful to the Meteo-Climatological Observatory of the Italian National Program for Research in Antarctica (PNRA) for the Automatic Weather Stations data sets. They are also grateful to the MODIS Atmosphere and Archive and Distribution System NASA Website for free access to MODIS radiance products. This work was performed in the framework of Plankton biodiversity and functioning of the Ross Sea Ecosystems in a changing Southern Ocean (P-Rose) project of the PNRA. G.F. and G.B. acknowledge the financial support received by Universita degli Studi di Napoli Parthenope under Bando di sostegno alla ricerca individuale per il triennio 2015-2017. The authors would like to thank the University of Trier, Germany, for providing capacities to compute the TNB polynya area following the approach of [26] which was also developed there in the first place.</t>
  </si>
  <si>
    <t>10.3390/rs10030366</t>
  </si>
  <si>
    <t>GA4DP</t>
  </si>
  <si>
    <t>WOS:000428280100012</t>
  </si>
  <si>
    <t>Ren, QM; Yu, M; Li, YY; Zhang, Y; Shi, XC; Wu, YH; Su, Y; Wang, YA; Wang, XL; Zhang, XH</t>
  </si>
  <si>
    <t>Ren, Qiaomeng; Yu, Min; Li, Yuying; Zhang, Yan; Shi, Xiaochong; Wu, Yanhong; Su, Ying; Wang, Yanan; Wang, Xiaolei; Zhang, Xiao-Hua</t>
  </si>
  <si>
    <t>Flavobacterium ovatum sp nov., a marine bacterium isolated from an Antarctic intertidal sandy beach</t>
  </si>
  <si>
    <t>Flavobacterium ovatum; intertidal sandy beach; Antarctica</t>
  </si>
  <si>
    <t>GENUS FLAVOBACTERIUM; EMENDED DESCRIPTION; SOIL; WATER; SEQUENCES; SEAWATER; FAMILY</t>
  </si>
  <si>
    <t>A rod-shaped, Gram-staining-negative, strictly aerobic, non-motile bacterium with no flexirubin-type pigment, designated as W201E(T), was isolated from an intertidal sandy beach in Antarctica. The organism formed faintly yellow, round colonies on marine agar 2216E. The strain required sea salts for growth and grew optimally in the presence of 2 % (w/v) NaCl at pH 7.0, 20 degrees C. Phylogenetic analysis based on 16S rRNA gene sequence indicated that strain W201E(T) belonged to the genus Flavobacterium and showed the highest sequence similarity to Flavobacterium algicola NBRC 102673(T) (96.5 %). The major respiratory quinone was menaquinone 6, and the predominant fatty acids were iso-C-15:1 G, iso-C-15:0, iso-C(15:0 )3-OH and summed feature 3 (which comprises C-16(:1) omega 7c and/or C-16:1 omega 6c). The polar lipids of strain W201E(T) comprised one phosphatidylethanolamine, two unidentified aminolipids and three unidentified polar lipids. The DNA G+C content of strain W201E(T) was 34.1 mol%. On the basis of the polyphasic analyses, this isolate was considered to represent a novel species in the genus Flavobacterium, for which the name Flavobacterium ovatum sp. nov. is proposed. The type strain is W201E(T) (=KCTC 52693(T) =MCCC 1K03251(T)=CGMCC 1.16053(T)).</t>
  </si>
  <si>
    <t>[Ren, Qiaomeng; Yu, Min; Li, Yuying; Zhang, Yan; Shi, Xiaochong; Wu, Yanhong; Su, Ying; Wang, Yanan; Wang, Xiaolei; Zhang, Xiao-Hua] Ocean Univ China, Coll Marine Life Sci, Qingdao 266003, Peoples R China; [Yu, Min; Shi, Xiaochong; Zhang, Xiao-Hua] Qingdao Natl Lab Marine Sci &amp; Technol, Lab Marine Ecol &amp; Environm Sci, Qingdao 266071, Peoples R China; [Zhang, Xiao-Hua] Ocean Univ China, Inst Evolut &amp; Marine Biodivers, Qingdao 266003, Peoples R China</t>
  </si>
  <si>
    <t>Ocean University of China; Laoshan Laboratory; Ocean University of China</t>
  </si>
  <si>
    <t>Yu, M (corresponding author), Ocean Univ China, Coll Marine Life Sci, Qingdao 266003, Peoples R China.;Yu, M (corresponding author), Qingdao Natl Lab Marine Sci &amp; Technol, Lab Marine Ecol &amp; Environm Sci, Qingdao 266071, Peoples R China.</t>
  </si>
  <si>
    <t>yumin@ouc.edu.cn</t>
  </si>
  <si>
    <t>wang, ya/HQZ-7558-2023; Wang, Xiaolei/IVV-4573-2023; yuan, lin/JDW-7387-2023</t>
  </si>
  <si>
    <t>Wang, Xiaolei/0000-0002-0183-5822;</t>
  </si>
  <si>
    <t>Scientific and Technological Innovation Project of Qingdao National Laboratory for Marine Science and Technology [2016ASKJ14]; Chinese Polar Environment Comperhensive Investigation and Assessment Program [CHINARE2016-02-01, CHINARE2016-01-06]</t>
  </si>
  <si>
    <t>Scientific and Technological Innovation Project of Qingdao National Laboratory for Marine Science and Technology; Chinese Polar Environment Comperhensive Investigation and Assessment Program</t>
  </si>
  <si>
    <t>This work was supported by projects from the Scientific and Technological Innovation Project of Qingdao National Laboratory for Marine Science and Technology (no. 2016ASKJ14) and the Chinese Polar Environment Comperhensive Investigation and Assessment Program (nos CHINARE2016-02-01 and CHINARE2016-01-06).</t>
  </si>
  <si>
    <t>10.1099/ijsem.0.002586</t>
  </si>
  <si>
    <t>GG4HO</t>
  </si>
  <si>
    <t>WOS:000432657400016</t>
  </si>
  <si>
    <t>Choi, JY; Kim, JH; Lee, PC</t>
  </si>
  <si>
    <t>Choi, Jun Young; Kim, Jin Ho; Lee, Pyung Cheon</t>
  </si>
  <si>
    <t>Flavobacterium kingsejongi sp nov., a carotenoid-producing species isolated from Antarctic penguin faeces</t>
  </si>
  <si>
    <t>Antarctica; Flavobacterium; penguin stool; carotenoid</t>
  </si>
  <si>
    <t>ZEAXANTHINIFACIENS GEN.-NOV.; FAMILY FLAVOBACTERIACEAE; EMENDED DESCRIPTIONS; LIPID-COMPOSITION; ESCHERICHIA-COLI; SURFACE SEAWATER; BACTERIUM; PATHWAY; CLASSIFICATION; HYBRIDIZATION</t>
  </si>
  <si>
    <t>Taxonomic studies were carried out on a carotenoid-producing strain, designated WV39(T), isolated from the faeces of Antarctic penguins. Cells of strain WV39(T) were Gram-stain-negative, strictly aerobic, yellow and rod-shaped. 16S rRNA gene sequence analysis revealed that strain WV39(T) was closely related to Flavobacterium qiangtangense JCM 19739(T) (96.3 % similarity), Flavobacterium noncentrifugens NBRC 108844(T) (95.5%) and Flavobacterium aquatile LMG 4008(T) (94.9 %). The predominant cellular fatty acids were iso-C-15:0, iso-C-15:0 3-OH and summed feature 3 (comprising iso-C-15:0 2-OH and/or C-16(:1)omega 7c). Menaquinone-6 was the sole quinone identified, and the major pigment was zeaxanthin. The major polar lipid was phosphatidylethanolamine. DNA-DNA relatedness of strain WV39(T) with respect to its closest phylogenetic neighbours was 41.8 % for F. qiangtangense JCM 19739(T), 25.5 % for F. aquatile LMG 4008(T) and 25.2 % for F. noncentrifugens NBRC 108844(T). The DNA G+C content of strain WV39(T) was 39.8 mol%. Based on the phenotypic, chemotaxonomic and phylogenetic data, strain WV39(T) is concluded to represent a novel species of the genus Flavobacterium, for which the name Flavobacterium kingsejongi sp. nov. is proposed. The type strain is WV39(T) (=KCTC 42908(T)=CECT 9085(T)).</t>
  </si>
  <si>
    <t>[Lee, Pyung Cheon] Ajou Univ, Dept Mol Sci &amp; Technol, Suwon 16499, South Korea; Ajou Univ, Dept Appl Chem &amp; Biol Engn, Suwon 16499, South Korea</t>
  </si>
  <si>
    <t>Ajou University; Ajou University</t>
  </si>
  <si>
    <t>Lee, PC (corresponding author), Ajou Univ, Dept Mol Sci &amp; Technol, Suwon 16499, South Korea.</t>
  </si>
  <si>
    <t>pclee@ajou.ac.kr</t>
  </si>
  <si>
    <t>Lee, Pyung Cheon/AAR-1021-2021; choi, junyoung/T-4389-2019</t>
  </si>
  <si>
    <t>Lee, Pyung Cheon/0000-0003-2014-6587</t>
  </si>
  <si>
    <t>Intelligent Synthetic Biology Center of Global Frontier Project; Ministry of Education, Science and Technology [2014M3A6A8066439]; Priority Research Centers Program through the National Research Foundation of Korea (NRF); Ministry of Education, Science, and Technology [20090093826, 2012M1A2A2671691]</t>
  </si>
  <si>
    <t>Intelligent Synthetic Biology Center of Global Frontier Project; Ministry of Education, Science and Technology(Ministry of Education, Science &amp; Technology (MEST), Republic of Korea); Priority Research Centers Program through the National Research Foundation of Korea (NRF)(National Research Foundation of Korea); Ministry of Education, Science, and Technology(Ministry of Education, Science &amp; Technology (MEST), Republic of Korea)</t>
  </si>
  <si>
    <t>This work was supported by the Intelligent Synthetic Biology Center of Global Frontier Project, funded by the Ministry of Education, Science and Technology (2014M3A6A8066439), and supported by the Priority Research Centers Program through the National Research Foundation of Korea (NRF), funded by the Ministry of Education, Science, and Technology (20090093826, 2012M1A2A2671691).</t>
  </si>
  <si>
    <t>10.1099/ijsem.0.002610</t>
  </si>
  <si>
    <t>WOS:000432657400034</t>
  </si>
  <si>
    <t>Lebedev, KV; Tarakanov, RY</t>
  </si>
  <si>
    <t>Lebedev, K. V.; Tarakanov, R. Yu.</t>
  </si>
  <si>
    <t>A model study of the wind stress influence on the interannual variability of the Antarctic Circumpolar Current</t>
  </si>
  <si>
    <t>RUSSIAN JOURNAL OF EARTH SCIENCES</t>
  </si>
  <si>
    <t>Antarctic Circumpolar Current; transport; variability; modeling; Argo floats</t>
  </si>
  <si>
    <t>DRAKE PASSAGE; TRANSPORT; CIRCULATION; SYSTEM; SEA</t>
  </si>
  <si>
    <t>The interannual variability of the Antarctic Circumpolar Current (ACC) transport in the Drake Passage is studied on the basis of simulations performed using the Argo-based model for Investigation of the Global Ocean (AMIGO), which consists of a block for variational interpolation of the Argo floats data to a regular grid and a block for model hydrodynamic adjustment of variationally interpolated fields. Such a technique allows us to obtain a complete set of oceanographic characteristics from irregularly located Argo measurements: temperature, salinity, density, and current velocity. The calculation results are presented as monthly, seasonal, and annual means and climatological fields. The mean ACC transport through the Drake Passage in 2005-2014 was estimated at 162 +/- 5 Sv (1 Sv = 10(6) m(3) s(-1)). Two additional numerical experiments were carried out in order to study the contribution of the wind forcing to the interannual variability of the ACC transport: the real thermohaline fields corresponding to the particular time period were replaced by climatic ones (Experiment 1); the real wind forcing data were replaced by the climatic ones (Experiment 2). Analysis of the results of numerical experiments has shown that variable wind stress forcing is the key factor controlling the interannual variability of the ACC transport through the Drake Passage.</t>
  </si>
  <si>
    <t>[Lebedev, K. V.; Tarakanov, R. Yu.] Russian Acad Sci, Shirshov Inst Oceanol, 36 Nahimovskiy Prospekt, Moscow 117997, Russia</t>
  </si>
  <si>
    <t>Lebedev, KV (corresponding author), Russian Acad Sci, Shirshov Inst Oceanol, 36 Nahimovskiy Prospekt, Moscow 117997, Russia.</t>
  </si>
  <si>
    <t>KLebedev@ocean.ru</t>
  </si>
  <si>
    <t>Tarakanov, Roman/R-3325-2016; Lebedev, Konstantin/E-4258-2014</t>
  </si>
  <si>
    <t>Tarakanov, Roman/0000-0002-8711-1859; Lebedev, Konstantin/0000-0002-3997-203X</t>
  </si>
  <si>
    <t>Cnes; Russian Science Foundation [16-17-10149]; Russian Science Foundation [16-17-10149] Funding Source: Russian Science Foundation</t>
  </si>
  <si>
    <t>Cnes(Centre National D'etudes Spatiales); Russian Science Foundation(Russian Science Foundation (RSF)); Russian Science Foundation(Russian Science Foundation (RSF))</t>
  </si>
  <si>
    <t>The Argo data were collected and made freely available by the International Argo Program and the national programs that contribute to it (http://www.argo.ucsd.edu, http://argo.jcommops.org). The Argo Program is part of the Global Ocean Observing System. The altimeter products were produced by Ssalto/Duacs and distributed by Aviso, with support from Cnes (http://www.aviso.altimetry.fr/duacs/). The work was supported by the Russian Science Foundation, grant 16-17-10149.</t>
  </si>
  <si>
    <t>GEOPHYSICAL CENTER RAS</t>
  </si>
  <si>
    <t>MOLODEZHNAYA ST 3, MOSCOW, 119296, RUSSIA</t>
  </si>
  <si>
    <t>1681-1208</t>
  </si>
  <si>
    <t>RUSS J EARTH SCI</t>
  </si>
  <si>
    <t>Russ. J. Earth Sci.</t>
  </si>
  <si>
    <t>MAR-APR</t>
  </si>
  <si>
    <t>ES2002</t>
  </si>
  <si>
    <t>10.2205/2017ES000610</t>
  </si>
  <si>
    <t>GG8KU</t>
  </si>
  <si>
    <t>WOS:000432947000003</t>
  </si>
  <si>
    <t>Balushkin, AV; Moganova, MV</t>
  </si>
  <si>
    <t>Balushkin, A. V.; Moganova, M. V.</t>
  </si>
  <si>
    <t>Melanostigma kharini sp nov (Zoarcidae), a New Species of Pelagic Eelpout from the Ridge of Hercules (Pacific-Antarctic Rise)</t>
  </si>
  <si>
    <t>JOURNAL OF ICHTHYOLOGY</t>
  </si>
  <si>
    <t>Melanostigma kharini sp n.; pelagic eelpouts; taxonomy; Pacific-Antarctic Rise; Southern Ocean</t>
  </si>
  <si>
    <t>A new species Melanostigma kharini sp. n. is described from the underwater Ridge of Hercules (Pacific-Antarctic Rise). The specimens of the new species were collected in the marine expeditions of the Pacific Scientific Research Institute of Fishery and Oceanography (TINRO) (1977-1978) on the Southern Bank at depths between 240 and 780 m. The new species differs from the other species of the genus in an original combination of the characters, in particular, in the structure of the lateral line canals on the head, axial skeleton, and coloration. Vertebral asymmetry and the features of rational (purposive) development of the seismosensory system on the head of Melanostigma are described in detail.</t>
  </si>
  <si>
    <t>[Balushkin, A. V.; Moganova, M. V.] Russian Acad Sci, Inst Zool, St Petersburg 199034, Russia</t>
  </si>
  <si>
    <t>Russian Academy of Sciences; Zoological Institute of the Russian Academy of Sciences</t>
  </si>
  <si>
    <t>Balushkin, AV (corresponding author), Russian Acad Sci, Inst Zool, St Petersburg 199034, Russia.</t>
  </si>
  <si>
    <t>ichthlab@zin.ru</t>
  </si>
  <si>
    <t>Balushkin, Arcady/AAM-4225-2020</t>
  </si>
  <si>
    <t>Balushkin, Arcady/0000-0002-9422-5133</t>
  </si>
  <si>
    <t>Russian Foundation for Basic Research [15-04-02081a, AAAA-A17-117030310197-7]</t>
  </si>
  <si>
    <t>This work was supported in part by the Russian Foundation for Basic Research, project no. 15-04-02081a (State research theme no. AAAA-A17-117030310197-7).</t>
  </si>
  <si>
    <t>0032-9452</t>
  </si>
  <si>
    <t>1555-6425</t>
  </si>
  <si>
    <t>J ICHTHYOL+</t>
  </si>
  <si>
    <t>J. Ichthyol.</t>
  </si>
  <si>
    <t>10.1134/S0032945218020029</t>
  </si>
  <si>
    <t>Fisheries; Zoology</t>
  </si>
  <si>
    <t>GF0FN</t>
  </si>
  <si>
    <t>WOS:000431605400002</t>
  </si>
  <si>
    <t>Greenwood, RC; Barrat, JA; Miller, MF; Anand, M; Dauphas, N; Franchi, IA; Sillard, P; Starkey, NA</t>
  </si>
  <si>
    <t>Greenwood, Richard C.; Barrat, Jean-Alix; Miller, Martin F.; Anand, Mahesh; Dauphas, Nicolas; Franchi, Ian A.; Sillard, Patrick; Starkey, Natalie A.</t>
  </si>
  <si>
    <t>Oxygen isotopic evidence for accretion of Earth's water before a high-energy Moon-forming giant impact</t>
  </si>
  <si>
    <t>UNDERSTANDING DELTA-O-17 VARIATIONS; TERRESTRIAL ROCKS; NOBLE-GASES; MANTLE; ORIGIN; MINERALS; FRACTIONATION; CONSTRAINTS; PLANETARY; NITROGEN</t>
  </si>
  <si>
    <t>The Earth-Moon system likely formed as a result of a collision between two large planetary objects. Debate about their relative masses, the impact energy involved, and the extent of isotopic homogenization continues. We present the results of a high-precision oxygen isotope study of an extensive suite of lunar and terrestrial samples. We demonstrate that lunar rocks and terrestrial basalts show a 3 to 4 ppm (parts per million), statistically resolvable, difference in Delta O-17. Taking aubrite meteorites as a candidate impactor material, we show that the giant impact scenario involved nearly complete mixing between the target and impactor. Alternatively, the degree of similarity between the Delta O-17 values of the impactor and the proto-Earth must have been significantly closer than that between Earth and aubrites. If the Earth-Moon system evolved from an initially highly vaporized and isotopically homogenized state, as indicated by recent dynamical models, then the terrestrial basalt-lunar oxygen isotope difference detected by our study may be a reflection of post-giant impact additions to Earth. On the basis of this assumption, our data indicate that post-giant impact additions to Earth could have contributed between 5 and 30% of Earth's water, depending on global water estimates. Consequently, our data indicate that the bulk of Earth's water was accreted before the giant impact and not later, as often proposed.</t>
  </si>
  <si>
    <t>[Greenwood, Richard C.; Miller, Martin F.; Anand, Mahesh; Franchi, Ian A.; Starkey, Natalie A.] Open Univ, Sch Phys Sci, Planetary &amp; Space Sci, Walton Hall, Milton Keynes MK7 6AA, Bucks, England; [Barrat, Jean-Alix] Univ Bretagne Occidentale, Inst Univ Europeen Mer, Lab Geosci Ocean, CNRS,UMR 6538, Plouzane, France; [Miller, Martin F.] British Antarctic Survey, Madingley Rd, Cambridge CB3 0ET, England; [Anand, Mahesh] Nat Hist Museum, Dept Mineral, Cromwell Rd, London SW7 5BD, England; [Dauphas, Nicolas] Univ Chicago, Dept Geophys Sci, Origins Lab, 5734 South Ellis Ave, Chicago, IL 60637 USA; [Dauphas, Nicolas] Univ Chicago, Enrico Fermi Inst, 5734 South Ellis Ave, Chicago, IL 60637 USA; [Sillard, Patrick] Ctr Rech Econ &amp; Stat, 5 Ave Henry Le Chatelier, F-91120 Palaiseau, France</t>
  </si>
  <si>
    <t>Open University - UK; Centre National de la Recherche Scientifique (CNRS); CNRS - National Institute for Earth Sciences &amp; Astronomy (INSU); Universite de Bretagne Occidentale; Institut Universitaire Europeen de la Mer (IUEM); UK Research &amp; Innovation (UKRI); Natural Environment Research Council (NERC); NERC British Antarctic Survey; Natural History Museum London; University of Chicago; University of Chicago</t>
  </si>
  <si>
    <t>Greenwood, RC (corresponding author), Open Univ, Sch Phys Sci, Planetary &amp; Space Sci, Walton Hall, Milton Keynes MK7 6AA, Bucks, England.</t>
  </si>
  <si>
    <t>r.c.greenwood@open.ac.uk</t>
  </si>
  <si>
    <t>Anand, Mahesh/E-9259-2013; Miller, Martin F./AAG-7303-2022; Miller, Martin F./AFL-7337-2022; Sillard, Patrick/IZP-9379-2023; Barrat, Jean Alix/C-8416-2017</t>
  </si>
  <si>
    <t>Miller, Martin F./0000-0002-7735-0098; Miller, Martin F./0000-0002-7735-0098; Barrat, Jean Alix/0000-0003-3158-3109; Anand, Mahesh/0000-0003-4026-4476; Greenwood, Richard/0000-0002-5544-8027</t>
  </si>
  <si>
    <t>UK Science and Technology Facilities Council [ST/1001964/1, ST/L000776/1]; STFC [ST/L000776/1, ST/P000657/1] Funding Source: UKRI</t>
  </si>
  <si>
    <t>UK Science and Technology Facilities Council(UK Research &amp; Innovation (UKRI)Science &amp; Technology Facilities Council (STFC)); STFC(UK Research &amp; Innovation (UKRI)Science &amp; Technology Facilities Council (STFC))</t>
  </si>
  <si>
    <t>Oxygen isotope studies at the Open University were funded by consolidated grants (#ST/1001964/1 and #ST/L000776/1) from the UK Science and Technology Facilities Council.</t>
  </si>
  <si>
    <t>eaao5928</t>
  </si>
  <si>
    <t>10.1126/sciadv.aao5928</t>
  </si>
  <si>
    <t>GE6XC</t>
  </si>
  <si>
    <t>WOS:000431373300009</t>
  </si>
  <si>
    <t>Taylor, JR; Bachman, S; Stamper, M; Hosegood, P; Adams, K; Sallee, JB; Torres, R</t>
  </si>
  <si>
    <t>Taylor, John R.; Bachman, Scott; Stamper, Megan; Hosegood, Phil; Adams, Katherine; Sallee, Jean-Baptiste; Torres, Ricardo</t>
  </si>
  <si>
    <t>Submesoscale Rossby waves on the Antarctic circumpolar current</t>
  </si>
  <si>
    <t>SOUTHERN-OCEAN; MIXED-LAYER; GULF-STREAM; ANTHROPOGENIC CARBON; EDDY DIFFUSIVITY; MESOSCALE EDDY; VARIABILITY; CIRCULATION; RESTRATIFICATION; PRODUCTIVITY</t>
  </si>
  <si>
    <t>The eastward-flowing Antarctic circumpolar current (ACC) plays a central role in the global ocean overturning circulation and facilitates the exchange of water between the ocean surface and interior. Submesoscale eddies and fronts with scales between 1 and 10 km are regularly observed in the upper ocean and are associated with strong vertical circulations and enhanced stratification. Despite their importance in other locations, comparatively little is known about submesoscales in the Southern Ocean. We present results from new observations, models, and theories showing that submesoscales are qualitatively changed by the strong jet associated with the ACC in the Scotia Sea, east of Drake Passage. Growing submesoscale disturbances develop along a dense filament and are transformed into submesoscale Rossby waves, which propagate upstream relative to the eastward jet. Unlike their counterparts in slower currents, the submesoscale Rossby waves do not destroy the underlying frontal structure. The development of submesoscale instabilities leads to strong net subduction of water associated with a dense outcropping filament, and later, the submesoscale Rossby waves are associated with intense vertical circulations.</t>
  </si>
  <si>
    <t>[Taylor, John R.; Stamper, Megan] Univ Cambridge, Ctr Math Sci, Dept Appl Math &amp; Theoret Phys, Wilberforce Rd, Cambridge, England; [Bachman, Scott] Natl Ctr Atmospher Res, POB 3000, Boulder, CO 80307 USA; [Hosegood, Phil] Plymouth Univ, Sch Biol &amp; Marine Sci, Plymouth, Devon, England; [Adams, Katherine] Univ Calif San Diego, Scripps Inst Oceanog, La Jolla, CA 92093 USA; [Sallee, Jean-Baptiste] Univ Paris 06, Sorbonne Univ, CNRS, Lab Oceanog &amp; Climat Numer LOCEAN Lab, Paris, France; [Torres, Ricardo] Plymouth Marine Lab, Plymouth, Devon, England</t>
  </si>
  <si>
    <t>University of Cambridge; National Center Atmospheric Research (NCAR) - USA; University of Plymouth; University of California System; University of California San Diego; Scripps Institution of Oceanography; Centre National de la Recherche Scientifique (CNRS); Sorbonne Universite; Plymouth Marine Laboratory</t>
  </si>
  <si>
    <t>Taylor, JR (corresponding author), Univ Cambridge, Ctr Math Sci, Dept Appl Math &amp; Theoret Phys, Wilberforce Rd, Cambridge, England.</t>
  </si>
  <si>
    <t>j.r.taylor@damtp.cam.ac.uk</t>
  </si>
  <si>
    <t>Torres, Ricardo/HTP-7351-2023; SALLEE, Jean baptiste/HDO-5355-2022; SALLEE, Jean baptiste/A-5837-2010</t>
  </si>
  <si>
    <t>Torres, Ricardo/0000-0002-9035-2637; Bachman, Scott/0000-0002-6479-4300; SALLEE, Jean baptiste/0000-0002-6109-5176; Hosegood, Philip/0000-0002-4415-7152</t>
  </si>
  <si>
    <t>National Environmental Research Council [NE/J010472/1, NE/J009857/1]; NERC [NE/J009857/1, NE/R015953/1, NE/J010472/1, NE/J010367/1] Funding Source: UKRI</t>
  </si>
  <si>
    <t>National Environmental Research Council(UK Research &amp; Innovation (UKRI)Natural Environment Research Council (NERC)); NERC(UK Research &amp; Innovation (UKRI)Natural Environment Research Council (NERC))</t>
  </si>
  <si>
    <t>This work was funded through the National Environmental Research Council (standard grants NE/J010472/1 and NE/J009857/1).</t>
  </si>
  <si>
    <t>eaao2824</t>
  </si>
  <si>
    <t>10.1126/sciadv.aao2824</t>
  </si>
  <si>
    <t>WOS:000431373300004</t>
  </si>
  <si>
    <t>Lehmann, N; Granger, J; Kienast, M; Brown, KS; Rafter, PA; Martínez-Méndez, G; Mohtadi, M</t>
  </si>
  <si>
    <t>Lehmann, Nadine; Granger, Julie; Kienast, Markus; Brown, Kevin S.; Rafter, Patrick A.; Martinez-Mendez, Gema; Mohtadi, Mahyar</t>
  </si>
  <si>
    <t>Isotopic Evidence for the Evolution of Subsurface Nitrate in the Western Equatorial Pacific</t>
  </si>
  <si>
    <t>nitrogen cycle; nutrient dynamics; stable isotopes; Western Equatorial Pacific</t>
  </si>
  <si>
    <t>TROPICAL NORTH PACIFIC; ANTARCTIC INTERMEDIATE WATER; SIMULATED PASSIVE TRACER; PAPUA-NEW-GUINEA; NITROGEN-FIXATION; SOUTHERN-OCEAN; DINITROGEN FIXATION; SOUTHWEST PACIFIC; DEFICIENT WATERS; MINDANAO CURRENT</t>
  </si>
  <si>
    <t>Subsurface waters from both hemispheres converge in the Western Equatorial Pacific (WEP), some of which form the Equatorial Undercurrent (EUC) that influences equatorial Pacific productivity across the basin. Measurements of nitrogen (N) and oxygen (O) isotope ratios in nitrate (delta N-15(NO3) and delta O-18(NO3)), the isotope ratios of dissolved inorganic carbon (delta C-13(DIC)), and complementary biogeochemical tracers reveal that northern and southern WEP waters have distinct biogeochemical histories. Organic matter remineralization plays an important role in setting the nutrient characteristics on both sides of the WEP. However, remineralization in the northern WEP contributes a larger concentration of the nutrients, consistent with the older age of northern thermocline-depth and intermediate-depth waters. Remineralization introduces a relatively low delta N-15(NO3) to northern waters, suggesting the production of sinking organic matter by N-2 fixation at the surface-consistent with the notion that N-2 fixation is quantitatively important in the North Pacific. In contrast, remineralization contributes elevated delta N-15(NO3) to the southern WEP thermocline, which we hypothesize to derive from the vertical flux of high-delta N-15 material at the southern edge of the equatorial upwelling. This signal potentially masks any imprint of N-2 fixation from South Pacific waters. The observations further suggest that the intrusion of high delta N-15(NO3) and delta O-18(NO3) waters from the eastern margins is more prominent in the northern than southern WEP. Together, these north-south differences enable the examination of the hemispheric inputs to the EUC, which appear to derive predominantly from southern hemisphere waters.</t>
  </si>
  <si>
    <t>[Lehmann, Nadine; Kienast, Markus] Dalhousie Univ, Dept Oceanog, Halifax, NS, Canada; [Granger, Julie] Univ Connecticut, Dept Marine Sci, Groton, CT 06340 USA; [Brown, Kevin S.] Univ Connecticut, Dept Biomed Engn, Storrs, CT USA; [Brown, Kevin S.] Univ Connecticut, Dept Phys Chem &amp; Biomed Engn, Storrs, CT USA; [Brown, Kevin S.] Univ Connecticut, Dept Marine Sci, Storrs, CT USA; [Rafter, Patrick A.] Univ Calif Irvine, Dept Earth Syst Sci, Irvine, CA USA; [Martinez-Mendez, Gema; Mohtadi, Mahyar] Univ Bremen, MARUM Ctr Marine Environm Sci, Bremen, Germany</t>
  </si>
  <si>
    <t>Dalhousie University; University of Connecticut; University of Connecticut; University of Connecticut; University of Connecticut; University of California System; University of California Irvine; University of Bremen</t>
  </si>
  <si>
    <t>Lehmann, N (corresponding author), Dalhousie Univ, Dept Oceanog, Halifax, NS, Canada.</t>
  </si>
  <si>
    <t>nadine.lehmann@dal.ca</t>
  </si>
  <si>
    <t>Mohtadi, Mahyar/N-2106-2014; Méndez, Gema Martínez/AAB-2245-2020; Rafter, Patrick A/I-3301-2012</t>
  </si>
  <si>
    <t>Mohtadi, Mahyar/0000-0003-3306-0969; Méndez, Gema Martínez/0000-0001-7950-6837; Lehmann, Nadine/0000-0002-7884-5009; Brown, Kevin/0000-0003-2959-2401</t>
  </si>
  <si>
    <t>German Ministry of Education and Research (BMBF) [03G0228A]; Natural Science and Engineering Research Council (NSERC) Canada; United States National Science Foundation [OCE-1435002]</t>
  </si>
  <si>
    <t>German Ministry of Education and Research (BMBF)(Federal Ministry of Education &amp; Research (BMBF)); Natural Science and Engineering Research Council (NSERC) Canada(Natural Sciences and Engineering Research Council of Canada (NSERC)); United States National Science Foundation(National Science Foundation (NSF))</t>
  </si>
  <si>
    <t>We gratefully acknowledge the captain and crew of the RV Sonne SO-228 for contributing to a successful expedition, funded by the German Ministry of Education and Research (BMBF; grant 03G0228A, EISPAC). The Natural Science and Engineering Research Council (NSERC) Canada provided funding for this project, in particular to NL through the NSERC CREATE Transatlantic Ocean System Science and Technology (TOSST) grant. Further support for this work came from the United States National Science Foundation grant OCE-1435002 to J.G. Data are available on https://doi.org/10.1594/PANGAEA.885589.</t>
  </si>
  <si>
    <t>10.1002/2017JC013527</t>
  </si>
  <si>
    <t>WOS:000430918500007</t>
  </si>
  <si>
    <t>Bauch, D; Cherniavskaia, E</t>
  </si>
  <si>
    <t>Bauch, D.; Cherniavskaia, E.</t>
  </si>
  <si>
    <t>Water Mass Classification on a Highly Variable Arctic Shelf Region: Origin of Laptev Sea Water Masses and Implications for the Nutrient Budget</t>
  </si>
  <si>
    <t>FRESH-WATER; BOTTOM WATERS; OCEAN; HALOCLINE; ICE</t>
  </si>
  <si>
    <t>Large gradients and inter annual variations on the Laptev Sea shelf prevent the use of uniform property ranges for a classification of major water masses. The central Laptev Sea is dominated by predominantly marine waters, locally formed polynya waters and riverine summer surface waters. Marine waters enter the central Laptev Sea from the northwestern Laptev Sea shelf and originate from the Kara Sea or the Arctic Ocean halocline. Local polynya waters are formed in the Laptev Sea coastal polynyas. Riverine summer surface waters are formed from Lena river discharge and local melt. We use a principal component analysis (PCA) in order to assess the distribution and importance of water masses within the Laptev Sea. This mathematical method is applied to hydro-chemical summer data sets from the Laptev Sea from five years and allows to define water types based on objective and statistically significant criteria. We argue that the PCA-derived water types are consistent with the Laptev Sea hydrography and indeed represent the major water masses on the central Laptev Sea shelf. Budgets estimated for the thus defined major Laptev Sea water masses indicate that freshwater inflow from the western Laptev Sea is about half or in the same order of magnitude as freshwater stored in locally formed polynya waters. Imported water dominates the nutrient budget in the central Laptev Sea; and only in years with enhanced local polynya activity is the nutrient budget of the locally formed water in the same order as imported nutrients.</t>
  </si>
  <si>
    <t>[Bauch, D.] GEOMAR Helmholtz Ctr Ocean Res Kiel, Kiel, Germany; [Cherniavskaia, E.] Arctic &amp; Antarctic Res Inst, St Petersburg, Russia</t>
  </si>
  <si>
    <t>Helmholtz Association; GEOMAR Helmholtz Center for Ocean Research Kiel; Arctic &amp; Antarctic Research Institute</t>
  </si>
  <si>
    <t>Bauch, D (corresponding author), GEOMAR Helmholtz Ctr Ocean Res Kiel, Kiel, Germany.</t>
  </si>
  <si>
    <t>dbauch@geomar.de</t>
  </si>
  <si>
    <t>Cherniavskaia, Ekaterina A/J-7258-2016</t>
  </si>
  <si>
    <t>Cherniavskaia, Ekaterina A/0000-0002-8517-1057; Bauch, Dorothea/0000-0002-1419-9714</t>
  </si>
  <si>
    <t>DFG [BA1689/2-2]; BMBF [03F0776A]; RFBR [16-34-00733 mol a]; Russian Ministry of Education and Science [14.616.21.0076]</t>
  </si>
  <si>
    <t>DFG(German Research Foundation (DFG)); BMBF(Federal Ministry of Education &amp; Research (BMBF)); RFBR(Russian Foundation for Basic Research (RFBR)); Russian Ministry of Education and Science(Ministry of Education and Science, Russian Federation)</t>
  </si>
  <si>
    <t>We thank all members of the Russian-German collaboration TRANSDRIFT. Figures were generated using ODV (Schlitzer, 2001), and the GMT mapping tool (Wessel &amp; Smith, 1998). DB was funded by DFG (BA1689/2-2) and by BMBF (03F0776A.) EC received funding by RFBR (project16-34-00733 mol a) and The Russian Ministry of Education and Science (project 14.616.21.0076). Data available from Pangaea repository at https://doi.org/10.1594/PANGAEA.885448.</t>
  </si>
  <si>
    <t>10.1002/2017JC013524</t>
  </si>
  <si>
    <t>WOS:000430918500018</t>
  </si>
  <si>
    <t>Capuano, TA; Speich, S; Carton, X; Blanke, B</t>
  </si>
  <si>
    <t>Capuano, Tonia Astrid; Speich, Sabrina; Carton, Xavier; Blanke, Bruno</t>
  </si>
  <si>
    <t>Mesoscale and Submesoscale Processes in the Southeast Atlantic and Their Impact on the Regional Thermohaline Structure</t>
  </si>
  <si>
    <t>meso- and submesoscale dynamics; Cape Basin water masses; Indo-Atlantic exchange</t>
  </si>
  <si>
    <t>AGULHAS RING; MIXED-LAYER; OVERTURNING CIRCULATION; BAROCLINIC INSTABILITY; INTEROCEAN EXCHANGE; INTERBASIN EXCHANGE; CURRENT SYSTEM; GULF-STREAM; HEAT-FLUX; OCEAN</t>
  </si>
  <si>
    <t>The turbulent processes in the Cape Basin, the southeasternmost gate of the Atlantic Ocean, play a key role in the transport and mixing of upper to intermediate water masses entering the area from the Indian Ocean, making them especially relevant for the Indo-Atlantic transfer of heat and salt. In this paper, two numerical simulations at different horizontal resolutions are used to study mesoscale and submesoscale dynamics, their phenomenology, their evolution, and their impact on the local water masses. Submesoscale processes seasonally affect both, the upper and intermediate layers, but there are clear dynamical differences between the two layers. Several types of instabilities underline this spatial and temporal variability. Near the surface, mixed layer instabilities occur during winter, while mesoscale-driven instabilities, as the symmetric type, prevail in summer. The connection between these two seasonal regimes is ensured, in anticyclonic eddies and within the mixed layers, by Charney baroclinic instabilities, involved in the local formation and subduction of mode water, that we have dubbed as Agulhas Rings mode water. Intermediate depths are instead characterized by mesoscale mechanisms of density compensation and lateral stirring of the tracer variance, triggering a significant filamentogenesis whose vertical scales are comparable to those mentioned in previous studies. This leads to a particularly efficient mixing of Antarctic Intermediate Waters of Indian and Atlantic origins. Lagrangian estimates highlight the new and significant role of fine scale structures in setting the water masses properties of upper and lower thermocline waters materializing the Indo-Atlantic exchange and therefore potentially affecting the global ocean circulation.</t>
  </si>
  <si>
    <t>[Capuano, Tonia Astrid; Carton, Xavier; Blanke, Bruno] UBO, LOPS, Brest, France; [Speich, Sabrina] Ecole Normale Super, LMD, IPSL, Paris, France</t>
  </si>
  <si>
    <t>Ifremer; Universite de Bretagne Occidentale; Universite Paris Cite; Universite PSL; Ecole Normale Superieure (ENS); Ecole des Ponts ParisTech</t>
  </si>
  <si>
    <t>Speich, S (corresponding author), Ecole Normale Super, LMD, IPSL, Paris, France.</t>
  </si>
  <si>
    <t>carton, xavier j/A-1895-2016; Speich, Sabrina/L-3780-2014; Blanke, Bruno/H-4280-2015</t>
  </si>
  <si>
    <t>Speich, Sabrina/0000-0002-5452-8287; Blanke, Bruno/0000-0002-1309-0952</t>
  </si>
  <si>
    <t>Laboratoire d'Excellence LabexMER [ANR-10-LABX-19]; French Government under the program Investissements d'Avenir; Regional Council of Brittany; European Union Horizon research and innovation programme [633211]; SAMOC research grant [11-ANR-56-004]; ANR/DGA program DYNED ATLAS; French CNRS computer center IDRIS</t>
  </si>
  <si>
    <t>Laboratoire d'Excellence LabexMER; French Government under the program Investissements d'Avenir(Agence Nationale de la Recherche (ANR)); Regional Council of Brittany(Region Bretagne); European Union Horizon research and innovation programme; SAMOC research grant; ANR/DGA program DYNED ATLAS(Agence Nationale de la Recherche (ANR)); French CNRS computer center IDRIS</t>
  </si>
  <si>
    <t>The model data used analyzed in this paper are available at the following website: http://data.umr-lops.fr/pub/AGU_LH_HR/. The authors greatly appreciate discussions with Xavier Capet, Gildas Cambon, Guillaume Lapeyre, Guillaume Roullet, Bernard Barnier, Arne Biastoch, and Jeroen Molemaker. This work was supported by the Laboratoire d'Excellence LabexMER (ANR-10-LABX-19), by a grant from the French Government under the program Investissements d'Avenir, and by a grant from the Regional Council of Brittany. This work was also supported by the European Union Horizon 2020 research and innovation programme under grant 633211 (AtlantOS), and by the 11-ANR-56-004 SAMOC research grant. This study is part of the CLIVAR-SAMOC international initiative. We also acknowledge funding from the ANR/DGA program DYNED ATLAS and the French CNRS computer center IDRIS for technical and computational support. We thank both reviewers who helped us to improve this manuscript.</t>
  </si>
  <si>
    <t>10.1002/2017JC013396</t>
  </si>
  <si>
    <t>WOS:000430918500021</t>
  </si>
  <si>
    <t>Tamsitt, V; Abernathey, RP; Mazloff, MR; Wang, J; Talley, LD</t>
  </si>
  <si>
    <t>Tamsitt, V.; Abernathey, R. P.; Mazloff, M. R.; Wang, J.; Talley, L. D.</t>
  </si>
  <si>
    <t>Transformation of Deep Water Masses Along Lagrangian Upwelling Pathways in the Southern Ocean</t>
  </si>
  <si>
    <t>Southern Ocean; upwelling; Lagrangian; water mass transformation; mixing; topography</t>
  </si>
  <si>
    <t>OVERTURNING CIRCULATION; GLOBAL CONVEYOR; NEUTRAL DENSITY; STATE ESTIMATE; INVERSE METHOD; DRAKE PASSAGE; TURBULENCE; PROFILES; DEPTHS; MODELS</t>
  </si>
  <si>
    <t>Upwelling of northern deep waters in the Southern Ocean is fundamentally important for the closure of the global meridional overturning circulation and delivers carbon and nutrient-rich deep waters to the sea surface. We quantify water mass transformation along upwelling pathways originating in the Atlantic, Indian, and Pacific and ending at the surface of the Southern Ocean using Lagrangian trajectories in an eddy-permitting ocean state estimate. Recent related work shows that upwelling in the interior below about 400 m depth is localized at hot spots associated with major topographic features in the path of the Antarctic Circumpolar Current, while upwelling through the surface layer is more broadly distributed. In the ocean interior upwelling is largely isopycnal; Atlantic and to a lesser extent Indian Deep Waters cool and freshen while Pacific deep waters are more stable, leading to a homogenization of water mass properties. As upwelling water approaches the mixed layer, there is net strong transformation toward lighter densities due to mixing of freshwater, but there is a divergence in the density distribution as Upper Circumpolar Deep Water tends become lighter and dense Lower Circumpolar Deep Water tends to become denser. The spatial distribution of transformation shows more rapid transformation at eddy hot spots associated with major topography where density gradients are enhanced; however, the majority of cumulative density change along trajectories is achieved by background mixing. We compare the Lagrangian analysis to diagnosed Eulerian water mass transformation to attribute the mechanisms leading to the observed transformation.</t>
  </si>
  <si>
    <t>[Tamsitt, V.; Mazloff, M. R.; Talley, L. D.] Univ Calif San Diego, Scripps Inst Oceanog, La Jolla, CA 92093 USA; [Abernathey, R. P.] Columbia Univ, Lamont Doherty Earth Observ, Palisades, NY USA; [Wang, J.] CALTECH, Jet Prop Lab, Pasadena, CA USA</t>
  </si>
  <si>
    <t>University of California System; University of California San Diego; Scripps Institution of Oceanography; Columbia University; National Aeronautics &amp; Space Administration (NASA); NASA Jet Propulsion Laboratory (JPL); California Institute of Technology</t>
  </si>
  <si>
    <t>Tamsitt, V (corresponding author), Univ Calif San Diego, Scripps Inst Oceanog, La Jolla, CA 92093 USA.</t>
  </si>
  <si>
    <t>vtamsitt@ucsd.edu</t>
  </si>
  <si>
    <t>Wang, Jinbo/H-1174-2015; Tamsitt, Veronica/U-1838-2019; Tamsitt, Veronica/M-4271-2019; Mazloff, Matthew/AAG-6463-2019</t>
  </si>
  <si>
    <t>Wang, Jinbo/0000-0001-5034-5566; Mazloff, Matthew/0000-0002-1650-5850; Talley, Lynne/0000-0003-1574-729X; Abernathey, Ryan/0000-0001-5999-4917; Tamsitt, Veronica/0000-0001-8816-2239</t>
  </si>
  <si>
    <t>NSF [OCE-1357072, OCE-1357133, PLR-1425989, OCE-1234473]; National Science Foundation; Office of Polar Programs (OPP); Directorate For Geosciences [1425989] Funding Source: National Science Foundation</t>
  </si>
  <si>
    <t>NSF(National Science Foundation (NSF)); National Science Foundation(National Science Foundation (NSF)); Office of Polar Programs (OPP); Directorate For Geosciences(National Science Foundation (NSF)NSF - Directorate for Geosciences (GEO))</t>
  </si>
  <si>
    <t>V.T., R.P.A., and L.D.T. were supported by NSF OCE-1357072. R.P.A. acknowledges support from NSF grant OCE-1357133. M.R.M. is supported by NSF award PLR-1425989. J.W. acknowledges support from NSF OCE-1234473 and declares that this work was done as a private venture and not in the author's capacity as an employee of the Jet Propulsion Laboratory, California Institute of Technology. We acknowledge high-performance computing support from Yellowstone (ark:/85065/d7wd3xhc) provided by NCARs Computational and Information Systems Laboratory, sponsored by the National Science Foundation, and from the Yeti HPC cluster, provided by Columbia University Research Computing Services. SOSE Iteration 100 model output is available at http://sose.ucsd.edu. Lagrangian trajectories used in this paper are available from the corresponding author upon request. The authors Sjoerd Groeskamp and one anonymous reviewer whose comments greatly improved the manuscripts and thank H. Drake and A. Morrison for extensive discussions on the Lagrangian analysis, and I. Cerovec. ki for useful discussion on water mass transformation.</t>
  </si>
  <si>
    <t>10.1002/2017JC013409</t>
  </si>
  <si>
    <t>WOS:000430918500024</t>
  </si>
  <si>
    <t>Pan, L; Zhong, YS; Liu, HL; Zhou, L; Zhang, ZR; Zhou, M</t>
  </si>
  <si>
    <t>Pan, Li; Zhong, Yisen; Liu, Hailong; Zhou, Lei; Zhang, Zhaoru; Zhou, Meng</t>
  </si>
  <si>
    <t>Seasonal Variation of Barrier Layer in the Southern Ocean</t>
  </si>
  <si>
    <t>barrier layer; Southern Ocean; seasonal variation</t>
  </si>
  <si>
    <t>ANTARCTIC CIRCUMPOLAR CURRENT; WESTERN EQUATORIAL PACIFIC; SEA-SURFACE SALINITY; TROPICAL INDIAN-OCEAN; WINTER MIXED-LAYER; ANNULAR MODE; INTERANNUAL VARIABILITY; OVERTURNING CIRCULATION; HYDROGRAPHIC SECTION; WATER FORMATION</t>
  </si>
  <si>
    <t>The seasonal variability of barrier layer (BL) and its formation mechanism in the Southern Ocean are investigated using the most recent Argo data. The results reveal that the BL is a persistent feature in the Southern Ocean with a strong seasonal cycle. The thickest BL appears in winter with the maximum amplitude exceeding 250 m while it dramatically decreases to less than 50 m in summer. The spatial distribution of BL is zonally oriented in the Pacific and Indian Ocean sectors, which is in agreement with that of the mixed layer depth (MLD) and the isothermal layer depth (ILD). Two areas with the most prominent BL are identified. One is located south of Australia and the other in the southeastern Pacific. The BL formation in both areas is generally attributed to a shallow mixed layer controlled by surface freshwater intrusion and a deep isothermal layer modulated by seasonal vertical convection. In the former region, the cold and fresh Antarctic Surface Water (ASW) is transported northward across the Subantarctic Front (SAF) by the Ekman effect and overlies the warm Subantarctic Mode Water (SAMW). The resulting inverse temperature structure facilitates the development of thick BLs. In the latter region, the BL emerges in the ventilation area where the shallow Surface Salinity Minimum Water (SSMW) coming from north leans against the deep vertical isotherms. In summer, positive surface heat flux into the ocean overwhelms other thermodynamic effects in the mixed layer heat budget. The MLD and ILD coincide and thus the BL is destroyed.</t>
  </si>
  <si>
    <t>[Pan, Li; Zhong, Yisen; Liu, Hailong; Zhou, Lei; Zhang, Zhaoru; Zhou, Meng] Shanghai Jiao Tong Univ, Inst Oceanog, Shanghai, Peoples R China; [Zhou, Lei] Second Inst Oceanog, State Key Lab Satellite Ocean Environm Dynam, Hangzhou, Zhejiang, Peoples R China</t>
  </si>
  <si>
    <t>Shanghai Jiao Tong University; Ministry of Natural Resources of the People's Republic of China; Second Institute of Oceanography, Ministry of Natural Resources</t>
  </si>
  <si>
    <t>Zhong, YS (corresponding author), Shanghai Jiao Tong Univ, Inst Oceanog, Shanghai, Peoples R China.</t>
  </si>
  <si>
    <t>yisen.zhong@sjtu.edu.cn</t>
  </si>
  <si>
    <t>LIU, JIALIN/JXN-8034-2024; Liu, Hailong/I-3869-2013; Zhou, Lei/G-5200-2010</t>
  </si>
  <si>
    <t>Liu, Hailong/0000-0001-8335-7272; Zhou, Lei/0000-0002-0433-3991</t>
  </si>
  <si>
    <t>Shanghai Sailing Program [15FY1406400]; Natural Science Foundation of Shanghai [16ZR1416200]; National Natural Science Foundation of China [41406006]; National Program on Key Basic Research Project (973 Program) [2014CB441500]; NOAA Climate Observations and Monitoring (COM) program</t>
  </si>
  <si>
    <t>Shanghai Sailing Program; Natural Science Foundation of Shanghai(Natural Science Foundation of Shanghai); National Natural Science Foundation of China(National Natural Science Foundation of China (NSFC)); National Program on Key Basic Research Project (973 Program)(National Basic Research Program of China); NOAA Climate Observations and Monitoring (COM) program</t>
  </si>
  <si>
    <t>This study was supported by the Shanghai Sailing Program (grant 15FY1406400 to Y. Zhong), Natural Science Foundation of Shanghai (grant 16ZR1416200 to H. Liu), National Natural Science Foundation of China (grant 41406006 to Z. Zhang), and National Program on Key Basic Research Project (973 Program) (grant 2014CB441500 to M. Zhou). The Argo data can be accessed from ftp://ftp.ifremer.fr/ifremer/argo. The ocean heat flux and evaporation products were provided by the WHOI OAFlux project (http://oaflux.whoi.edu) funded by the NOAA Climate Observations and Monitoring (COM) program. The CMAP Precipitation data were provided by the NOAA/OAR/ESRL PSD, Boulder, Colorado, USA, from their Web site at http://www.esrl.noaa.gov/psd/.</t>
  </si>
  <si>
    <t>10.1002/2017JC013382</t>
  </si>
  <si>
    <t>WOS:000430918500037</t>
  </si>
  <si>
    <t>Pilo, GS; Oke, PR; Coleman, R; Rykova, T; Ridgway, K</t>
  </si>
  <si>
    <t>Pilo, Gabriela S.; Oke, Peter R.; Coleman, Richard; Rykova, Tatiana; Ridgway, Ken</t>
  </si>
  <si>
    <t>Patterns of Vertical Velocity Induced by Eddy Distortion in an Ocean Model</t>
  </si>
  <si>
    <t>anticyclonic eddy; eddy distortion; eddy isotropy; ocean model; stratification; relative vorticity</t>
  </si>
  <si>
    <t>EAST AUSTRALIAN CURRENT; MESOSCALE EDDIES; CURRENT SYSTEM; SARGASSO SEA; TASMAN SEA; SATELLITE-OBSERVATIONS; ANTICYCLONIC EDDIES; FUTURE CLIMATE; NORTH-ATLANTIC; VARIABILITY</t>
  </si>
  <si>
    <t>Vertical motions within eddies play an important role in the exchange of properties and energy between the upper ocean and the ocean interior. Here we analyze alternating upward and downward cells in anticyclonic eddies in the East Australian Current region using a global eddy-resolving model. The cells explain over 50% of the variance of vertical velocity within these eddies. We show that the upward and downward cells relate to eddy distortion, defined as the change in eddy shape over time. In anticyclonic eddies in the Southern Hemisphere, an inward distortion is associated with upward motion and an outward distortion is associated with downward motion. We discuss two mechanisms that link eddy distortion to vertical velocity. One mechanism relates to changes in stratification and relative vorticity in the eddy interior. The other mechanism relates to divergence of the horizontal flow in different quadrants of the eddy. We show that mesoscale changes in sea level anomaly can be used to infer the vertical motion within eddies.</t>
  </si>
  <si>
    <t>[Pilo, Gabriela S.; Coleman, Richard] Univ Tasmania, Inst Marine &amp; Antarctic Studies, Hobart, Tas, Australia; [Pilo, Gabriela S.; Oke, Peter R.; Rykova, Tatiana; Ridgway, Ken] CSIRO Oceans &amp; Atmosphere Flagship, Hobart, Tas, Australia; [Coleman, Richard] Antarctic Climate &amp; Ecosyst CRC, Hobart, Tas, Australia</t>
  </si>
  <si>
    <t>University of Tasmania; Commonwealth Scientific &amp; Industrial Research Organisation (CSIRO); University of Tasmania</t>
  </si>
  <si>
    <t>Pilo, GS (corresponding author), Univ Tasmania, Inst Marine &amp; Antarctic Studies, Hobart, Tas, Australia.;Pilo, GS (corresponding author), CSIRO Oceans &amp; Atmosphere Flagship, Hobart, Tas, Australia.</t>
  </si>
  <si>
    <t>Gabriela.SemoliniPilo@utas.edu.au</t>
  </si>
  <si>
    <t>Oke, Peter R/C-5127-2011; Ridgway, Ken/AAA-4040-2019; Rykova, Tatiana/L-4135-2018; Coleman, Richard/H-4425-2012</t>
  </si>
  <si>
    <t>Rykova, Tatiana/0000-0002-1808-5829; Ridgway, Ken/0000-0002-5861-1360; Pilo, Gabriela/0000-0002-8590-8645; Coleman, Richard/0000-0002-9731-7498</t>
  </si>
  <si>
    <t>CAPES Foundation; Brazilian Ministry of Education [0520-13-6]; Quantitative Marine Science PhD program from the University of Tasmania</t>
  </si>
  <si>
    <t>CAPES Foundation(Coordenacao de Aperfeicoamento de Pessoal de Nivel Superior (CAPES)); Brazilian Ministry of Education; Quantitative Marine Science PhD program from the University of Tasmania</t>
  </si>
  <si>
    <t>Gabriela S. Pilo acknowledges support by the CAPES Foundation, Brazilian Ministry of Education (grant 0520-13-6) and the Quantitative Marine Science PhD program from the University of Tasmania. The authors gratefully acknowledge input from Shane Keating, Hugo B. de Oliveira, Mark Baird, and two anonymous reviewers, that led to improvements of this work. OFAM was developed under Bluelink: a partnership between CSIRO, the Bureau of Meteorology and the Royal Australian Navy (http://wp.csiro.au/bluelink/, downloaded in January 2014). The Ocean Current altimeter products were produced by CSIRO and distributed by the Integrated Marine Observing System (http://oceancurrent.imos.org.au, downloaded in February 2014).</t>
  </si>
  <si>
    <t>10.1002/2017JC013298</t>
  </si>
  <si>
    <t>WOS:000430918500039</t>
  </si>
  <si>
    <t>Canuto, VM; Cheng, Y; Dubovikov, MS; Howard, AM; Leboissetier, A</t>
  </si>
  <si>
    <t>Canuto, V. M.; Cheng, Y.; Dubovikov, M. S.; Howard, A. M.; Leboissetier, A.</t>
  </si>
  <si>
    <t>Parameterization of Mixed Layer and Deep-Ocean Mesoscales including Nonlinearity</t>
  </si>
  <si>
    <t>ANTARCTIC CIRCUMPOLAR CURRENT; OVERTURNING CIRCULATION; CLIMATE MODEL; EDDY FLUXES; BETA-PLANE; MEAN FLOW; EDDIES; SIMULATIONS; TRANSPORTS; SURFACE</t>
  </si>
  <si>
    <t>In 2011, Chelton et al. carried out a comprehensive census of mesoscales using altimetry data and reached the following conclusions: essentially all of the observed mesoscale features are nonlinear'' and mesoscales do not move with the mean velocity but with their own drift velocity,'' which is the most germane of all the nonlinear metrics.'' Accounting for these results in a mesoscale parameterization presents conceptual and practical challenges since linear analysis is no longer usable and one needs a model of nonlinearity. A mesoscale parameterization is presented that has the following features: 1) it is based on the solutions of the nonlinear mesoscale dynamical equations, 2) it describes arbitrary tracers, 3) it includes adiabatic (A) and diabatic (D) regimes, 4) the eddy-induced velocity is the sum of a Gent and McWilliams (GM) term plus a new term representing the difference between drift and mean velocities, 5) the new term lowers the transfer of mean potential energy to mesoscales, 6) the isopycnal slopes are not as flat as in the GM case, 7) deep-ocean stratification is enhanced compared to previous parameterizations where being more weakly stratified allowed a large heat uptake that is not observed, 8) the strength of the Deacon cell is reduced. The numerical results are from a stand-alone ocean code with Coordinated Ocean-Ice Reference Experiment I (CORE-I) normal-year forcing.</t>
  </si>
  <si>
    <t>[Canuto, V. M.; Cheng, Y.; Dubovikov, M. S.] Columbia Univ, NASA, Goddard Inst Space Studies, New York, NY 10027 USA; [Canuto, V. M.] Columbia Univ, Dept Appl Phys &amp; Appl Math, New York, NY 10027 USA; [Cheng, Y.; Dubovikov, M. S.] Columbia Univ, Ctr Climate Syst Res, New York, NY USA; [Howard, A. M.; Leboissetier, A.] NASA, Goddard Inst Space Studies, New York, NY 10025 USA; [Howard, A. M.] CUNY Medgar Evers Coll, Dept Phys &amp; Comp Sci, Brooklyn, NY 11225 USA; [Leboissetier, A.] SciSpace LLC, New York, NY USA</t>
  </si>
  <si>
    <t>National Aeronautics &amp; Space Administration (NASA); NASA Goddard Space Flight Center; Goddard Institute for Space Studies; Columbia University; Columbia University; Columbia University; National Aeronautics &amp; Space Administration (NASA); NASA Goddard Space Flight Center; Goddard Institute for Space Studies; City University of New York (CUNY) System</t>
  </si>
  <si>
    <t>Canuto, VM (corresponding author), Columbia Univ, NASA, Goddard Inst Space Studies, New York, NY 10027 USA.;Canuto, VM (corresponding author), Columbia Univ, Dept Appl Phys &amp; Appl Math, New York, NY 10027 USA.</t>
  </si>
  <si>
    <t>vmcanuto@gmail.com</t>
  </si>
  <si>
    <t>Howard, Armando/0000-0001-6310-6070; Leboissetier, Anthony/0000-0001-9685-7815</t>
  </si>
  <si>
    <t>NASA Climate Program; NASA Oceanography Program</t>
  </si>
  <si>
    <t>NASA Climate Program; NASA Oceanography Program(National Aeronautics &amp; Space Administration (NASA))</t>
  </si>
  <si>
    <t>The authors thank two anonymous referees whose valuable criticism helped us to achieve a more focused presentation. The authors thank the NASA Climate Program and the NASA Oceanography Program managed by T. Lee and E. Lindstrom for financial support. Resources supporting this work were provided by the NASA High-End Computing (HEC) Program through the NASA Center for Climate Simulation (NCCS) at the Goddard Space Flight Center. VMC would like to dedicate his work to Aura Sofia Canuto.</t>
  </si>
  <si>
    <t>10.1175/JPO-D-16-0255.1</t>
  </si>
  <si>
    <t>GD8JC</t>
  </si>
  <si>
    <t>WOS:000430757700005</t>
  </si>
  <si>
    <t>Qiu, B; Chen, SM; Klein, P; Wang, JB; Torres, H; Fu, LL; Menemenlis, D</t>
  </si>
  <si>
    <t>Qiu, Bo; Chen, Shuiming; Klein, Patrice; Wang, Jinbo; Torres, Hector; Fu, Lee-Lueng; Menemenlis, Dimitris</t>
  </si>
  <si>
    <t>Seasonality in Transition Scale from Balanced to Unbalanced Motions in the World Ocean</t>
  </si>
  <si>
    <t>INTERNAL GRAVITY-WAVES; MESOSCALE; VARIABILITY; CIRCULATION; TOPEX/POSEIDON; TURBULENCE; ALTIMETER; DYNAMICS; SPECTRA; ENERGY</t>
  </si>
  <si>
    <t>The transition scale L-t from balanced geostrophic motions to unbalanced wave motions, including near-inertial flows, internal tides, and inertia-gravity wave continuum, is explored using the output from a global 1/48 degrees horizontal resolution Massachusetts Institute of Technology general circulation model (MITgcm) simulation. Defined as the wavelength with equal balanced and unbalanced motion kinetic energy (KE) spectral density, L-t is detected to be geographically highly inhomogeneous: it falls below 40 km in the western boundary current and Antarctic Circumpolar Current regions, increases to 40-100 km in the interior subtropical and subpolar gyres, and exceeds, in general, 200 km in the tropical oceans. With the exception of the Pacific and Indian sectors of the Southern Ocean, the seasonal KE fluctuations of the surface balanced and unbalanced motions are out of phase because of the occurrence of mixed layer instability in winter and trapping of unbalanced motion KE in shallow mixed layer in summer. The combined effect of these seasonal changes renders L-t to be 20 km during winter in 80% of the Northern Hemisphere oceans between 25 degrees and 45 degrees N and all of the Southern Hemisphere oceans south of 25 degrees S. The transition scale's geographical and seasonal changes are highly relevant to the forthcoming Surface Water and Ocean Topography (SWOT) mission. To improve the detection of balanced submesoscale signals from SWOT, especially in the tropical oceans, efforts to remove stationary internal tidal signals are called for.</t>
  </si>
  <si>
    <t>[Qiu, Bo; Chen, Shuiming] Univ Hawaii Manoa, Dept Oceanog, Honolulu, HI 96822 USA; [Klein, Patrice] IFREMER, CNRS, LOPS, Issy Les Moulineaux, France; [Klein, Patrice] CALTECH, Pasadena, CA 91125 USA; [Wang, Jinbo; Torres, Hector; Fu, Lee-Lueng; Menemenlis, Dimitris] CALTECH, Jet Prop Lab, Pasadena, CA USA</t>
  </si>
  <si>
    <t>University of Hawaii System; University of Hawaii Manoa; Ifremer; Centre National de la Recherche Scientifique (CNRS); California Institute of Technology; National Aeronautics &amp; Space Administration (NASA); NASA Jet Propulsion Laboratory (JPL); California Institute of Technology</t>
  </si>
  <si>
    <t>Qiu, B (corresponding author), Univ Hawaii Manoa, Dept Oceanog, Honolulu, HI 96822 USA.</t>
  </si>
  <si>
    <t>bo@soest.hawaii.edu</t>
  </si>
  <si>
    <t>Klein, Patrice/M-4279-2015; Torres, Héctor/GXG-1780-2022; Qiu, Bo/D-9569-2017; Menemenlis, Dimitris/G-8091-2017; Wang, Jinbo/H-1174-2015</t>
  </si>
  <si>
    <t>Klein, Patrice/0000-0002-3089-3896; Menemenlis, Dimitris/0000-0001-9940-8409; Wang, Jinbo/0000-0001-5034-5566</t>
  </si>
  <si>
    <t>NASA SWOT; OSTST missions [NNX16AH66G, NNX17AH33G]; Agence Nationale pour la Recherche [ANR-10-LABX-19-01]; SWOT project (JPL, NASA); SWOT projects</t>
  </si>
  <si>
    <t>NASA SWOT; OSTST missions; Agence Nationale pour la Recherche(Agence Nationale de la Recherche (ANR)); SWOT project (JPL, NASA); SWOT projects</t>
  </si>
  <si>
    <t>We thank Rosemary Morrow, Clement Ubelmann, and Ed Zaron for insightful discussions. Constructive comments made by two anonymous reviewers helped improve an early version of the manuscript. B. Q. and S. C. acknowledge support from NASA SWOT and OSTST missions (NNX16AH66G and NNX17AH33G). P. K. acknowledges the support of the Agence Nationale pour la Recherche [ANR-10-LABX-19-01 (LabexMER)] and of the SWOT project (JPL, NASA). J. W., H. T., L. F., and D. M.'s research presented in this paper was carried out in part at the Jet Propulsion Laboratory, California Institute of Technology, under contract with NASA. They acknowledge support from the SWOT projects.</t>
  </si>
  <si>
    <t>10.1175/JPO-D-17-0169.1</t>
  </si>
  <si>
    <t>WOS:000430757700007</t>
  </si>
  <si>
    <t>Gjermundsen, A; LaCasce, JH; Denstad, L</t>
  </si>
  <si>
    <t>Gjermundsen, Ada; LaCasce, Joseph H.; Denstad, Liv</t>
  </si>
  <si>
    <t>The Thermally Driven Ocean Circulation with Realistic Bathymetry</t>
  </si>
  <si>
    <t>ANTARCTIC CIRCUMPOLAR CURRENT; MERIDIONAL OVERTURNING CIRCULATION; DEEP-WATER FORMATION; NORTH-ATLANTIC; WORLD OCEAN; CLIMATIC IMPACT; DRAKE PASSAGE; THERMOHALINE; TRANSPORT; DYNAMICS</t>
  </si>
  <si>
    <t>The global circulation driven solely by relaxation to an idealized surface temperature profile and to interior mixing is examined. Forcing by winds and evaporation/precipitation is excluded. The resulting circulation resembles the observed in many ways, and the overturning is of similar magnitude. The overturning is driven by large-scale upwelling in the interior (which is relatively large, because of the use of a constant mixing coefficient). The compensating downwelling occurs in the northern North Atlantic and in the Ross and Weddell Seas, with an additional, smaller contribution from the northern North Pacific. The latter is weaker because the Bering Strait limits the northward extent of the flow. The downwelling occurs in frictional layers near the boundaries and depends on the lateral shear in the horizontal flow. The shear, in turn, is linked to the imposed surface temperature gradient via thermal wind, and as such, the downwelling can be reduced or eliminated in selected regions by removing the surface gradient. Doing so in the northern North Atlantic causes the (thermally driven) Antarctic Circumpolar Current to intensify, increasing the sinking along Antarctica. Eliminating the surface gradient in the Southern Ocean increases the sinking in the North Atlantic and Pacific. As there is upwelling also in the western boundary currents, the flow must increase even more to accomplish the necessary downwelling. The implications of the results are then considered, particularly with respect to Arctic intensification of global warming, which will reduce the surface temperature gradient.</t>
  </si>
  <si>
    <t>[Gjermundsen, Ada; LaCasce, Joseph H.; Denstad, Liv] Univ Oslo, Dept Geosci, Oslo, Norway; [Denstad, Liv] Meteorol Inst, Oslo, Norway</t>
  </si>
  <si>
    <t>University of Oslo; Norwegian Meteorological Institute</t>
  </si>
  <si>
    <t>Gjermundsen, A (corresponding author), Univ Oslo, Dept Geosci, Oslo, Norway.</t>
  </si>
  <si>
    <t>ada.gjermundsen@geo.uio.no</t>
  </si>
  <si>
    <t>Gjermundsen, Ada/0000-0002-2053-4689</t>
  </si>
  <si>
    <t>Grant NORSEE from the Norwegian Research Council</t>
  </si>
  <si>
    <t>Grant NORSEE from the Norwegian Research Council(Research Council of Norway)</t>
  </si>
  <si>
    <t>We benefited from discussions with Anne Fouilloux and David Ferreira and from constructive comments from two anonymous reviewers. The research was conducted with computational resources at UiO provided by NORTUR (http:///www.sigma2.no). JHL was supported in part by Grant NORSEE from the Norwegian Research Council.</t>
  </si>
  <si>
    <t>10.1175/JPO-D-17-0147.1</t>
  </si>
  <si>
    <t>WOS:000430757700011</t>
  </si>
  <si>
    <t>Zhao, ZX; Alford, MH; Simmons, HL; Brazhnikov, D; Pinkel, R</t>
  </si>
  <si>
    <t>Zhao, Zhongxiang; Alford, Matthew H.; Simmons, Harper L.; Brazhnikov, Dmitry; Pinkel, Rob</t>
  </si>
  <si>
    <t>Satellite Investigation of the M2 Internal Tide in the Tasman Sea</t>
  </si>
  <si>
    <t>CENTRAL NORTH PACIFIC; CONTINENTAL-SLOPE; DEEP-OCEAN; GLOBAL PATTERNS; GRAVITY-WAVES; LUZON STRAIT; NEW-ZEALAND; ENERGY; PROPAGATION; MODEL</t>
  </si>
  <si>
    <t>The M-2 internal tide in the Tasman Sea is investigated using sea surface height measurements made by multiple altimeter missions from 1992 to 2012. Internal tidal waves are extracted by two-dimensional plane wave fits in 180 km by 180 km windows. The results show that the Macquarie Ridge radiates three internal tidal beams into the Tasman Sea. The northern and southern beams propagate respectively into the East Australian Current and the Antarctic Circumpolar Current and become undetectable to satellite altimetry. The central beam propagates across the Tasman Sea, impinges on the Tasmanian continental slope, and partially reflects. The observed propagation speeds agree well with theoretical values determined from climatological ocean stratification. Both the northern and central beams refract about 158 toward the equator because of the beta effect. Following a concave submarine ridge in the source region, the central beam first converges around 45.5 degrees S, 155.5 degrees E and then diverges beyond the focal region. The satellite results reveal two reflected internal tidal beams off the Tasmanian slope, consistent with previous numerical simulations and glider measurements. The total energy flux from the Macquarie Ridge into the Tasman Sea is about 2.2 GW, of which about half is contributed by the central beam. The central beam loses little energy in its first 1000-km propagation, for which the likely reasons include flat bottom topography and weak mesoscale eddies.</t>
  </si>
  <si>
    <t>[Zhao, Zhongxiang] Univ Washington, Appl Phys Lab, Seattle, WA 98105 USA; [Alford, Matthew H.; Pinkel, Rob] Univ Calif San Diego, Scripps Inst Oceanog, La Jolla, CA 92093 USA; [Simmons, Harper L.; Brazhnikov, Dmitry] Univ Alaska Fairbanks, Coll Fisheries &amp; Ocean Sci, Fairbanks, AK USA</t>
  </si>
  <si>
    <t>University of Washington; University of Washington Seattle; University of California System; University of California San Diego; Scripps Institution of Oceanography; University of Alaska System; University of Alaska Fairbanks</t>
  </si>
  <si>
    <t>Zhao, ZX (corresponding author), Univ Washington, Appl Phys Lab, Seattle, WA 98105 USA.</t>
  </si>
  <si>
    <t>zzhao@apl.washington.edu</t>
  </si>
  <si>
    <t>Zhao, Zhongxiang/A-1918-2012</t>
  </si>
  <si>
    <t>Zhao, Zhongxiang/0000-0002-5897-089X</t>
  </si>
  <si>
    <t>National Science Foundation via collaborative TTIDE project [OCE1129246, OCE1129763, OCE1130048]; National Science Foundation [OCE1634041]; National Aeronautics and Space Administration [NNX17AH57G]; Directorate For Geosciences; Division Of Ocean Sciences [1130048] Funding Source: National Science Foundation</t>
  </si>
  <si>
    <t>National Science Foundation via collaborative TTIDE project(National Science Foundation (NSF)); National Science Foundation(National Science Foundation (NSF)); National Aeronautics and Space Administration(National Aeronautics &amp; Space Administration (NASA)); Directorate For Geosciences; Division Of Ocean Sciences(National Science Foundation (NSF)NSF - Directorate for Geosciences (GEO))</t>
  </si>
  <si>
    <t>This work was supported by the National Science Foundation via the collaborative TTIDE project (OCE1129246, OCE1129763, and OCE1130048). ZZ was supported by the National Science Foundation (OCE1634041) and the National Aeronautics and Space Administration (NNX17AH57G). We thank Jody Klymak, Sam Kelly, and Amy Waterhouse for comments on an earlier manuscript. This manuscript was greatly improved with suggestions from two anonymous reviewers. We appreciate their time and help. The satellite altimeter products were produced by Ssalto/Duacs and distributed by Archiving, Validation, and Interpretation of Satellite Oceanographic Data (AVISO), with support from CNES (http://www.aviso.altimetry.fr). The World Ocean Atlas 2013 is produced and made available by NOAA National Oceanographic Data Center (https://www.nodc.noaa.gov/OC5/woa13/). The TPXO tide model is from the Oregon State University (http://volkov.oce.orst.edu/tides/global.html). The internal tide products presented in this paper are available upon request (zzhao@apl.washington.edu).</t>
  </si>
  <si>
    <t>10.1175/JPO-D-17-0047.1</t>
  </si>
  <si>
    <t>WOS:000430757700013</t>
  </si>
  <si>
    <t>Veit-Köhler, G; Durst, S; Schuckenbrock, J; Hauquier, F; Suja, LD; Dorschel, B; Vanreusel, A; Arbizu, PM</t>
  </si>
  <si>
    <t>Veit-Koehler, Gritta; Durst, Stephan; Schuckenbrock, Jan; Hauquier, Freija; Suja, Laura Duran; Dorschel, Boris; Vanreusel, Ann; Arbizu, Pedro Martinez</t>
  </si>
  <si>
    <t>Oceanographic and topographic conditions structure benthic meiofauna communities in the Weddell Sea, Bransfield Strait and Drake Passage (Antarctic)</t>
  </si>
  <si>
    <t>Meiobenthos; Nematoda; Copepoda; Environmental settings; Water masses; Current systems</t>
  </si>
  <si>
    <t>SEDIMENT ACCUMULATION RATES; POLARSTERN EXPEDITION PS81; OXYGEN-MINIMUM ZONE; NEAR-BOTTOM FLOW; DEEP-SEA; METAZOAN MEIOFAUNA; SUBMARINE-CANYON; SOUTHERN-OCEAN; ORGANIC-MATTER; ENVIRONMENTAL VARIABLES</t>
  </si>
  <si>
    <t>The marine environment of the tip of the Antarctic Peninsula is characterised by three oceanographically distinct regions for which we linked continental-slope meiofaunal patterns and environmental drivers on a large scale (100-300 km among ecoregions). Samples for meiofauna communities and sediment analyses were collected with a multicorer, water-column data were derived from water samples and CTD recordings. Meiofauna communities including individuals from 19 higher taxa were compared to a set of 16 environmental variables. We detected significant differences between the communities of Weddell Sea and those of Bransfield Strait and Drake Passage. The amount of phytopigments in the sediment, their freshness and the silt and clay content were driving factors for this separation. The highest meiofauna abundances were found at slopes in the Weddell Sea. Food banks may facilitate high standing stocks. There, the highest ever recorded copepod percentages for the Antarctic were related to the highest phytopigment contents while nematodes were extremely abundant even in deeper sediment layers at stations with fresh organic material. For Bransfield Strait and Drake Passage a sampling scheme of slopes and adjacent troughs was applied. The two regions were divided into three geographical areas with the two habitat types investigated for each area. Multivariate non-parametric permutational analysis of variance (PERMANOVA) showed that in Bransfield Strait slope and trough meiofauna communities differed significantly in all geographical areas while in Drake Passage this was only the case in the East. These differences were explained best by the regionally and topographically distinct characteristics of 7 out of 11 water-column and sediment-bound factors related to sediment grain size, food quantity and quality, water temperature and salinity. Environmental drivers of the benthic habitat are dependent on large-scale oceanographic conditions and are thus sensitive to changes in water mass characteristics, sea-ice cover and the related primary production.</t>
  </si>
  <si>
    <t>[Veit-Koehler, Gritta; Durst, Stephan; Schuckenbrock, Jan; Arbizu, Pedro Martinez] German Ctr Marine Biodivers Res DZMB, Sudstrand 44, D-26382 Wilhelmshaven, Germany; [Durst, Stephan; Schuckenbrock, Jan] Carl von Ossietzky Univ Oldenburg, Dept Biol &amp; Environm Sci, Biodivers &amp; Evolut, D-26111 Oldenburg, Germany; [Hauquier, Freija; Suja, Laura Duran; Vanreusel, Ann] Univ Ghent, Marine Biol Res Grp, Krijgslaan 281,Sterre S8, B-9000 Ghent, Belgium; [Suja, Laura Duran] Heriot Watt Univ, Sch Life Sci, Edinburgh EH14 4AS, Midlothian, Scotland; [Dorschel, Boris] Alfred Wegener Inst Helmholtz Zentrum Polar &amp; Mee, Van Ronzelen Str 2, D-27568 Bremerhaven, Germany</t>
  </si>
  <si>
    <t>Carl von Ossietzky Universitat Oldenburg; Ghent University; Heriot Watt University; Helmholtz Association; Alfred Wegener Institute, Helmholtz Centre for Polar &amp; Marine Research</t>
  </si>
  <si>
    <t>Veit-Köhler, G (corresponding author), German Ctr Marine Biodivers Res DZMB, Sudstrand 44, D-26382 Wilhelmshaven, Germany.</t>
  </si>
  <si>
    <t>gveit-koehler@senckenberg.de</t>
  </si>
  <si>
    <t>Hauquier, Freija/0000-0002-6606-2162; Dorschel, Boris/0000-0002-3495-5927</t>
  </si>
  <si>
    <t>Research Foundation of Flanders [FWO11/ASP/256]; Belgian Science Policy (BELSPO/BRAIN) [BR/132/A1/vERSO]; Alfred-Wegener Institute Helmholtz-Centre for Polar and Marine Research, Germany [AWI_PS81_03]</t>
  </si>
  <si>
    <t>Research Foundation of Flanders(FWO); Belgian Science Policy (BELSPO/BRAIN); Alfred-Wegener Institute Helmholtz-Centre for Polar and Marine Research, Germany</t>
  </si>
  <si>
    <t>We especially thank Annika Hellmann and Marco Bruhn (Senckenberg am Meer, DZMB) for sorting a considerable part of the meiofauna samples. Melanie Busch helped with sorting. Sediment analyses were carried out by the Marine Biology Research Group, Ghent University: Dirk Van Gansbeke is thanked for the pigment analysis, Bart Beuselinck for granulometry and C:N measurements, and Niels Viaene for TOM analysis. We also thank the captain and crew of FS Polarstern and the chief scientist Prof. Dr. Julian Gutt (Alfred-Wegener-Institute) for providing the possibility of sample collection on board. The members of the OFOS Team Prof. Dr. Dieter Piepenburg (University of Kiel) and Alexandra Segelken-Voigt (University of Oldenburg) are thanked for information by video survey on board. Dr. Michael Schroder (Alfred Wegener-Institute) and his team are thanked for CTD data and water column samplings. FH acknowledges a scholarship from the Research Foundation of Flanders (no.FWO11/ASP/256; http://www.fwo.be/en/). The presented work contributes to project no. BR/132/A1/vERSO of the Belgian Science Policy (BELSPO/BRAIN; www.belspo.be/belspo/index_en.stm). This study was supported by the Alfred-Wegener Institute Helmholtz-Centre for Polar and Marine Research, Germany (Grant AWI_PS81_03).</t>
  </si>
  <si>
    <t>10.1016/j.pocean.2018.03.005</t>
  </si>
  <si>
    <t>WOS:000431163600016</t>
  </si>
  <si>
    <t>Waters, CN; Zalasiewicz, J; Summerhayes, C; Fairchild, IJ; Rose, NL; Loader, NJ; Shotyk, W; Cearreta, A; Head, MJ; Syvitski, JPM; Williams, M; Wagreich, M; Barnosky, AD; Zhisheng, A; Leinfelder, R; Jeandel, C; Galuszka, A; do Sul, JAI; Gradstein, F; Steffen, W; McNeill, JR; Wing, S; Poirier, C; Edgeworth, M</t>
  </si>
  <si>
    <t>Waters, Colin N.; Zalasiewicz, Jan; Summerhayes, Colin; Fairchild, Ian J.; Rose, Neil L.; Loader, Neil J.; Shotyk, William; Cearreta, Alejandro; Head, Martin J.; Syvitski, James P. M.; Williams, Mark; Wagreich, Michael; Barnosky, Anthony D.; Zhisheng, An; Leinfelder, Reinhold; Jeandel, Catherine; Galuszka, Agnieszka; do Sul, Juliana A. Ivar; Gradstein, Felix; Steffen, Will; McNeill, John R.; Wing, Scott; Poirier, Clement; Edgeworth, Matt</t>
  </si>
  <si>
    <t>Global Boundary Stratotype Section and Point (GSSP) for the Anthropocene Series: Where and how to look for potential candidates</t>
  </si>
  <si>
    <t>Anthropocene; Global Boundary Stratotype Sections and Points; Chronostratigraphy; Palaeoenvironments</t>
  </si>
  <si>
    <t>WATER-USE EFFICIENCY; SANTA-BARBARA-BASIN; ANTHROPOGENIC NITROGEN DEPOSITION; SPHEROIDAL CARBONACEOUS PARTICLES; ATMOSPHERIC MERCURY DEPOSITION; SCOTTISH MOUNTAIN LAKE; ANTARCTIC SNOW RECORD; ICE-CORE; NORTH-ATLANTIC; SAANICH INLET</t>
  </si>
  <si>
    <t>The Anthropocene as a potential new unit of the International Chronostratigraphic Chart (which serves as the basis of the Geological Time Scale) is assessed in terms of the stratigraphic markers and approximate boundary levels available to define the base of the unit. The task of assessing and selecting potential Global Boundary Stratotype Section and Point (GSSP) candidate sections, a required part of the process in seeking formalisation of the term, is now being actively pursued. Here, we review the suitability of different stratified palaeoenvironmental settings and facies as potential hosts for a candidate GSSP and auxiliary sections, and the relevant stratigraphical markers for correlation. Published examples are evaluated for their strengths and weaknesses in this respect. A marked upturn in abundance of radioisotopes of Pu-239 or C-14, approximately in 1952 and 1954 CE respectively, broadly coincident with a downturn in delta C-13 values, is applicable across most environments. Principal palaeoenvironments examined include: settings associated with accumulations of anthropogenic material, marine anoxic basins, coral reefs, estuaries and deltas, lakes at various latitudes, peat bogs, snow/ice layers, speleothems and trees. Together, many of these geographically diverse palaeoenvironments offer annual/subannual laminae that can be counted and independently dated radiometrically (e.g. by Pb-210). Examples of possible sections offer the possibility of correlation with annual/seasonal resolution. From among such examples, a small number of potentially representative sites require the acquisition of more systematic and comprehensive datasets, with correlation established between sections, to allow selection of a candidate GSSP and auxiliary stratotypes. The assessments in this paper will help find the optimal locations for these sections.</t>
  </si>
  <si>
    <t>[Waters, Colin N.; Zalasiewicz, Jan; Williams, Mark] Univ Leicester, Sch Geog Geol &amp; Environm, Univ Rd, Leicester LE1 7RH, Leics, England; [Summerhayes, Colin] Univ Cambridge, Scott Polar Res Inst, Lensfield Rd, Cambridge CB2 1ER, England; [Fairchild, Ian J.] Univ Birmingham, Sch Geog Earth &amp; Environm Sci, Birmingham B15 2TT, W Midlands, England; [Rose, Neil L.] UCL, Dept Geog, Environm Change Res Ctr, Gower St, London WC1E 6BT, England; [Loader, Neil J.] Swansea Univ, Dept Geog, Singleton Pk, Swansea SA2 8PP, W Glam, Wales; [Shotyk, William] Univ Alberta, Dept Renewable Resources, 348B South Acad Bldg, Edmonton, AB T6G 2H1, Canada; [Cearreta, Alejandro] Univ Basque Country, Fac Ciencia &amp; Tecnol, Dept Estratig &amp; Paleont, UPV EHU, Apartado 644, E-48080 Bilbao, Spain; [Head, Martin J.] Brock Univ, Dept Earth Sci, 1812 Sir Isaac Brock Way, St Catharines, ON L2S 3A1, Canada; [Syvitski, James P. M.] Univ Colorado, Boulder Campus,Box 545, Boulder, CO 80309 USA; [Wagreich, Michael] Univ Vienna, Dept Geodynam &amp; Sedimentol, A-1090 Vienna, Austria; [Barnosky, Anthony D.] Stanford Univ, Jasper Ridge Biol Preserve, Stanford, CA 94305 USA; [Zhisheng, An] Chinese Acad Sci, State Key Lab Loess &amp; Quaternary Geol, Inst Earth Environm, Xian 710061, Shaanxi, Peoples R China; [Leinfelder, Reinhold] Free Univ Berlin, Dept Geol Sci, Malteserstr 74-100, D-12249 Berlin, Germany; [Jeandel, Catherine] Univ Toulouse, CNRS, LEGOS, CNES,IRD, 14 Ave Edouard Belin, F-31400 Toulouse, France; [Galuszka, Agnieszka] Jan Kochanowski Univ, Inst Chem, Geochem &amp; Environm Div, 15G Swietokrzyska St, PL-25406 Kielce, Poland; [do Sul, Juliana A. Ivar] Leibniz Inst Balt Sea Res Warnemuende IOW, Biol Oceanog Sect, Seestr 15, D-18119 Rostock, Germany; [Gradstein, Felix] Nat Hist Museum, Postboks 1172, N-0318 Oslo, Norway; [Steffen, Will] Australian Natl Univ, Canberra, ACT 0200, Australia; [McNeill, John R.] Georgetown Univ, Washington, DC USA; [Wing, Scott] Smithsonian Inst, Washington, DC 20013 USA; [Poirier, Clement] Univ Caen Normandie, CNRS, Morphodynam Continentale &amp; Cotiere, 24 Rue Tilleuls, F-14000 Caen, France; [Edgeworth, Matt] Univ Leicester, Sch Archaeol &amp; Ancient Hist, Univ Rd, Leicester LE1 7RH, Leics, England</t>
  </si>
  <si>
    <t>University of Leicester; University of Cambridge; University of Birmingham; University of London; University College London; Swansea University; University of Alberta; University of Basque Country; Brock University; University of Colorado System; University of Colorado Boulder; University of Vienna; Stanford University; Chinese Academy of Sciences; Institute of Earth Environment, CAS; Free University of Berlin; Universite de Toulouse; Universite Toulouse III - Paul Sabatier; Centre National de la Recherche Scientifique (CNRS); Institut de Recherche pour le Developpement (IRD); Laboratoire d'Etudes en Geophysique et oceanographie spatiales; Jan Kochanowski University; Leibniz Institut fur Ostseeforschung Warnemunde; Australian National University; Georgetown University; Smithsonian Institution; Universite de Caen Normandie; Centre National de la Recherche Scientifique (CNRS); University of Leicester</t>
  </si>
  <si>
    <t>Waters, CN (corresponding author), Univ Leicester, Sch Geog Geol &amp; Environm, Univ Rd, Leicester LE1 7RH, Leics, England.</t>
  </si>
  <si>
    <t>cw398@leicester.ac.uk</t>
  </si>
  <si>
    <t>Gałuszka, Agnieszka/D-5434-2011; Wing, Scott L/IYJ-5681-2023; Cearreta, Alejandro/B-3008-2009; AN, Zhisheng/F-8834-2012; Fairchild, Ian/A-6200-2013; Wagreich, Michael/D-2279-2013; Edgeworth, Matt/AAO-6116-2021; Rose, Neil L/C-5739-2008; Poirier, Clement/B-9652-2015; Williams, Mark/B-7590-2009; Shotyk, William/E-7026-2010</t>
  </si>
  <si>
    <t>Gałuszka, Agnieszka/0000-0002-2497-2627; Wing, Scott L/0000-0002-2954-8905; Cearreta, Alejandro/0000-0003-0100-1454; Fairchild, Ian/0000-0003-4822-2895; Wagreich, Michael/0000-0002-8828-0857; Edgeworth, Matt/0000-0002-9375-0753; Poirier, Clement/0000-0002-8311-8463; Williams, Mark/0000-0002-7987-6069; Rose, Neil/0000-0002-5697-7334; A. IVAR DO SUL, JULIANA/0000-0003-0851-3559; Shotyk, William/0000-0002-2584-8388</t>
  </si>
  <si>
    <t>10.1016/j.earscirev.2017.12.016</t>
  </si>
  <si>
    <t>GD8PG</t>
  </si>
  <si>
    <t>WOS:000430774000015</t>
  </si>
  <si>
    <t>Bashmachnikov, IL; Yurova, AY; Bobylev, LP; Vesman, AV</t>
  </si>
  <si>
    <t>Bashmachnikov, I. L.; Yurova, A. Yu; Bobylev, L. P.; Vesman, A. V.</t>
  </si>
  <si>
    <t>Seasonal and Interannual Variations of Heat Fluxes in the Barents Sea Region</t>
  </si>
  <si>
    <t>Barents Sea; MIT eddy-permitting ocean model; oceanic and atmospheric heat fluxes; coupled cycles in the ocean and the atmosphere; Bjerknes compensation mechanism; wavelet analysis; singular spectral analysis</t>
  </si>
  <si>
    <t>OCEAN; VARIABILITY; TRANSPORT; CIRCULATION; CLIMATE</t>
  </si>
  <si>
    <t>Seasonal and interannual variations in adjective heat fluxes in the ocean (dQ(oc)) and the convergence of advective heat fluxes in the atmosphere (dQ(atm)) in the Barents Sea region have been investigated over the period of 1993-2012 using the results of the MIT regional eddy-permitting model and ERA-Interim atmospheric reanalysis. Wavelet analysis and singular spectrum analysis are used to reveal concealed periodicities. Seasonal 2- to 4- and 5- to 8-year cycles are revealed in the dQ(oc) and dQ(atm) data. It is also found that seasonal variations in dQ(oc) are primarily determined by the integrated volume fluxes through the western boundary of the Barents Sea, whereas the 20-year trend is determined by the temperature variation of the transported water. A cross-wavelet analysis of dQ(oc) and dQ(atm) in the Barents Sea region shows that the seasonal variations in dQ(oc) and dQ(atm) are nearly in-phase, while their interannual variations are out-of-phase. It is concluded that the basin of the Barents Sea plays an important role in maintaining the feedback mechanism (the Bjerknes compensation) of the ocean-atmosphere system in the Arctic region.</t>
  </si>
  <si>
    <t>[Bashmachnikov, I. L.; Yurova, A. Yu] St Petersburg State Univ, St Petersburg 199034, Russia; [Bashmachnikov, I. L.; Yurova, A. Yu; Bobylev, L. P.; Vesman, A. V.] Nansen Int Environm &amp; Remote Sensing Ctr, St Petersburg 199034, Russia; [Bobylev, L. P.] Nansen Environm &amp; Remote Sensing Ctr, N-5006 Bergen, Norway; [Vesman, A. V.] Arctic &amp; Antarctic Res Inst, State Res Ctr, St Petersburg 199397, Russia</t>
  </si>
  <si>
    <t>Saint Petersburg State University; Nansen Environmental &amp; Remote Sensing Center (NERSC); Nansen Environmental &amp; Remote Sensing Center (NERSC); Arctic &amp; Antarctic Research Institute</t>
  </si>
  <si>
    <t>Bashmachnikov, IL (corresponding author), St Petersburg State Univ, St Petersburg 199034, Russia.;Bashmachnikov, IL (corresponding author), Nansen Int Environm &amp; Remote Sensing Ctr, St Petersburg 199034, Russia.</t>
  </si>
  <si>
    <t>igorb1969@mail.ru; allayur@niersc.spb.ru; leonid.bobylev@niersc.spb.ru; anna.vesman@niersc.spb.ru</t>
  </si>
  <si>
    <t>Vesman, Anna/ABC-8337-2020; Bobylev, Leonid/L-4816-2017; Bashmachnikov, Igor/B-2879-2012; Yurova, Alla/A-5767-2014</t>
  </si>
  <si>
    <t>Vesman, Anna/0000-0002-8805-0349; Bashmachnikov, Igor/0000-0002-1257-4197; Yurova, Alla/0000-0001-6199-414X</t>
  </si>
  <si>
    <t>Russian Science Foundation [17-17-01151]; Russian Science Foundation [17-17-01151] Funding Source: Russian Science Foundation</t>
  </si>
  <si>
    <t>This study was supported by the Russian Science Foundation (project no. 17-17-01151). We are also grateful to D.L. Volkov (Cooperative Institute for Marine and Atmospheric Studies, University of Miami NOAA/AOML/PHOD) for simulations using the MIT model. We used programming codes for wavelet analysis written by C. Torrence and G. Compo (http://paos.colorado.edu/research/wavelets/), cross-wavelet analysis (Grinsted, Moore and Jevrejeva, 2004), and Caterpillar-SSA software (http://www.gistatgroup.com/gus/index.html) developed by a group of researchers from St. Petersburg University.</t>
  </si>
  <si>
    <t>10.1134/S0001433818020032</t>
  </si>
  <si>
    <t>GE2SE</t>
  </si>
  <si>
    <t>WOS:000431064100014</t>
  </si>
  <si>
    <t>Sakerin, SM; Kabanov, DM; Radionov, VF; Chernov, DG; Turchinovich, YS; Lubo-Lesnichenko, KE; Prakhov, AN</t>
  </si>
  <si>
    <t>Sakerin, S. M.; Kabanov, D. M.; Radionov, V. F.; Chernov, D. G.; Turchinovich, Yu S.; Lubo-Lesnichenko, K. E.; Prakhov, A. N.</t>
  </si>
  <si>
    <t>Generalization of Results of Atmospheric Aerosol Optical Depth Measurements on Spitsbergen Archipelago in 2011-2016</t>
  </si>
  <si>
    <t>ATMOSPHERIC AND OCEANIC OPTICS</t>
  </si>
  <si>
    <t>aerosol optical depth; Spitsbergen</t>
  </si>
  <si>
    <t>POLAR-REGIONS; TURBIDITY</t>
  </si>
  <si>
    <t>We discuss the results of spectral measurements of aerosol optical depth (AOD) of the atmosphere, carried out in warm periods of 2011-2016 in the Arctic settlement Barentsburg (Spitsbergen Archipelago). The statistical characteristics of seasonal and interannual variations in atmospheric AOD in the wavelength range of 0.34-2.14 mu m are presented. The average AOD (0.5 mu m) over the six-year period of observations had been 0.086, and, in particular, the fine mode AOD component had been 0.062 and the coarse mode AOD component had been 0.024. It is shown that the seasonal variations were best manifested in the decrease of modal (most probable) values of fine mode AOD component from 0.055 in spring to 0.025 in autumn. As compared to the preceding (pre-2011) period, we noted a closer convergence in the average AOD values between spring and summer, primarily due to a decrease in the content of fine mode aerosol in spring and its increase in summer. The summertime AOD growth is most likely due to episodic outflows of smoke aerosol from boreal zones of Eurasia and North America.</t>
  </si>
  <si>
    <t>[Sakerin, S. M.; Kabanov, D. M.; Chernov, D. G.; Turchinovich, Yu S.] Russian Acad Sci, VE Zuev Inst Atmospher Opt, Siberian Branch, Tomsk 634055, Russia; [Radionov, V. F.; Lubo-Lesnichenko, K. E.; Prakhov, A. N.] Arctic &amp; Antarctic Res Inst, St Petersburg 199397, Russia</t>
  </si>
  <si>
    <t>Zuev Institute of Atmospheric Optics, Siberian Branch of the Russian Academy of Sciences; Russian Academy of Sciences; Arctic &amp; Antarctic Research Institute</t>
  </si>
  <si>
    <t>Sakerin, SM (corresponding author), Russian Acad Sci, VE Zuev Inst Atmospher Opt, Siberian Branch, Tomsk 634055, Russia.</t>
  </si>
  <si>
    <t>sms@iao.ru; dkab@iao.ru; vradion@aari.ru; chernov@iao.ru; tus@iao.ru; k-lubo@yandex.ru; aleks.prahov@rambler.ru</t>
  </si>
  <si>
    <t>Kabanov, Dmitry M./A-5805-2014; Sakerin, Sergey/A-6508-2014; Kabanov, Dmitry/A-4871-2014; Radionov, Vladimir F./O-3038-2017</t>
  </si>
  <si>
    <t>Chernov, Dmitriy/0000-0003-1877-6678</t>
  </si>
  <si>
    <t>Complex Program of Basic Research, Siberian Branch, Russian Academy of Sciences [II.2P/IX.135-8]</t>
  </si>
  <si>
    <t>Complex Program of Basic Research, Siberian Branch, Russian Academy of Sciences</t>
  </si>
  <si>
    <t>This work was performed as part of the research of the Joint Interdepartmental Laboratory of Polar Aerosol, organized by the Arctic and Antarctic Research Institute and the Institute of Atmospheric Optics, Siberian Branch, Russian Academy of Sciences, in accordance with Interdepartmental Programs of Scientific Research and Observations on Spitsbergen Archipelago under the support of the Complex Program of Basic Research, Siberian Branch, Russian Academy of Sciences (through project no. II.2P/IX.135-8).</t>
  </si>
  <si>
    <t>0869-5695</t>
  </si>
  <si>
    <t>2070-0393</t>
  </si>
  <si>
    <t>ATMOS OCEAN OPT</t>
  </si>
  <si>
    <t>Atmos. Ocean. Opt.</t>
  </si>
  <si>
    <t>10.1134/S1024856018020112</t>
  </si>
  <si>
    <t>Optics</t>
  </si>
  <si>
    <t>GD9ZD</t>
  </si>
  <si>
    <t>WOS:000430870800009</t>
  </si>
  <si>
    <t>Finnegan, DA</t>
  </si>
  <si>
    <t>Finnegan, Diarmid A.</t>
  </si>
  <si>
    <t>Crozier's penguin: An object history of maritime and museum science</t>
  </si>
  <si>
    <t>ENDEAVOUR</t>
  </si>
  <si>
    <t>Emperor penguin; British Antarctic Expedition; Naval science; Museum science</t>
  </si>
  <si>
    <t>In November 1843 John Cassidy, curator in the Belfast Museum received, perhaps rather dolefully, a collection of bird skins. The Museum was barely managing to cope with the constant flow of donations from the 'four quarters of the globe'. But the gift of bird skins could not be ignored. Sent by Captain Francis Crozier, recently returned from the British Antarctic Expedition, the bequest contained 150 species of Southern Ocean birds, including the remains of two immature 'great penguins'. Taking the one surviving specimen as a focal point, this paper compares and contrasts the ways in which Aptenodytes forsteri, or the emperor penguin, was differently scripted on board ship and in the museum. The lively interpretations and close encounters with emperor penguins on the ice and on board the two naval bomb vessels are set alongside the more constrained meanings and fleeting attention given to them in a metropolitan and a provincial museum.</t>
  </si>
  <si>
    <t>[Finnegan, Diarmid A.] Queens Univ Belfast, Sch Nat &amp; Built Environm, Belfast BT7 1NN, Antrim, North Ireland</t>
  </si>
  <si>
    <t>Queens University Belfast</t>
  </si>
  <si>
    <t>Finnegan, DA (corresponding author), Queens Univ Belfast, Sch Nat &amp; Built Environm, Belfast BT7 1NN, Antrim, North Ireland.</t>
  </si>
  <si>
    <t>d.finnegan@qub.ac.uk</t>
  </si>
  <si>
    <t>0160-9327</t>
  </si>
  <si>
    <t>1873-1929</t>
  </si>
  <si>
    <t>Endeavour</t>
  </si>
  <si>
    <t>10.1016/j.endeavour.2018.01.002</t>
  </si>
  <si>
    <t>History &amp; Philosophy Of Science; Multidisciplinary Sciences</t>
  </si>
  <si>
    <t>History &amp; Philosophy of Science; Science &amp; Technology - Other Topics</t>
  </si>
  <si>
    <t>GD5XQ</t>
  </si>
  <si>
    <t>WOS:000430582100004</t>
  </si>
  <si>
    <t>Drury, AJ; Lee, GP; Gray, WR; Lyle, M; Westerhold, T; Shevenell, AE; John, CM</t>
  </si>
  <si>
    <t>Drury, A. J.; Lee, G. P.; Gray, W. R.; Lyle, M.; Westerhold, T.; Shevenell, A. E.; John, C. M.</t>
  </si>
  <si>
    <t>Deciphering the State of the Late Miocene to Early Pliocene Equatorial Pacific</t>
  </si>
  <si>
    <t>FORAMINIFERAL MG/CA PALEOTHERMOMETRY; SEA-SURFACE TEMPERATURE; CENTRAL-AMERICAN SEAWAY; PLANKTONIC-FORAMINIFERA; TROPICAL PACIFIC; MIDDLE MIOCENE; BENTHIC FORAMINIFERA; ISOTOPIC COMPOSITION; CLEANING PROCEDURES; VEGETATION CHANGE</t>
  </si>
  <si>
    <t>The late Miocene-early Pliocene was a time of global cooling and the development of modern meridional thermal gradients. Equatorial Pacific sea surface conditions potentially played an important role in this global climate transition, but their evolution is poorly understood. Here we present the first continuous late Miocene-early Pliocene (8.0-4.4 Ma) planktic foraminiferal stable isotope records from eastern equatorial Pacific Integrated Ocean Drilling Program Site U1338, with a new astrochronology spanning 8.0-3.5 Ma. Mg/Ca analyses on surface dwelling foraminifera Trilobatus sacculifer from carefully selected samples suggest that mean sea surface temperatures (SSTs) are similar to 27.8 +/- 1.1 degrees C (1 sigma) between 6.4 and 5.5 Ma. The planktic foraminiferal delta O-18 record implies a 2 degrees C cooling between 7.2 and 6.1 Ma and an up to 3 degrees C warming between 6.1 and 4.4 Ma, consistent with observed tropical alkenone paleo-SSTs. Diverging fine-fraction-to-foraminiferal delta C-13 gradients likely suggest increased upwelling between 7.1-6.0 and 5.8-4.6 Ma, concurrent with the globally recognized late Miocene Biogenic Bloom. This study shows that both warm and asymmetric mean states occurred in the equatorial Pacific during the late Miocene-early Pliocene. Between 8.0-6.5 and 5.2-4.4 Ma, low east-west delta O-18 and SST gradients and generally warm conditions prevailed. However, an asymmetric mean climate state developed between 6.5 and 5.7 Ma, with larger east-west delta O-18 and SST gradients and eastern equatorial Pacific cooling. The asymmetric mean state suggests stronger trade winds developed, driven by increased meridional thermal gradients associated with global cooling and declining atmospheric pCO(2) concentrations. These oscillations in equatorial Pacific mean state are reinforced by Antarctic cryosphere expansion and related changes in oceanic gateways (e.g., Central American Seaway/Indonesian Through flow restriction).</t>
  </si>
  <si>
    <t>[Drury, A. J.; Lee, G. P.; John, C. M.] Imperial Coll London, Dept Earth Sci &amp; Engn, London, England; [Drury, A. J.; Westerhold, T.] Univ Bremen, Ctr Marine Environm Sci, MARUM, Bremen, Germany; [Lee, G. P.] Univ East Anglia, Sch Environm Sci, Ctr Ocean &amp; Atmospher Sci, Norwich, Norfolk, England; [Gray, W. R.] UCL, Dept Geog, London, England; [Gray, W. R.] Univ St Andrews, Sch Earth &amp; Environm Sci, St Andrews, Fife, Scotland; [Lyle, M.] Oregon State Univ, Coll Earth Ocean &amp; Atmospher Sci, Corvallis, OR 97331 USA; [Shevenell, A. E.] Univ S Florida, Coll Marine Sci, St Petersburg, FL 33701 USA</t>
  </si>
  <si>
    <t>Imperial College London; University of Bremen; University of East Anglia; University of London; University College London; University of St Andrews; Oregon State University; State University System of Florida; University of South Florida</t>
  </si>
  <si>
    <t>Drury, AJ (corresponding author), Imperial Coll London, Dept Earth Sci &amp; Engn, London, England.;Drury, AJ (corresponding author), Univ Bremen, Ctr Marine Environm Sci, MARUM, Bremen, Germany.</t>
  </si>
  <si>
    <t>ajdrury@marum.de</t>
  </si>
  <si>
    <t>Drury, Anna Joy/A-5237-2017; Westerhold, Thomas/D-4581-2011; John, Cedric/B-3292-2008; Shevenell, Amelia E/C-2757-2015; Lyle, Mitchell/J-3353-2015</t>
  </si>
  <si>
    <t>Drury, Anna Joy/0000-0001-6206-7284; Westerhold, Thomas/0000-0001-8151-4684; John, Cedric/0000-0001-9711-1548; Lyle, Mitchell/0000-0002-0861-0511; Gray, William/0000-0001-5608-7836; Lee, Geoffrey/0000-0002-6636-2261</t>
  </si>
  <si>
    <t>Janet Watson studentship from Imperial College London</t>
  </si>
  <si>
    <t>Samples were provided by the Integrated Ocean Drilling Program (IODP) and the IODP Gulf Coast Repository (GCR). The R/V JOIDES Resolution Expedition 320/321 crew, technical staff, and science party members are acknowledged for their effort in collecting the material used in this study. S. Davis is thanked for his help and guidance in the laboratory. T. van Peer is thanked for his advice and D. De Vleeschouwer is thanked for his assistance with TimeOpt. T. Kluge, T. van de Flierdt, and B. Wade are thanked for providing constructive and critical feedback that helped this work. Clara Bolton and an anonymous referee are thanked for their constructive and valuable reviews. A. J. Drury was funded by a Janet Watson studentship from Imperial College London. All data are available at Paleoceanography as a supporting information and on PANGAEA: https://doi.pangaea.de/10.1594/PANGAEA.885041.</t>
  </si>
  <si>
    <t>10.1002/2017PA003245</t>
  </si>
  <si>
    <t>GE1QG</t>
  </si>
  <si>
    <t>WOS:000430991200001</t>
  </si>
  <si>
    <t>Ladant, JB; Donnadieu, Y; Bopp, L; Lear, CH; Wilson, PA</t>
  </si>
  <si>
    <t>Ladant, Jean-Baptiste; Donnadieu, Yannick; Bopp, Laurent; Lear, Caroline H.; Wilson, Paul A.</t>
  </si>
  <si>
    <t>Meridional Contrasts in Productivity Changes Driven by the Opening of Drake Passage</t>
  </si>
  <si>
    <t>ANTARCTIC CIRCUMPOLAR CURRENT; EOCENE-OLIGOCENE TRANSITION; OCEAN CIRCULATION CHANGES; GLOBAL CARBON-CYCLE; SOUTHERN-OCEAN; CLIMATE-CHANGE; BIOLOGICAL PRODUCTIVITY; ATMOSPHERIC CO2; PANAMA SEAWAY; GLACIATION</t>
  </si>
  <si>
    <t>Changes in atmospheric pCO(2) are widely suggested to have played a major role in both the long-term deterioration of Cenozoic climate and many superimposed rapid climate perturbations such as the pivotal Eocene-Oligocene transition. Changes in marine productivity affecting the biological oceanic carbon pump represent one possible cause of past CO2 variability. Here we explore the relationship between ocean gateway change and marine biogeochemistry. Specifically, we use a fully coupled atmosphere-ocean-biogeochemical model (IPSL-CM5A) to examine global ocean paleoproductivity changes in response to the opening of Drake Passage. In our simulations, we find that Drake Passage opening yields a spatially uniform decrease in primary productivity in the low-latitude oceans while the high-latitude response is more spatially heterogeneous. Mechanistically, the low-latitude productivity decrease is a consequence of a fundamental reorganization of ocean circulation when Drake Passage opens driven by the isolation of the Southern Ocean from low-latitude water masses. Nutrient depletion in the low latitudes is driven by a marked decrease in the intensity of deep convection in the Southern Ocean, which drives the accumulation of nutrients at depth and their depletion in the intermediate and upper ocean, especially away from sites of subduction. In the high latitudes, the onset of the Antarctic Circumpolar Current in the model exerts a strong control both on nutrient availability and on regions of deep-water formation. The qualitative agreement between geographically diverse long-term paleoproductivity records and the simulated variations suggests that Drake Passage opening may contribute to the long-term paleoproductivity signal.</t>
  </si>
  <si>
    <t>[Ladant, Jean-Baptiste; Donnadieu, Yannick] Univ Paris Saclay, UVSQ, Lab Sci Climat &amp; Environm, IPSL,CEA,CNRS, Gif Sur Yvette, France; [Ladant, Jean-Baptiste; Bopp, Laurent] Ecole Normale Super, Dept Geosci, Paris, France; [Ladant, Jean-Baptiste; Bopp, Laurent] UPMC, Ecole Polytech, CNRS, LMD,IPSL,ENS, Paris, France; [Donnadieu, Yannick] Aix Marseille Univ, CNRS, IRD, INRA,Coll France,CEREGE, Aix En Provence, France; [Lear, Caroline H.] Cardiff Univ, Sch Earth &amp; Ocean Sci, Cardiff, S Glam, Wales; [Wilson, Paul A.] Univ Southampton, Natl Oceanog Ctr Southampton, Ocean &amp; Earth Sci, Southampton, Hants, England</t>
  </si>
  <si>
    <t>Universite Paris Cite; Universite Paris Saclay; CEA; Centre National de la Recherche Scientifique (CNRS); Universite PSL; Ecole Normale Superieure (ENS); Ecole des Ponts ParisTech; Sorbonne Universite; Universite PSL; Ecole Normale Superieure (ENS); Centre National de la Recherche Scientifique (CNRS); Universite Paris Cite; Institut de Recherche pour le Developpement (IRD); Centre National de la Recherche Scientifique (CNRS); INRAE; Aix-Marseille Universite; Universite PSL; College de France; Cardiff University; NERC National Oceanography Centre; University of Southampton</t>
  </si>
  <si>
    <t>Ladant, JB (corresponding author), Univ Paris Saclay, UVSQ, Lab Sci Climat &amp; Environm, IPSL,CEA,CNRS, Gif Sur Yvette, France.;Ladant, JB (corresponding author), Ecole Normale Super, Dept Geosci, Paris, France.;Ladant, JB (corresponding author), UPMC, Ecole Polytech, CNRS, LMD,IPSL,ENS, Paris, France.</t>
  </si>
  <si>
    <t>jbladant@gmail.com</t>
  </si>
  <si>
    <t>Lear, Caroline H/D-2582-2009; bopp, laurent/ABF-5302-2020; donnadieu, yannick/G-7546-2016</t>
  </si>
  <si>
    <t>bopp, laurent/0000-0003-4732-4953; Lear, Caroline/0000-0002-7533-4430; donnadieu, yannick/0000-0002-7315-2684; Wilson, Paul/0000-0001-6425-8906</t>
  </si>
  <si>
    <t>project Anox-Sea - ANR [ANR-12-BS06-0011-03]; Natural Environment Research Council [NE/K006800/1, NE/K014137/1, NE/I006168/1, NE/K008390/1] Funding Source: researchfish; Agence Nationale de la Recherche (ANR) [ANR-12-BS06-0011] Funding Source: Agence Nationale de la Recherche (ANR); NERC [NE/K008390/1, NE/I006168/1, NE/K014137/1, NE/K006800/1] Funding Source: UKRI</t>
  </si>
  <si>
    <t>project Anox-Sea - ANR(Agence Nationale de la Recherche (ANR)); Natural Environment Research Council(UK Research &amp; Innovation (UKRI)Natural Environment Research Council (NERC)); Agence Nationale de la Recherche (ANR)(Agence Nationale de la Recherche (ANR)); NERC(UK Research &amp; Innovation (UKRI)Natural Environment Research Council (NERC))</t>
  </si>
  <si>
    <t>We are grateful to J. R. Toggweiler, Willem Sijp, and Matt Huber for their insightful comments and to Ellen Thomas for editorial handling. We thank the CEA/CCRT for providing access to the HPC resources of TGCC under the allocation 2014-012212 made by GENCI. We acknowledge the support of the project Anox-Sea funded by the ANR under the grant ANR-12-BS06-0011-03. Long-term storage of the initial and boundary conditions and of the key climatological and biogeochemical outputs of the simulations will be performed at the LSCE storage system and/or at the TGCC storage system. We acknowledge use of the Panoply (www.giss.nasa.gov/tools/panoply/) and Ferret (ferret.pmel.noaa.gov/Ferret/) programs for analysis and graphics in this paper.</t>
  </si>
  <si>
    <t>10.1002/2017PA003211</t>
  </si>
  <si>
    <t>WOS:000430991200004</t>
  </si>
  <si>
    <t>Hammonds, K; Baker, I</t>
  </si>
  <si>
    <t>Hammonds, Kevin; Baker, Ian</t>
  </si>
  <si>
    <t>The Effects of H2SO4 on the Mechanical Behavior and Microstructural Evolution of Polycrystalline Ice</t>
  </si>
  <si>
    <t>ice; rheology; sulfuric acid; ice sheets; glaciers; Raman spectroscopy</t>
  </si>
  <si>
    <t>SULFURIC-ACID; GRAIN-GROWTH; CRYSTAL SIZE; CREEP; RECRYSTALLIZATION; DEFORMATION; IMPURITIES; RAMAN; TEMPERATURE; PLASTICITY</t>
  </si>
  <si>
    <t>The Earth's large continental ice sheets contain a variety of naturally occurring impurities, both soluble and insoluble. Understanding how these impurities affect the rheology, intrinsic thermodynamic properties, and fate of these ice sheets is not well understood. To investigate the effects that trace amounts of H2SO4 have on the flow and ductility of polycrystalline ice, a series of mechanical tests were conducted at -6, -10, -12.5, and -20 degrees C using laboratory-prepared specimens of polycrystalline ice doped with 1-15ppm of H2SO4. Parallel tests were performed on identical but undoped specimens of polycrystalline ice. Mechanical testing included constant-load tensile creep tests at an initial stress of 0.75MPa and compression tests at constant displacement rates with initial strain rates ranging from 1x10(-6) to 1x10(-4)s(-1). It was found that H2SO4-doped specimens of ice exhibited faster creep rates in tension and significantly lower peak stresses in compression, when compared to the undoped ice. Postmortem microstructural analyses were performed using cross-polarized light thin section imaging, X-ray computed microtomography, Raman spectroscopy, and electron backscatter diffraction. These analyses showed that H2SO4-doped specimens had a larger grain size at strains 15%, and an earlier onset of microcracking at lower strain rates than the undoped ice. Strain-induced grain boundary migration was found to be the predominant mechanism of recrystallization in both doped and undoped specimens. Further, an aqueous phase of H2SO4 was found to exist at the grain boundaries and triple junctions of the doped ice, which is thought to have significantly contributed toward its reduced viscosity. Plain Language Summary This work has shown that only trace amounts of H2SO4 added to polycrystalline ice can have dramatic effects on the mechanical behavior and resultant microstructure of the ice. This finding was confirmed in compression-tested specimens at applied strain rates between 1x10(-4) and 1x10(-6)s(-1) and in tension-tested specimens under constant loads of 0.75MPa. Testing temperatures were between -6 to -20 degrees C. These findings are thought to be of significance in that they offer new insight into the rheology of polycrystalline ice as it exists in the natural world in the form of ice sheets and glaciers.</t>
  </si>
  <si>
    <t>[Hammonds, Kevin] Montana State Univ, Dept Civil Engn, Bozeman, MT 59717 USA; [Hammonds, Kevin; Baker, Ian] Dartmouth Coll, Thayer Sch Engn, Hanover, NH 03755 USA</t>
  </si>
  <si>
    <t>Montana State University System; Montana State University Bozeman; Dartmouth College</t>
  </si>
  <si>
    <t>Hammonds, K (corresponding author), Montana State Univ, Dept Civil Engn, Bozeman, MT 59717 USA.;Hammonds, K (corresponding author), Dartmouth Coll, Thayer Sch Engn, Hanover, NH 03755 USA.</t>
  </si>
  <si>
    <t>kevin.hammonds@montana.edu</t>
  </si>
  <si>
    <t>National Science Foundation [PLR 1141411]</t>
  </si>
  <si>
    <t>This work was supported by National Science Foundation grant number PLR 1141411. The authors acknowledge the use of the Dartmouth Ice Research Laboratory (Director E.M. Schulson) at the Thayer School of Engineering at Dartmouth College. The authors also acknowledge Charles P. Daghlian for his assistance in the Dartmouth Electron Microscope Facility. All raw data sets, in support of the figures and text presented in this article, can be found deposited at the U.S. Antarctic Program Data Center, https://doi.org/10.15784/601081.</t>
  </si>
  <si>
    <t>10.1002/2017JF004335</t>
  </si>
  <si>
    <t>WOS:000430649400007</t>
  </si>
  <si>
    <t>Rae, IJ; Murphy, KR; Watt, CEJ; Halford, AJ; Mann, IR; Ozeke, LG; Sibeck, DG; Clilverd, MA; Rodger, CJ; Degeling, AW; Forsyth, C; Singer, HJ</t>
  </si>
  <si>
    <t>Rae, I. Jonathan; Murphy, Kyle R.; Watt, Clare E. J.; Halford, Alexa J.; Mann, Ian R.; Ozeke, Louis G.; Sibeck, David G.; Clilverd, Mark A.; Rodger, Craig J.; Degeling, Alex W.; Forsyth, Colin; Singer, Howard J.</t>
  </si>
  <si>
    <t>The Role of Localized Compressional Ultra-low Frequency Waves in Energetic Electron Precipitation</t>
  </si>
  <si>
    <t>energetic particle precipitation; adiabatic invariants; ULF waves; drift trajectory; riometer</t>
  </si>
  <si>
    <t>FIELD-LINE RESONANCES; RADIATION BELT ELECTRONS; ION-CYCLOTRON WAVES; MAGNETIC-FIELD; RELATIVISTIC ELECTRONS; SATELLITE-OBSERVATIONS; AURORAL ARCS; ULF WAVES; PULSATIONS; MODULATION</t>
  </si>
  <si>
    <t>Typically, ultra-low frequency (ULF) waves have historically been invoked for radial diffusive transport leading to acceleration and loss of outer radiation belt electrons. At higher frequencies, very low frequency waves are generally thought to provide a mechanism for localized acceleration and loss through precipitation into the ionosphere of radiation belt electrons. In this study we present a new mechanism for electron loss through precipitation into the ionosphere due to a direct modulation of the loss cone via localized compressional ULF waves. We present a case study of compressional wave activity in tandem with riometer and balloon-borne electron precipitation across keV-MeV energies to demonstrate that the experimental measurements can be explained by our new enhanced loss cone mechanism. Observational evidence is presented demonstrating that modulation of the equatorial loss cone can occur via localized compressional wave activity, which greatly exceeds the change in pitch angle through conservation of the first and second adiabatic invariants. The precipitation response can be a complex interplay between electron energy, the localization of the waves, the shape of the phase space density profile at low pitch angles, ionospheric decay time scales, and the time dependence of the electron source; we show that two pivotal components not usually considered are localized ULF wave fields and ionospheric decay time scales. We conclude that enhanced precipitation driven by compressional ULF wave modulation of the loss cone is a viable candidate for direct precipitation of radiation belt electrons without any additional requirement for gyroresonant wave-particle interaction. Additional mechanisms would be complementary and additive in providing means to precipitate electrons from the radiation belts during storm times.</t>
  </si>
  <si>
    <t>[Rae, I. Jonathan; Forsyth, Colin] Univ Coll London, Dept Space &amp; Climate Phys, Mullard Space Sci Lab, Dorking, Surrey, England; [Murphy, Kyle R.; Sibeck, David G.] NASA, Goddard Space Flight Ctr, Greenbelt, MD USA; [Watt, Clare E. J.] Univ Reading, Dept Meteorol, Reading, Berks, England; [Halford, Alexa J.] Aerosp Corp, Space Sci Dept, Chantilly, VA USA; [Mann, Ian R.; Ozeke, Louis G.] Univ Alberta, Dept Phys, Edmonton, AB, Canada; [Clilverd, Mark A.] British Antarctic Survey NERC, Cambridge, England; [Rodger, Craig J.] Univ Otago, Dept Phys, Dunedin, New Zealand; [Degeling, Alex W.] Shandong Univ, Inst Space Sci &amp; Phys, Weihai, Peoples R China; [Singer, Howard J.] NOAA, Space Weather Predict Ctr, Boulder, CO USA</t>
  </si>
  <si>
    <t>University of London; University College London; National Aeronautics &amp; Space Administration (NASA); NASA Goddard Space Flight Center; University of Reading; Aerospace Corporation - USA; University of Alberta; UK Research &amp; Innovation (UKRI); Natural Environment Research Council (NERC); NERC British Antarctic Survey; University of Otago; Shandong University; National Oceanic Atmospheric Admin (NOAA) - USA</t>
  </si>
  <si>
    <t>Rae, IJ (corresponding author), Univ Coll London, Dept Space &amp; Climate Phys, Mullard Space Sci Lab, Dorking, Surrey, England.</t>
  </si>
  <si>
    <t>jonathan.rae@ucl.ac.uk</t>
  </si>
  <si>
    <t>Sibeck, David G/D-4424-2012; Forsyth, Colin/E-4159-2010; Rodger, Craig/A-1501-2011; Halford, Alexa/AAH-2098-2019; Degeling, Alexander/AAR-1294-2020; Degeling, Alexander/F-1091-2016; Rae, Jonathan/D-8132-2013; Watt, Clare/C-5218-2008</t>
  </si>
  <si>
    <t>Halford, Alexa/0000-0002-5383-4602; Degeling, Alexander/0000-0001-7338-9270; Rae, Jonathan/0000-0002-2637-4786; Watt, Clare/0000-0003-3193-8993; Mann, Ian/0000-0003-1004-7841; Murphy, Kyle/0000-0002-3063-6451; Rodger, Craig J./0000-0002-6770-2707</t>
  </si>
  <si>
    <t>STFC grant [ST/N000722/1, ST/M000885/1]; NERC [NE/L007495/1, NE/P017150/1, NE/P017185/1, NE/P017274/1]; Discovery Grant from Canadian NSERC; NASA [NNX15AF59G, NNX15AF58G]; NERC Independent Research Fellowship [NE/N014480/1]; Canadian Space Agency; NERC [NE/R016038/1, bas0100031, NE/P01738X/1, NE/P017274/1, NE/N014480/1] Funding Source: UKRI; STFC [ST/R000921/1, ST/N000722/1, ST/M000885/1] Funding Source: UKRI; NASA [NNX15AF58G, 803759, NNX15AF59G, 805307] Funding Source: Federal RePORTER</t>
  </si>
  <si>
    <t>STFC grant(UK Research &amp; Innovation (UKRI)Science &amp; Technology Facilities Council (STFC)); NERC(UK Research &amp; Innovation (UKRI)Natural Environment Research Council (NERC)); Discovery Grant from Canadian NSERC(Natural Sciences and Engineering Research Council of Canada (NSERC)); NASA(National Aeronautics &amp; Space Administration (NASA)); NERC Independent Research Fellowship(UK Research &amp; Innovation (UKRI)Natural Environment Research Council (NERC)); Canadian Space Agency(Canadian Space Agency); NERC(UK Research &amp; Innovation (UKRI)Natural Environment Research Council (NERC)); STFC(UK Research &amp; Innovation (UKRI)Science &amp; Technology Facilities Council (STFC)); NASA(National Aeronautics &amp; Space Administration (NASA))</t>
  </si>
  <si>
    <t>I. J. R. is supported by STFC grant ST/N000722/1, and NERC grants NE/L007495/1, NE/P017150/1, and NE/P017185/1. C. E. J. W. is supported by STFC grant ST/M000885/1 and NERC grant NE/P017274/1. I. R. M. is supported by a Discovery Grant from Canadian NSERC. Work done by A. J. H. was supported by NASA grants NNX15AF59G and and NNX15AF58G. C. F. is supported by a NERC Independent Research Fellowship grant NE/N014480/1. BARREL data can be obtained at http://barreldata.ucsc.edu/data_products/. GOES magnetic field data are available from http://satdat.ngdc.noaa.gov/sem/goes/data/new_full/. We thank Emma Spanswick and the NORSTAR team for Geospace Observatory Canada riometer data, operated by the University of Calgary and funded by the Canadian Space Agency. NORSTAR riometer data are available a thttp://data.phys.ucalgary.ca/</t>
  </si>
  <si>
    <t>10.1002/2017JA024674</t>
  </si>
  <si>
    <t>WOS:000430125300014</t>
  </si>
  <si>
    <t>Horvath, I; Lovell, BC</t>
  </si>
  <si>
    <t>Horvath, Ildiko; Lovell, Brian C.</t>
  </si>
  <si>
    <t>Polar Cap Energy Deposition Events During the 5-6 August 2011 Magnetic Storm</t>
  </si>
  <si>
    <t>REPETITIVE SUBSTORM ACTIVITY; IMF B-Y; SOLAR-WIND; PLASMA CONVECTION; ELECTRIC-FIELD; DAYSIDE; MAGNETOSPHERE; THERMOSPHERE; ORIENTATION; MAGNETOTAIL</t>
  </si>
  <si>
    <t>We study the 5-6 August 2011 storm for its energy deposition events occurring deep in the polar cap region, where the consequential localized intensifications of earthward directed Poynting flux led to the development of their related localized neutral density increases. For unraveling the underlying physical processes, we investigate the relations among Poynting flux intensifications, flow channels (FCs), and localized neutral density enhancements plus the nature of the underlying reconnection events. Observational results demonstrate Poynting flux increase deep in the polar cap in a FC-2 type FC during magnetopause reconnections and in a FC-4 type FC during lobe reconnections. During the latter stages of these different types of reconnection events, energy/momentum transfer occurred along old-open field lines and commonly led to the development of localized neutral density increases during their respective upwelling events fueled by field-aligned currents and above/within these polar FCs. The prevailing B-Y domination and the pulsed nature of this storm created favorable conditions for the development of these FC-2 and FC-4 types in the sunlit northern summer hemisphere and caused the observed Poynting flux intensifications deep in the polar cap. The solar wind source of these reconnections taking place along old-open field lines was situated in the high-latitude boundary layer. Thus, the high-latitude boundary layer dynamo provided a vigorous source of energy/momentum transfer during the latter-stage reconnections unfolding along old-open field lines.</t>
  </si>
  <si>
    <t>[Horvath, Ildiko; Lovell, Brian C.] Univ Queensland, Sch Informat Technol &amp; Elect Engn, Secur &amp; Surveillance Res Grp, Brisbane, Qld, Australia</t>
  </si>
  <si>
    <t>University of Queensland</t>
  </si>
  <si>
    <t>Horvath, I (corresponding author), Univ Queensland, Sch Informat Technol &amp; Elect Engn, Secur &amp; Surveillance Res Grp, Brisbane, Qld, Australia.</t>
  </si>
  <si>
    <t>ihorvath@itee.uq.edu.au</t>
  </si>
  <si>
    <t>Horvath, Ildiko/0000-0002-1899-3907; Lovell, Brian/0000-0001-6722-1754</t>
  </si>
  <si>
    <t>Air Force Office of Scientific Research [FA2386-16-1-4127]</t>
  </si>
  <si>
    <t>Air Force Office of Scientific Research(United States Department of DefenseAir Force Office of Scientific Research (AFOSR))</t>
  </si>
  <si>
    <t>This material is based on research sponsored by the Air Force Office of Scientific Research, under agreement FA2386-16-1-4127. The U.S. Government is authorized to reproduce and distribute reprints for governmental purposes notwithstanding any copyright notation thereon. We acknowledge Eelco Doornbos and ESA's Living Planet Programme for the GOCE data (https://earth.esa.int/web/guest/-/goce-data-access-7219) and the OMNI database (https://cdaweb.gsfc.nasa.gov/cgi-bin/eval1.cgi) for the solar and magnetic data. We are grateful to the Center for Space Sciences at the University of Texas at Dallas (http://cin-dispace.utdallas.edu/DMSP/dmsp_data_at_utdallas.html) along with the CEDAR Archival Madrigal Database (http://cedar.openmadrigal.org/) and the U.S. Air Force for providing the DMSP thermal plasma data. We also thank the World Data Center for Geomagnetism at Kyoto (http://wdc.kugi.kyoto-u.ac.jp/wdc/Sec3.html) for providing the geomagnetic indices and both The Technical University of Denmark and the Arctic and Antarctic Research Institute for the PCN index (http://pcindex.org/). Special thanks are extended to The Johns Hopkins University Applied Physics Laboratory for the spectrogram images and OVATION data (http://sd-www.jhuapl.edu/Aurora/ovation/ovation_display.html).</t>
  </si>
  <si>
    <t>10.1002/2017JA025102</t>
  </si>
  <si>
    <t>WOS:000430125300046</t>
  </si>
  <si>
    <t>O'Gorman, JP; Gouiric-Cavalli, S; Scasso, RA; Reguero, M; Moly, JJ; Acosta-Burlaille, L</t>
  </si>
  <si>
    <t>O'Gorman, Jose P.; Gouiric-Cavalli, Soledad; Scasso, Roberto A.; Reguero, Marcelo.; Moly, Juan J.; Acosta-Burlaille, Leonel</t>
  </si>
  <si>
    <t>A Late Jurassic plesiosaur in Antarctica: Evidence of the dispersion of marine fauna through the Trans-Erythraean Seaway?</t>
  </si>
  <si>
    <t>COMPTES RENDUS PALEVOL</t>
  </si>
  <si>
    <t>Plesiosauria; Ameghino Formation; Tithonian; Trans-Erythraean Seaway</t>
  </si>
  <si>
    <t>MIDDLE; SAUROPTERYGIA; REPTILIA; EVOLUTION; PENINSULA; BASINS; FACIES; ARC</t>
  </si>
  <si>
    <t>During the Jurassic two main marine pathways might act as dispersion routes for vertebrates and invertebrates between Laurasia and Gondwana: the Caribbean Seaway (between North and South America) and the Trans-Erythraean Seaway (splitting Africa from India, Madagascar). The former has proven to be of relevance as a dispersion route for marine vertebrates and invertebrates between the Tethys and Pacific margin of Gondwana. Nevertheless, little is known about the role of the Trans-Erythraean Seaway as a vertebrate dispersion pathway. The Trans-Erythraean Seaway divides the eastern and western South of Gondwana landmasses in the so-called break-up of Gondwana and connects the Tethys Sea with the Palaeo-Pacific. We describe a newly recovered plesiosaur specimen from the Ameghino (= Nordenskold) Formation, Antarctic Peninsula, the first Jurassic plesiosaur from Antarctica. We discuss the importance of this record regarding the hypothesis of marine vertebrate dispersion through the Trans-Erythraean Seaway. (C) 2017 Academie des sciences. Published by Elsevier Masson SAS. All rights reserved.</t>
  </si>
  <si>
    <t>[O'Gorman, Jose P.; Gouiric-Cavalli, Soledad; Reguero, Marcelo.; Moly, Juan J.; Acosta-Burlaille, Leonel] Univ Nacl La Plata, Museo La Plata, Div Paleontol Vertebrados, Paseo Bosque S-N,B1900FWA, La Plata, Buenos Aires, Argentina; [O'Gorman, Jose P.; Gouiric-Cavalli, Soledad] Consejo Nacl Invest Cient &amp; Tecn, C1425FQB, Buenos Aires, DF, Argentina; [Scasso, Roberto A.] Univ Buenos Aires, FCEyN, Dto Cs Geol,CONICET, Inst Geociencias Basicas Aplicadas &amp; Ambientales, Int Guiraldes 2160,Ciudad Univ,Pab 2,C1428EHA, Buenos Aires, DF, Argentina; [Reguero, Marcelo.] Inst Antartico Argentino, 25 Mayo 1143, RA-1650 Buenos Aires, DF, Argentina</t>
  </si>
  <si>
    <t>National University of La Plata; Museo La Plata; Consejo Nacional de Investigaciones Cientificas y Tecnicas (CONICET); Consejo Nacional de Investigaciones Cientificas y Tecnicas (CONICET); University of Buenos Aires; Instituto Antartico Argentino</t>
  </si>
  <si>
    <t>O'Gorman, JP (corresponding author), Univ Nacl La Plata, Museo La Plata, Div Paleontol Vertebrados, Paseo Bosque S-N,B1900FWA, La Plata, Buenos Aires, Argentina.</t>
  </si>
  <si>
    <t>joseogorman@fcnym.unlp.edu.ar; sgouiric@fcnym.unlp.edu.ar; rscasso@gl.fcen.uba.ar; mreguero@dna.gov.ar; juanjomoly@fcnym.unlp.edu.ar; leoacosta@fcnym.unlp.edu.ar</t>
  </si>
  <si>
    <t>Reguero, Marcelo A./JHS-4893-2023; O’Gorman, José/AAK-6096-2021</t>
  </si>
  <si>
    <t>Direccion Nacional del Antartico; Instituto Antartico Argentino [PICTO 2010-0093]; Consejo Nacional de Investigaciones Cientificas y Tecnologicas; Agencia Nacional de Promocion Cientifica y Tecnologica; Universidad Nacional de La Plata [PICT 2008-0261, PICT 2012-0748, UNLP N 677, UNLP N607]</t>
  </si>
  <si>
    <t>Direccion Nacional del Antartico; Instituto Antartico Argentino; Consejo Nacional de Investigaciones Cientificas y Tecnologicas; Agencia Nacional de Promocion Cientifica y Tecnologica(ANPCyTSpanish Government); Universidad Nacional de La Plata(National University of La Plata)</t>
  </si>
  <si>
    <t>This contribution was mainly funded by the Direccion Nacional del Antartico and the Instituto Antartico Argentino, project: PICTO 2010-0093. Partial funding was provided by the Consejo Nacional de Investigaciones Cientificas y Tecnologicas, Agencia Nacional de Promocion Cientifica y Tecnologica, and Universidad Nacional de La Plata through the PICT 2008-0261 and PICT 2012-0748; UNLP N 677 and UNLP N607. We thank the logistic support of the Fuerza Aerea Argentina (Dotacion 47). Thanks to C. Amenabar (IAA) who is responsible for loaning and providing access to fossil specimens at the Instituto Antartico Argentino. The authors thank Nathalie Bardet (Departement Histoire de la Terre, Museum National d'Histoire Naturelle, Paris, France,) and an anonymous reviewer for the comments that improve this contribution.</t>
  </si>
  <si>
    <t>1631-0683</t>
  </si>
  <si>
    <t>1777-571X</t>
  </si>
  <si>
    <t>CR PALEVOL</t>
  </si>
  <si>
    <t>C. R. Palevol</t>
  </si>
  <si>
    <t>10.1016/j.crpv.2017.10.005</t>
  </si>
  <si>
    <t>GC1NR</t>
  </si>
  <si>
    <t>WOS:000429549300002</t>
  </si>
  <si>
    <t>Chua, MJ; Campen, RL; Wahl, L; Grzymski, JJ; Mikucki, JA</t>
  </si>
  <si>
    <t>Chua, Michelle J.; Campen, Richard L.; Wahl, Lindsay; Grzymski, Joseph J.; Mikucki, Jill A.</t>
  </si>
  <si>
    <t>Genomic and physiological characterization and description of Marinobacter gelidimuriae sp nov., a psychrophilic, moderate halophile from Blood Falls, an antarctic subglacial brine</t>
  </si>
  <si>
    <t>subglacial; Antarctica; Blood Falls; psychrophile; halophile; Marinobacter</t>
  </si>
  <si>
    <t>MCMURDO DRY VALLEYS; SIBERIAN PERMAFROST BACTERIUM; STANDARD OPERATING PROCEDURE; SPECIES DEFINITION; COLD-SHOCK; ESCHERICHIA-COLI; LOW-TEMPERATURE; TAYLOR GLACIER; LAKE BONNEY; SEQUENCE</t>
  </si>
  <si>
    <t>Antarctic subice environments are diverse, underexplored microbial habitats. Here, we describe the ecophysiology and annotated genome of a Marinobacter strain isolated from a cold, saline, iron-rich subglacial outflow of the Taylor Glacier, Antarctica. This strain (BF04_CF4) grows fastest at neutral pH (range 6-10), is psychrophilic (range: 0 degrees C-20 degrees C), moderately halophilic (range: 0.8%-15% NaCl) and hosts genes encoding potential low temperature and high salt adaptations. The predicted proteome suggests it utilizes fewer charged amino acids than a mesophilic Marinobacter strain. BF04_CF4 has increased concentrations of membrane unsaturated fatty acids including palmitoleic (33%) and oleic (27.5%) acids that may help maintain cell membrane fluidity at low temperatures. The genome encodes proteins for compatible solute biosynthesis and transport, which are known to be important for growth in saline environments. Physiological verification of predicted metabolic functions demonstrate BF04_CF4 is capable of denitrification and may facilitate iron oxidation. Our data indicate that strain BF04_CF4 represents a new Marinobacter species, Marinobacter gelidimuriae sp. nov., that appears well suited for the subglacial environment it was isolated from. Marinobacter species have been isolated from other cold, saline environments in the McMurdo Dry Valleys and permanently cold environments globally suggesting that this lineage is cosmopolitan and ecologically relevant in icy brines.</t>
  </si>
  <si>
    <t>[Chua, Michelle J.; Campen, Richard L.; Mikucki, Jill A.] Univ Tennessee, Dept Microbiol, Knoxville, TN 37996 USA; [Wahl, Lindsay] Dartmouth Coll, Dept Environm Studies, Hanover, NH 03755 USA; [Grzymski, Joseph J.] Desert Res Inst, Div Earth &amp; Ecosyst Sci, Reno, NV 89512 USA; [Wahl, Lindsay] Univ Rochester, Sch Med, Rochester, NY USA</t>
  </si>
  <si>
    <t>University of Tennessee System; University of Tennessee Knoxville; Dartmouth College; Nevada System of Higher Education (NSHE); Desert Research Institute NSHE; University of Rochester</t>
  </si>
  <si>
    <t>Mikucki, JA (corresponding author), Univ Tennessee, Dept Microbiol, Knoxville, TN 37996 USA.</t>
  </si>
  <si>
    <t>jmikucki@utk.edu</t>
  </si>
  <si>
    <t>Campen, Richard/0000-0002-9467-9100; Grzymski, Joseph/0000-0003-2646-8958</t>
  </si>
  <si>
    <t>National Science Foundation Division of Polar Programs [ANT-1144178, ANT-1344348]; Dartmouth Environmental Studies Program; JGI-CSP [238]</t>
  </si>
  <si>
    <t>National Science Foundation Division of Polar Programs(National Science Foundation (NSF)); Dartmouth Environmental Studies Program; JGI-CSP</t>
  </si>
  <si>
    <t>This work was supported by the National Science Foundation Division of Polar Programs (ANT-1144178 and ANT-1344348 to JAM) and the Dartmouth Environmental Studies Program (LAW). The genome sequencing and annotation was supported by the JGI-CSP #238 'Genome analyses of microbes integral to the cycling of sulfate and iron' to JG and JAM.</t>
  </si>
  <si>
    <t>fiy021</t>
  </si>
  <si>
    <t>10.1093/femsec/fiy021</t>
  </si>
  <si>
    <t>GC0PS</t>
  </si>
  <si>
    <t>WOS:000429480200016</t>
  </si>
  <si>
    <t>Gallagher, JB; Ross, DJ</t>
  </si>
  <si>
    <t>Gallagher, John B.; Ross, Donald J.</t>
  </si>
  <si>
    <t>Sediment geochronology for bar-built estuaries subject to flood deposition and erosion: A robust multiproxy approach across an estuarine zone</t>
  </si>
  <si>
    <t>Pb-210 geochronology; bar-built estuary; flood deposits; Little Swanport River Estuary; sediment erosion; sediment isotope tomography</t>
  </si>
  <si>
    <t>ORGANIC-MATTER; PB-210; CS-137; LAKE; TERRESTRIAL; AUSTRALIA; PROFILES; BEHAVIOR; EXAMPLE; WATER</t>
  </si>
  <si>
    <t>This paper presents a contiguous late Anthropocene Pb-210 sediment geochronology and a late Anthropocene flood/fire event geochronology for an estuary subject to flood deposition and erosion. The procedure used multiple proxies to identify and evaluate flood facies overlying regions of erosion. Reconstructions of the original baseline sediments were undertaken for the major Pb-210 geochronological methods. Only the lower estuary core site, which was deficient in inventory of excess Pb-210 of baseline sediments, over the expected atmospheric supply for, was chosen to calculate the total amount of erosion. Erosion, as both cumulative mass and thickness, was then proportioned across flood events, relative to the size of the Rp index flood signal. The Rp index is the product of a simple stepwise thermogravimetric procedure. The flood geochronology was constructed by correlating the relative magnitudes of pivotal floods from an existing 100-year rainfall/river flow model and correlations in peak sediment char content outside of the flood facies with contemporary fire records. Overall, it was determined that Pb-210 sediment isotope tomography gave the closest convergence with flood and fire events over those of the constant rate of supply and constant initial concentration methods. The agreement signified that around 40% of the original baseline accretion (25 cm) had been eroded by floods over the last 83 years and that there was possibly considerably more erosion at the upper site, which led to the loss of two flood facies.</t>
  </si>
  <si>
    <t>[Gallagher, John B.] Univ Malaysia Sabah, Borneo Marine Res Inst, Jalan UMS, Kota Kinabalu 88400, Sabah, Malaysia; [Ross, Donald J.] Univ Tasmania, Inst Marine &amp; Antarctic Sci, Hobart, Tas, Australia</t>
  </si>
  <si>
    <t>Universiti Malaysia Sabah; University of Tasmania</t>
  </si>
  <si>
    <t>Gallagher, JB (corresponding author), Univ Malaysia Sabah, Borneo Marine Res Inst, Jalan UMS, Kota Kinabalu 88400, Sabah, Malaysia.</t>
  </si>
  <si>
    <t>john.barry@ums.edu.my</t>
  </si>
  <si>
    <t>Gallagher, John/JVP-1711-2024; Gallagher, John/R-7947-2018</t>
  </si>
  <si>
    <t>Gallagher, John/0000-0002-2622-0912</t>
  </si>
  <si>
    <t>10.1177/0959683617729441</t>
  </si>
  <si>
    <t>GC7FG</t>
  </si>
  <si>
    <t>WOS:000429957700001</t>
  </si>
  <si>
    <t>Morales-Nin, B</t>
  </si>
  <si>
    <t>Morales-Nin, Beatriz</t>
  </si>
  <si>
    <t>Dealing with time: a career in fish and fisheries</t>
  </si>
  <si>
    <t>fish growth; otoliths; recreational fisheries; science management; small-scale fisheries</t>
  </si>
  <si>
    <t>APHIA-MINUTA PISCES; COD GADUS-MORHUA; MERLUCCIUS-MERLUCCIUS; BALEARIC-ISLANDS; CORYPHAENA-HIPPURUS; OTOLITH CHEMISTRY; DAILY GROWTH; ENVIRONMENTAL-INFLUENCES; RECREATIONAL FISHERIES; ANTARCTIC PENINSULA</t>
  </si>
  <si>
    <t>In this essay, I review my career in fish and fisheries, describing my work in the context of the ideas of the period and how they have changed with time. My experience may be interesting especially for other women from social backgrounds that do not promote competitive careers. The main lessons that I have learned are that to be persistent and ambitious, to associate with top scientist, and good persons too! is rewarding at several levels. Not to try to be the one in the spotlight but to recognize other people merits gives good results in the long run. Moreover, to take risks from time to time and explore new territories, like science administration in my case, helps to reinvent yourself and keep the intellectual interest alive. I would like to encourage young scientists to persevere, be resilient and take, from time to time, risky decisions. Maybe one does not become rich, but the mental challenges, the networking, the travel and the exceptional places and life experiences make you rich in many worthy ways! One does never get bored.</t>
  </si>
  <si>
    <t>[Morales-Nin, Beatriz] CSIC, IMEDEA UIB, Inst Mediterrani Estudis Avancats, Marine Dynam Grp, Miquel Marques 21, Esporles 07190, Illes Balears, Spain</t>
  </si>
  <si>
    <t>Consejo Superior de Investigaciones Cientificas (CSIC); ATTITUS Educacao</t>
  </si>
  <si>
    <t>Morales-Nin, B (corresponding author), CSIC, IMEDEA UIB, Inst Mediterrani Estudis Avancats, Marine Dynam Grp, Miquel Marques 21, Esporles 07190, Illes Balears, Spain.</t>
  </si>
  <si>
    <t>beatriz@imedea.uib-csic.es</t>
  </si>
  <si>
    <t>10.1093/icesjms/fsx210</t>
  </si>
  <si>
    <t>GC0TU</t>
  </si>
  <si>
    <t>WOS:000429491500003</t>
  </si>
  <si>
    <t>Constable, AJ; Kawaguchi, S</t>
  </si>
  <si>
    <t>Constable, Andrew John; Kawaguchi, So</t>
  </si>
  <si>
    <t>Modelling growth and reproduction of Antarctic krill, Euphausia superba, based on temperature, food and resource allocation amongst life history functions</t>
  </si>
  <si>
    <t>Antarctica; CCAMLR; growth; krill; life history; modelling</t>
  </si>
  <si>
    <t>DYNAMIC ENERGY BUDGET; MANAGING FISHERIES; CONCEPTUAL-MODEL; MATURITY CYCLE; DANA; CLIMATE; LENGTH; RATES; IMPLEMENTATION; CRUSTACEA</t>
  </si>
  <si>
    <t>Estimates of productivity of Antarctic krill, Euphausia superba, are dependent on accurate models of growth and reproduction. Incorrect growth models, specifically those giving unrealistically high production, could lead to over-exploitation of the krill population if those models are used in setting catch limits. Here we review available approaches to modelling productivity and note that existing models do not account for the interactions between growth and reproduction and variable environmental conditions. We develop a new energetics moult-cycle (EMC) model which combines energetics and the constraints on growth of the moult-cycle. This model flexibly accounts for regional, inter- and intra-annual variation in temperature, food supply, and day length. The EMC model provides results consistent with the general expectations for krill growth in length and mass, including having thin krill, as well as providing insights into the effects that increasing temperature may have on growth and reproduction. We recommend that this new model be incorporated into assessments of catch limits for Antarctic krill.</t>
  </si>
  <si>
    <t>[Constable, Andrew John; Kawaguchi, So] Dept Environm &amp; Energy, Australian Antarctic Div, 203 Channel Highway, Kingston, Tas 7050, Australia; [Constable, Andrew John; Kawaguchi, So] Univ Tasmania, Antarctic Climate &amp; Ecosyst Cooperat Res Ctr, Private Bag 80, Hobart, Tas 7001, Australia</t>
  </si>
  <si>
    <t>Australian Antarctic Division; Antarctic Climate &amp; Ecosystems Cooperative Research Centre (ACE CRC); University of Tasmania</t>
  </si>
  <si>
    <t>Constable, AJ (corresponding author), Dept Environm &amp; Energy, Australian Antarctic Div, 203 Channel Highway, Kingston, Tas 7050, Australia.;Constable, AJ (corresponding author), Univ Tasmania, Antarctic Climate &amp; Ecosyst Cooperat Res Ctr, Private Bag 80, Hobart, Tas 7001, Australia.</t>
  </si>
  <si>
    <t>andrew.constable@aad.gov.au</t>
  </si>
  <si>
    <t>Kawaguchi, So/0000-0002-2042-5095</t>
  </si>
  <si>
    <t>SeaWiFS Project [970.2]; Pew Fellowship in Marine Conservation</t>
  </si>
  <si>
    <t>SeaWiFS Project; Pew Fellowship in Marine Conservation</t>
  </si>
  <si>
    <t>This article evolved from work presented to CCAMLR WG-EMM in 2005-2006. We thank many participants of WG-EMM for their feedback. We particularly thank Steve Candy and Steve Nicol for discussions over a number of years on the drivers of growth in krill. Thank you to Mike Sumner for assistance with the satellite data. Thanks to Dirk Welsford, Jess Melbourne-Thomas, Rowan Trebilco, Stephane Plourde, and two anonymous reviewers for comments on the article. Sea-surface temperature data were made available by US NOAA. Chlorophyll a data were made available by the SeaWiFS Project (Code 970.2) and the Distributed Active Archive Center (Code 902) at the Goddard Space Flight Center, Greenbelt, MD 20771. The algorithm for the EMC function is available in R-script. A.C. was supported in part by a Pew Fellowship in Marine Conservation.</t>
  </si>
  <si>
    <t>10.1093/icesjms/fsx190</t>
  </si>
  <si>
    <t>WOS:000429491500027</t>
  </si>
  <si>
    <t>Bogan, SN; Ingraham, M; Place, SP; Bogan, S</t>
  </si>
  <si>
    <t>Bogan, S. N.; Ingraham, M.; Place, S. P.; Bogan, Samuel</t>
  </si>
  <si>
    <t>Regulatory Origins of a Lost Inducible Heat Shock Response in Antarctic Fishes</t>
  </si>
  <si>
    <t>INTEGRATIVE AND COMPARATIVE BIOLOGY</t>
  </si>
  <si>
    <t>Annual Meeting of the Society-for-Integrative-and-Comparative-Biology (SICB)</t>
  </si>
  <si>
    <t>JAN 03-07, 2018</t>
  </si>
  <si>
    <t>San Francisco, CA</t>
  </si>
  <si>
    <t>[Bogan, S. N.; Ingraham, M.; Place, S. P.; Bogan, Samuel] Sonoma State Univ, Rohnert Pk, CA 94928 USA</t>
  </si>
  <si>
    <t>California State University System; Sonoma State University</t>
  </si>
  <si>
    <t>snbogan8@gmail.com</t>
  </si>
  <si>
    <t>OXFORD UNIV PRESS INC</t>
  </si>
  <si>
    <t>CARY</t>
  </si>
  <si>
    <t>JOURNALS DEPT, 2001 EVANS RD, CARY, NC 27513 USA</t>
  </si>
  <si>
    <t>1540-7063</t>
  </si>
  <si>
    <t>1557-7023</t>
  </si>
  <si>
    <t>INTEGR COMP BIOL</t>
  </si>
  <si>
    <t>Integr. Comp. Biol.</t>
  </si>
  <si>
    <t>P3-217</t>
  </si>
  <si>
    <t>E279</t>
  </si>
  <si>
    <t>GB8FA</t>
  </si>
  <si>
    <t>WOS:000429309603233</t>
  </si>
  <si>
    <t>Costa, DP; Huckstadt, LA; Schwarz, L; Friedlaender, A; Mate, B; Zerbini, A; Kennedy, A; Gales, NJ</t>
  </si>
  <si>
    <t>Costa, D. P.; Huckstadt, L. A.; Schwarz, L.; Friedlaender, A.; Mate, B.; Zerbini, A.; Kennedy, A.; Gales, N. J.</t>
  </si>
  <si>
    <t>Assessing the Potential Exposure of Migratory Animals to Disturbance</t>
  </si>
  <si>
    <t>Univ Calif Santa Cruz, Santa Cruz, CA 95064 USA; Oregon State Univ, Corvallis, OR 97331 USA; Natl Marine Fisheries Serv, Silver Spring, MD USA; Australian Antarctic Div, Hobart, Tas, Australia</t>
  </si>
  <si>
    <t>University of California System; University of California Santa Cruz; Oregon State University; National Oceanic Atmospheric Admin (NOAA) - USA; Australian Antarctic Division</t>
  </si>
  <si>
    <t>costa@ucsc.edu</t>
  </si>
  <si>
    <t>Huckstadt, Luis A./J-8532-2019; Huckstadt, Luis/JNR-7637-2023</t>
  </si>
  <si>
    <t>Huckstadt, Luis A./0000-0002-2453-7350;</t>
  </si>
  <si>
    <t>16-5</t>
  </si>
  <si>
    <t>E44</t>
  </si>
  <si>
    <t>WOS:000429309600176</t>
  </si>
  <si>
    <t>Lane, SJ; Shishido, CM; Moran, AL; Tobalske, BW; Woods, HA</t>
  </si>
  <si>
    <t>Lane, S. J.; Shishido, C. M.; Moran, A. L.; Tobalske, B. W.; Woods, H. A.</t>
  </si>
  <si>
    <t>Pore things! Cuticular gas exchange by Antarctic sea spiders</t>
  </si>
  <si>
    <t>Univ Montana, Missoula, MT 59812 USA; Univ Hawaii, Honolulu, HI 96822 USA</t>
  </si>
  <si>
    <t>University of Montana System; University of Montana; University of Hawaii System</t>
  </si>
  <si>
    <t>NSF [PLR-1341485]</t>
  </si>
  <si>
    <t>NSF PLR-1341485.</t>
  </si>
  <si>
    <t>81-1</t>
  </si>
  <si>
    <t>E126</t>
  </si>
  <si>
    <t>WOS:000429309602021</t>
  </si>
  <si>
    <t>Shishido, CM; Woods, HA; Tobalske, BW; Lane, SJ; Moran, AL</t>
  </si>
  <si>
    <t>Shishido, C. M.; Woods, H. A.; Tobalske, B. W.; Lane, S. J.; Moran, A. L.</t>
  </si>
  <si>
    <t>Thermal Sensitivity of Metabolism and Development Across the Life Cycle of the Giant Antarctic Sea Spider Ammothea glacialis</t>
  </si>
  <si>
    <t>Univ Hawaii, Honolulu, HI 96822 USA; Univ Montana, Missoula, MT 59812 USA</t>
  </si>
  <si>
    <t>University of Hawaii System; University of Montana System; University of Montana</t>
  </si>
  <si>
    <t>morana@hawaii.edu</t>
  </si>
  <si>
    <t>NSF [PLR-1341476]</t>
  </si>
  <si>
    <t>NSF PLR-1341476</t>
  </si>
  <si>
    <t>107-8</t>
  </si>
  <si>
    <t>E211</t>
  </si>
  <si>
    <t>WOS:000429309602361</t>
  </si>
  <si>
    <t>Suydam, RC; Santagata, S</t>
  </si>
  <si>
    <t>Suydam, R. C.; Santagata, S.</t>
  </si>
  <si>
    <t>Morphological Diversity and Phylogeny of Antarctic Bryozoans</t>
  </si>
  <si>
    <t>Dartmouth Coll, Hanover, NH 03755 USA; Long Isl Univ, Brooklyn, NY USA</t>
  </si>
  <si>
    <t>Dartmouth College; Long Island University-Brooklyn Campus</t>
  </si>
  <si>
    <t>scott.santagata@liu.edu</t>
  </si>
  <si>
    <t>P2-100</t>
  </si>
  <si>
    <t>E430</t>
  </si>
  <si>
    <t>WOS:000429309605063</t>
  </si>
  <si>
    <t>Vasadia, D; Place, SP</t>
  </si>
  <si>
    <t>Vasadia, D.; Place, S. P.</t>
  </si>
  <si>
    <t>Characterization of thermoregulated miRNAs and their role in the heat shock response of the Antarctic notothenioid fish, Trematomus bernacchii</t>
  </si>
  <si>
    <t>[Vasadia, D.; Place, S. P.] Calif State Univ, Sonoma, CA USA</t>
  </si>
  <si>
    <t>vasadia@sonoma.edu</t>
  </si>
  <si>
    <t>P3-45</t>
  </si>
  <si>
    <t>E440</t>
  </si>
  <si>
    <t>WOS:000429309605104</t>
  </si>
  <si>
    <t>Greve, M; Mathakutha, R; Steyn, C; Chown, SL</t>
  </si>
  <si>
    <t>Greve, M.; Mathakutha, R.; Steyn, C.; Chown, S. L.</t>
  </si>
  <si>
    <t>A review on the status of invasions on sub-Antarctic Marion and Prince Edward Islands</t>
  </si>
  <si>
    <t>SOUTH AFRICAN JOURNAL OF BOTANY</t>
  </si>
  <si>
    <t>[Greve, M.; Mathakutha, R.; Steyn, C.] Univ Pretoria, Dept Plant &amp; Soil Sci, Pretoria, South Africa; [Chown, S. L.] Monash Univ, Sch Biol Sci, Clayton, Vic, Australia</t>
  </si>
  <si>
    <t>University of Pretoria; Monash University</t>
  </si>
  <si>
    <t>michelle.greve@up.ac.za</t>
  </si>
  <si>
    <t>Mathakutha, Rabia/G-3140-2015; Chown, Steven/ABD-7646-2021</t>
  </si>
  <si>
    <t>0254-6299</t>
  </si>
  <si>
    <t>1727-9321</t>
  </si>
  <si>
    <t>S AFR J BOT</t>
  </si>
  <si>
    <t>S. Afr. J. Bot.</t>
  </si>
  <si>
    <t>10.1016/j.sajb.2018.02.044</t>
  </si>
  <si>
    <t>GC0FG</t>
  </si>
  <si>
    <t>WOS:000429451700079</t>
  </si>
  <si>
    <t>Twala, MN; Janion-Scheepers, C; Le Roux, PC; Greve, M</t>
  </si>
  <si>
    <t>Twala, M. N.; Janion-Scheepers, C.; Le Roux, P. C.; Greve, M.</t>
  </si>
  <si>
    <t>An aggressive invasive, Sagina procumbens, causes an invasional-meltdown on sub-Antarctic Marion Island</t>
  </si>
  <si>
    <t>[Twala, M. N.; Janion-Scheepers, C.; Le Roux, P. C.; Greve, M.] Univ Pretoria, Dept Plant &amp; Soil Sci, Pretoria, South Africa</t>
  </si>
  <si>
    <t>University of Pretoria</t>
  </si>
  <si>
    <t>Mthokozisi.thwala@gmail.com</t>
  </si>
  <si>
    <t>10.1016/j.sajb.2018.02.134</t>
  </si>
  <si>
    <t>WOS:000429451700169</t>
  </si>
  <si>
    <t>Fernandez, MO; Marques, AC</t>
  </si>
  <si>
    <t>Fernandez, Marina O.; Marques, Antonio C.</t>
  </si>
  <si>
    <t>Combining bathymetry, latitude, and phylogeny to understand the distribution of deep Atlantic hydroids (Cnidaria)</t>
  </si>
  <si>
    <t>Depth range; Deep-sea benthos; Eurybathy; Latitude; Hydrozoa; Atlantic Ocean</t>
  </si>
  <si>
    <t>SEA INVASION; PRESSURE TOLERANCES; HYDROZOA CNIDARIA; MARINE HYDROIDS; DIVERSITY; DISPERSAL; PATTERNS; ORIGIN; LIFE; TEMPERATURE</t>
  </si>
  <si>
    <t>Water depth is associated with significant environmental changes and gradients that, together with biotic, geological, and evolutionary processes, define bathymetric ranges of individuals, populations, species, and even communities. However, inferences on bathymetric ranges of marine invertebrates are usually based on a few taxa or on restricted regional scales. In this study, we present a comprehensive literature survey of hydroids for the Atlantic Ocean and adjacent Arctic and Antarctic seas for records deeper than 50 m. We used these records in bathymetrical analyses along latitude and compared major patterns under an evolutionary framework. Our results show that hydroids are frequent inhabitants of the deep sea with mainly eurybathic species that extend their distributions from shallower to deeper waters, being rarely exclusively bathyal or abyssal. We also found increasing bathymetric ranges with mean depths of occurrence of the species for both families and regions. Moreover, vertical distribution proved to be taxonomically and regionally dependent, with reduced eurybathy in Antarctic species but increased eurybathy in Tropical and Subtropical North regions. Data also support early colonization of the deep sea in the evolution of the group. Finally, the unequal number of records across latitudes, scant at Equatorial and southern Tropical latitudes, provides evidence to the historically uneven sampling effort in the different regions of the Atlantic.</t>
  </si>
  <si>
    <t>[Fernandez, Marina O.; Marques, Antonio C.] Univ Sao Paulo, Inst Biociencias, Dept Zool, R Matao,Trav 14,101, BR-05508090 Sao Paulo, SP, Brazil; [Marques, Antonio C.] Univ Sao Paulo, Ctr Biol Marinha, Rod Manoel Hypolito do Rego,Km 131-5, BR-11600000 Sao Sebastiao, SP, Brazil</t>
  </si>
  <si>
    <t>Universidade de Sao Paulo; Universidade de Sao Paulo</t>
  </si>
  <si>
    <t>Fernandez, MO (corresponding author), Univ Sao Paulo, Inst Biociencias, Dept Zool, R Matao,Trav 14,101, BR-05508090 Sao Paulo, SP, Brazil.</t>
  </si>
  <si>
    <t>marinafernandez@ib.usp.br</t>
  </si>
  <si>
    <t>Marques, Antonio/E-8049-2011; Fernandez, Marina/X-7755-2018; Fapesp, Biota/F-8655-2017</t>
  </si>
  <si>
    <t>Marques, Antonio/0000-0002-2884-0541; Fernandez, Marina/0000-0002-8161-8579; Fapesp, Biota/0000-0002-9887-8449</t>
  </si>
  <si>
    <t>Fundacao de Amparo a Pesquisa do Estado de Sao Paulo [FAPESP 2013/10821-1, BEPE 2015/16948-9]; Conselho Nacional de Desenvolvimento Cientifico e Tecnologico (CNPq) [142052/2013-2]; Coordenacao de Aperfeicoamento de Pessoal de Nivel Superior (CAPES) [PDSE 6229/14-0]; FAPESP [2011/50242-5]; CNPq [305805/2013-4, 445444/2014-2]; Fundacao de Amparo a Pesquisa do Estado de Sao Paulo (FAPESP) [13/10821-1, 11/50242-5] Funding Source: FAPESP</t>
  </si>
  <si>
    <t>Fundacao de Amparo a Pesquisa do Estado de Sao Paulo(Fundacao de Amparo a Pesquisa do Estado de Sao Paulo (FAPESP)); Conselho Nacional de Desenvolvimento Cientifico e Tecnologico (CNPq)(Conselho Nacional de Desenvolvimento Cientifico e Tecnologico (CNPQ)); Coordenacao de Aperfeicoamento de Pessoal de Nivel Superior (CAPES)(Coordenacao de Aperfeicoamento de Pessoal de Nivel Superior (CAPES)); FAPESP(Fundacao de Amparo a Pesquisa do Estado de Sao Paulo (FAPESP)); CNPq(Conselho Nacional de Desenvolvimento Cientifico e Tecnologico (CNPQ)); Fundacao de Amparo a Pesquisa do Estado de Sao Paulo (FAPESP)(Fundacao de Amparo a Pesquisa do Estado de Sao Paulo (FAPESP))</t>
  </si>
  <si>
    <t>We thank Adriana Morales (Universidade de Sao Paulo) for her help with data collection, Thais Miranda, Tito Lotufo, Andre Morandini (Universidade de Sao Paulo), and our colleagues at the Marine Evolution Laboratory at the Universidade de Sao Paulo for discussions and suggestions. We are also grateful to two anonymous reviewers for helpful comments on the manuscript. MOF held Ph.D. scholarships from Fundacao de Amparo a Pesquisa do Estado de Sao Paulo (FAPESP 2013/10821-1; BEPE 2015/16948-9), Conselho Nacional de Desenvolvimento Cientifico e Tecnologico (CNPq 142052/2013-2), and Coordenacao de Aperfeicoamento de Pessoal de Nivel Superior (CAPES PDSE 6229/14-0). This study was funded by the projects (FAPESP 2011/50242-5) and (CNPq 305805/2013-4; 445444/2014-2).</t>
  </si>
  <si>
    <t>10.1016/j.dsr.2018.01.008</t>
  </si>
  <si>
    <t>WOS:000429293400004</t>
  </si>
  <si>
    <t>Romanov, YA; Romanova, NA</t>
  </si>
  <si>
    <t>Romanov, Yu. A.; Romanova, N. A.</t>
  </si>
  <si>
    <t>Icebergs in the Southern Ocean and Factors Defining Their Distribution</t>
  </si>
  <si>
    <t>Southern Ocean; icebergs; glacier productivity; currents; wind</t>
  </si>
  <si>
    <t>SECTOR</t>
  </si>
  <si>
    <t>Using the data of similar to 58 000 ship observations of Antarctic icebergs in 1947-2014, the map of average summertime concentration of icebergs (namely, of their number within a circle with the radius of 15 nautical miles) in the Southern Ocean was constructed. The main features of the iceberg distribution are revealed, and their possible reasons are investigated. It is shown that in the open ocean sea currents play a key role in the iceberg distribution. Wind effects are pronounced when ocean currents are weak or absent. According to the authors' estimates, wind plays a decisive role only in the formation of one wide quasimeridional tongue of high iceberg concentration in the Weddell Sea. It is difficult to assess the impact of Antarctic glaciers' productivity on the iceberg distribution, because currents, wind, and breaking and jamming of icebergs in shallow water areas cause their rapid redistribution. The clear physical explanation of the main features of iceberg concentration distribution on the constructed map indicates that it provides a rather real pattern.</t>
  </si>
  <si>
    <t>[Romanov, Yu. A.; Romanova, N. A.] Russian Acad Sci, Shirshov Inst Oceanol, Nakhimovskii Pr 36, Moscow 117997, Russia</t>
  </si>
  <si>
    <t>Romanov, YA (corresponding author), Russian Acad Sci, Shirshov Inst Oceanol, Nakhimovskii Pr 36, Moscow 117997, Russia.</t>
  </si>
  <si>
    <t>romanov@ocean.ru</t>
  </si>
  <si>
    <t>10.3103/S1068373918030068</t>
  </si>
  <si>
    <t>WOS:000429365200006</t>
  </si>
  <si>
    <t>Tozer, CR; Kiem, AS; Vance, TR; Roberts, JL; Curran, MAJ; Moy, AD</t>
  </si>
  <si>
    <t>Tozer, C. R.; Kiem, A. S.; Vance, T. R.; Roberts, J. L.; Curran, M. A. J.; Moy, A. D.</t>
  </si>
  <si>
    <t>Reconstructing pre-instrumental streamflow in Eastern Australia using a water balance approach</t>
  </si>
  <si>
    <t>JOURNAL OF HYDROLOGY</t>
  </si>
  <si>
    <t>Drought; Floods; Streamflow; Reconstruction; Paleoclimate; Budyko</t>
  </si>
  <si>
    <t>MULTI-DECADAL VARIABILITY; RAINFALL-RUNOFF MODELS; LAW DOME; CLIMATE-CHANGE; ICE CORE; INTERANNUAL VARIABILITY; SOUTHERN-OSCILLATION; ENSO TELECONNECTION; PACIFIC VARIABILITY; DROUGHT RISK</t>
  </si>
  <si>
    <t>Streamflow reconstructions based on paleoclimate proxies provide much longer records than the short instrumental period records on which water resource management plans are currently based. In Australia there is a lack of in-situ high resolution paleoclimate proxy records, but remote proxies with teleconnections to Australian climate have utility in producing streamflow reconstructions. Here we investigate, via a case study for a catchment in eastern Australia, the novel use of an Antarctic ice-core based rainfall reconstruction within a Budyko-framework to reconstruct similar to 1000 years of annual streamflow. The resulting stream-flow reconstruction captures interannual to decadal variability in the instrumental streamflow, validating both the use of the ice core rainfall proxy record and the Budyko-framework method. In the preinstrumental era the streamflow reconstruction shows longer wet and dry epochs and periods of streamflow variability that are higher than observed in the instrumental era. Importantly, for both the instrumental record and preinstrumental reconstructions, the wet (dry) epochs in the rainfall record are shorter (longer) in the streamflow record and this non-linearity must be considered when inferring hydroclimatic risk or historical water availability directly from rainfall proxy records alone. These insights provide a better understanding of present infrastructure vulnerability in the context of past climate variability for eastern Australia. The streamflow reconstruction presented here also provides a better understanding of the range of hydroclimatic variability possible, and therefore represents a more realistic baseline on which to quantify the potential impacts of anthropogenic climate change on water security. (C) 2018 Elsevier B.V. All rights reserved.</t>
  </si>
  <si>
    <t>[Tozer, C. R.] CSIRO, Oceans &amp; Atmosphere, Hobart, Tas 7000, Australia; [Kiem, A. S.] Univ Newcastle, CWCL, Callaghan, NSW 2308, Australia; [Vance, T. R.; Roberts, J. L.; Curran, M. A. J.; Moy, A. D.] Univ Tasmania, Antarctic Climate &amp; Ecosyst Cooperat Res Ctr, Private Bag 80, Hobart, Tas 7001, Australia; [Roberts, J. L.; Curran, M. A. J.; Moy, A. D.] Australian Antarctic Div, Kingston, Tas 7050, Australia</t>
  </si>
  <si>
    <t>Commonwealth Scientific &amp; Industrial Research Organisation (CSIRO); University of Newcastle; Antarctic Climate &amp; Ecosystems Cooperative Research Centre (ACE CRC); University of Tasmania; Australian Antarctic Division</t>
  </si>
  <si>
    <t>Tozer, CR (corresponding author), CSIRO, Oceans &amp; Atmosphere, Hobart, Tas 7000, Australia.</t>
  </si>
  <si>
    <t>carly.tozer@csiro.au</t>
  </si>
  <si>
    <t>Kiem, Anthony/D-9307-2013; Tozer, Carly R/E-9936-2013; Roberts, Jason L/B-2235-2012</t>
  </si>
  <si>
    <t>Kiem, Anthony/0000-0002-3994-6958; Tozer, Carly R/0000-0001-8605-5907; Roberts, Jason L/0000-0002-3477-4069; Vance, Tessa/0000-0001-6970-8646</t>
  </si>
  <si>
    <t>Australian Government's Cooperative Research Centres Programme through the Antarctic Climate and Ecosystems Cooperative Research Centre (ACE CRC); Australian Antarctic Division [4061, 4062]; Centre for Water, Climate and Land (CWCL) at the University of Newcastle</t>
  </si>
  <si>
    <t>Australian Government's Cooperative Research Centres Programme through the Antarctic Climate and Ecosystems Cooperative Research Centre (ACE CRC)(Australian GovernmentDepartment of Industry, Innovation and ScienceCooperative Research Centres (CRC) Programme); Australian Antarctic Division; Centre for Water, Climate and Land (CWCL) at the University of Newcastle</t>
  </si>
  <si>
    <t>This work was supported by the Australian Government's Cooperative Research Centres Programme through the Antarctic Climate and Ecosystems Cooperative Research Centre (ACE CRC). The Australian Antarctic Division provided funding and logistical support for the DSS ice cores (AAS projects 4061 and 4062). The Centre for Water, Climate and Land (CWCL) at the University of Newcastle provided funding for Tozer's salary. HydroTSM and HydroGOF (Zambrano Bigiarini, 2014) were used in R platform to perform some of the analysis presented here. Links to rainfall and stream flow data used in the analysis presented here are provided in Section 3. Law Dome summer sea salt data can be accessed from the Australian Antarctic Data Centre (https://data.aad.gov.au/metadata/records/summer_sea_salti 000-2009). The authors have no conflicts of interest to declare.</t>
  </si>
  <si>
    <t>0022-1694</t>
  </si>
  <si>
    <t>1879-2707</t>
  </si>
  <si>
    <t>J HYDROL</t>
  </si>
  <si>
    <t>J. Hydrol.</t>
  </si>
  <si>
    <t>10.1016/j.jhydrol.2018.01.064</t>
  </si>
  <si>
    <t>Engineering, Civil; Geosciences, Multidisciplinary; Water Resources</t>
  </si>
  <si>
    <t>Engineering; Geology; Water Resources</t>
  </si>
  <si>
    <t>FZ1LU</t>
  </si>
  <si>
    <t>WOS:000427338900050</t>
  </si>
  <si>
    <t>Waters, JM; King, TM; Fraser, CI; Craw, D</t>
  </si>
  <si>
    <t>Waters, Jonathan M.; King, Tania M.; Fraser, Ceridwen I.; Craw, Dave</t>
  </si>
  <si>
    <t>Crossing the front: contrasting storm-forced dispersal dynamics revealed by biological, geological and genetic analysis of beach-cast kelp</t>
  </si>
  <si>
    <t>JOURNAL OF THE ROYAL SOCIETY INTERFACE</t>
  </si>
  <si>
    <t>dispersal; geology; marine; oceanography; rafting; storm</t>
  </si>
  <si>
    <t>LONG-DISTANCE DISPERSAL; NEW-ZEALAND; MARINE BIOGEOGRAPHY; COASTAL TOPOGRAPHY; SOUTHERN-OCEAN; CONNECTIVITY; PHAEOPHYCEAE; POPULATIONS; HYPOTHESIS; PATTERNS</t>
  </si>
  <si>
    <t>The subtropical front (STF) generally represents a substantial oceanographic barrier to dispersal between cold-sub-Antarctic and warm-temperate water masses. Recent studies have suggested that storm events can drastically influence marine dispersal and patterns. Here we analyse biological and geological dispersal driven by two major, contrasting storm events in southern New Zealand, 2017. We integrate biological and physical data to show that a severe southerly system in July 2017 disrupted this barrier by promoting movement of substantial numbers of southern sub-Antarctic Durvillaea kelp rafts across the STF, to make landfall in mainland NZ. By contrast, a less intense easterly storm (Cyclone Cook, April 2017) resulted in more moderate dispersal distances, with minimal dispersal between the sub-Antarctic and mainland New Zealand. These quantitative analyses of approximately 200 freshly beach-cast kelp specimens indicate that storm intensity and wind direction can strongly influence marine dispersal and landfall outcomes.</t>
  </si>
  <si>
    <t>[Waters, Jonathan M.; King, Tania M.] Univ Otago, Dept Zool, 340 Great King St, Dunedin 9016, New Zealand; [Craw, Dave] Univ Otago, Dept Geol, 340 Great King St, Dunedin 9016, New Zealand; [Fraser, Ceridwen I.] Australian Natl Univ, Fenner Sch Environm &amp; Soc, Bldg 141 Daley Rd, Canberra, ACT 2601, Australia</t>
  </si>
  <si>
    <t>University of Otago; University of Otago; Australian National University</t>
  </si>
  <si>
    <t>Waters, JM (corresponding author), Univ Otago, Dept Zool, 340 Great King St, Dunedin 9016, New Zealand.</t>
  </si>
  <si>
    <t>jon.waters@otago.ac.nz</t>
  </si>
  <si>
    <t>Waters, Jonathan/B-4983-2009; King, Tania/C-2664-2018</t>
  </si>
  <si>
    <t>Waters, Jonathan/0000-0002-1514-7916; Fraser, Ceridwen/0000-0002-6918-8959</t>
  </si>
  <si>
    <t>University of Otago</t>
  </si>
  <si>
    <t>This work was supported by the University of Otago.</t>
  </si>
  <si>
    <t>1742-5689</t>
  </si>
  <si>
    <t>1742-5662</t>
  </si>
  <si>
    <t>J R SOC INTERFACE</t>
  </si>
  <si>
    <t>J. R. Soc. Interface</t>
  </si>
  <si>
    <t>10.1098/rsif.2018.0046</t>
  </si>
  <si>
    <t>GA8GH</t>
  </si>
  <si>
    <t>WOS:000428576200021</t>
  </si>
  <si>
    <t>Dorantes-Aranda, JJ; Tan, JYC; Hallegraeff, GM; Campbell, K; Ugalde, SC; Harwood, DT; Bartlett, JK; Campàs, M; Crooks, S; Gerssen, A; Harrison, K; Huet, AC; Jordan, TB; Koeberl, M; Monaghan, T; Murray, S; Nimmagadda, R; Ooms, C; Quinlan, RK; Shi, F; Turner, AD; Yaices, BJ; Turnbull, AR</t>
  </si>
  <si>
    <t>Dorantes-Aranda, Juan Jose; Tan, Jessica Y. C.; Hallegraeff, Gustaaf M.; Campbell, Katrina; Ugalde, Sarah C.; Harwood, D. Tim; Bartlett, Jill K.; Campas, Monica; Crooks, Steven; Gerssen, Arjen; Harrison, Keith; Huet, Anne-Catherine; Jordan, Timothy B.; Koeberl, Martina; Monaghan, Tim; Murray, Sam; Nimmagadda, Rama; Ooms, Coiunne; Quinlan, Rae K.; Shi, Feng; Turner, Andrew D.; Yaices, Betsy Jean; Turnbull, Alison R.</t>
  </si>
  <si>
    <t>Detection of Paralytic Shellfish Toxins in Mussels and Oysters Using the Qualitative Neogen Lateral-Flow Immunoassay: An Interlaboratory Study</t>
  </si>
  <si>
    <t>JOURNAL OF AOAC INTERNATIONAL</t>
  </si>
  <si>
    <t>OXIDATION LIQUID-CHROMATOGRAPHY; POISONING PSP TOXINS; STATISTICAL-MODEL; CRASSOSTREA-GIGAS; BIVALVE MOLLUSKS; RAPID TEST; TEST KITS; VALIDATION; SAXITOXIN; TRANSFORMATION</t>
  </si>
  <si>
    <t>Paralytic shellfish toxins (PSTs) in bivalve molluscs represent a public health risk and are controlled via compliance with a regulatory limit of 0.8 mg saxitoxin (STX)center dot 2HCl equivalents per kilogram of shellfish meat (eq/kg). Shellfish industries would benefit from the use of rapid immunological screening tests for PSTs to be used for regulation, but to date none have been fully validated. An interlaboratory study involving 16 laboratories was performed to determine the suitability of the Neogen test to detect PSTs in mussels and oysters. Participants performed the standard protocol recommended by the manufacturer and a modified protocol with a conversion step to improve detection of gonyautoxin 1&amp;4. The statistical analysis showed that the protocols had good homogeneity across all laboratories, with satisfactory repeatability, laboratory, and reproducibility variation near the regulatory level. The mean probability of detection (POD) at 0.8 mg STX center dot 2HCl eq/kg using the standard protocol in mussels and oysters was 0.966 and 0.997, respectively, and 0.968 and 0.966 using the modified protocol. The estimated LOD in mussels was 0.316 mg STX center dot 2HCl eq/kg with the standard and 0.682 mg STX center dot 2HCl eq/kg with the modified protocol, and 0.710 and 0.734 mg STX center dot 2HCl eq/kg for oysters, respectively. The Neogen test may be acceptable for regulatory purposes for oysters in accordance with European Commission directives in which the standard protocol provides, at the regulatory level, a probability of a negative response of 0.033 on 95% of occasions. Its use for mussels is less consistent at the regulatory level due to the wide prediction interval around the POD.</t>
  </si>
  <si>
    <t>[Dorantes-Aranda, Juan Jose; Hallegraeff, Gustaaf M.; Ugalde, Sarah C.; Quinlan, Rae K.] Univ Tasmania, Inst Marine &amp; Antarctic Studies, Private Bag 129, Hobart, Tas 7001, Australia; [Tan, Jessica Y. C.; Turnbull, Alison R.] South Australian Res &amp; Dev Inst, 2b Hartley Grv, Urrbrae, SA 5064, Australia; [Campbell, Katrina] Queens Univ Belfast, Inst Global Food Secur, Sch Biol Sci, David Keir Bldg,Stranmillis Rd, Belfast BT9 5AG, Antrim, North Ireland; [Harwood, D. Tim] Cawthron Inst, 98 Halifax St, Nelson 7010, New Zealand; [Bartlett, Jill K.] Univ Canberra, Inst Appl Ecol, Canberra, ACT 2617, Australia; [Campas, Monica] IRTA, Carretera Poble Nou,Km 5-5, St Carles De La Rapita, Spain; [Crooks, Steven] Agri Food &amp; Biosci Inst, Vet Sci Div, Belfast, Antrim, North Ireland; [Gerssen, Arjen] Wageningen Univ &amp; Res, RIKILT, Wageningen, Netherlands; [Harrison, Keith; Turner, Andrew D.] Ctr Environm Fisheries &amp; Aquaculture Sci, Barrack Rd, Weymouth DT4 8UB, Dorset, England; [Huet, Anne-Catherine] CER Grp, Hlth Dept, Rue Point Jour 8, B-6900 Marloie, Belgium; [Jordan, Timothy B.] Analyt Serv Tasmania, 18 St Johns Ave, Hobart, Tas 7008, Australia; [Koeberl, Martina] Natl Measurement Inst, 1-153 Bertie St, Port Melbourne, Vic 3207, Australia; [Monaghan, Tim] Cameron Tasmania, 145-149 Arthur Hwy, Dunalley, Tas 7177, Australia; [Murray, Sam] Cawthron Inst, 98 Halifax St, Nelson 7010, New Zealand; [Nimmagadda, Rama; Shi, Feng] Adv Analyt Australia Pty Ltd, 11 Julius Ave, N Ryde, NSW 2113, Australia; [Ooms, Coiunne] Spring Bay Seafoods, 488 Freestone Point Rd, Triabunna, Tas 7190, Australia; [Yaices, Betsy Jean] USDA, Ctr Food Safety &amp; Appl Nutr, Off Regulatory Sci, College Pk, MD USA</t>
  </si>
  <si>
    <t>University of Tasmania; South Australian Research &amp; Development Institute (SARDI); Queens University Belfast; Cawthron Institute; University of Canberra; IRTA; Agri-Food &amp; Biosciences Institute; Wageningen University &amp; Research; Centre for Environment Fisheries &amp; Aquaculture Science; National Measurement Institute Australia - NMI; Cawthron Institute; US Food &amp; Drug Administration (FDA); United States Department of Agriculture (USDA)</t>
  </si>
  <si>
    <t>Dorantes-Aranda, JJ (corresponding author), Univ Tasmania, Inst Marine &amp; Antarctic Studies, Private Bag 129, Hobart, Tas 7001, Australia.</t>
  </si>
  <si>
    <t>juanjodorantes@gmail.com</t>
  </si>
  <si>
    <t>Harwood, Tim/H-3636-2012; Dorantes-Aranda, Juan Jose/J-7737-2014; Campbell, Katrina/AAY-8103-2020; Shi, Feng/G-3247-2012; Turner, Andrew/J-5658-2015; Hallegraeff, Gustaaf/C-8351-2013; Campas, Monica/J-9900-2013</t>
  </si>
  <si>
    <t>Campbell, Katrina/0000-0002-5994-2524; Gerssen, Arjen/0000-0003-4271-1516; Turner, Andrew/0000-0003-1390-0924; Hallegraeff, Gustaaf/0000-0001-8464-7343; Dorantes-Aranda, Juan J./0000-0003-1513-6501; Campas, Monica/0000-0002-1220-7100; Turnbull, Alison/0000-0001-5701-8728; Koeberl, Martina/0000-0002-1790-743X</t>
  </si>
  <si>
    <t>SafeFish, the Fisheries Research and Development Corporation; Australian Department of Agriculture and Water Resources</t>
  </si>
  <si>
    <t>SafeFish, the Fisheries Research and Development Corporation; Australian Department of Agriculture and Water Resources(Australian Government)</t>
  </si>
  <si>
    <t>This work was funded by SafeFish, the Fisheries Research and Development Corporation, and the Australian Department of Agriculture and Water Resources.</t>
  </si>
  <si>
    <t>AOAC INT</t>
  </si>
  <si>
    <t>GAITHERSBURG</t>
  </si>
  <si>
    <t>481 N FREDRICK AVE, STE 500, GAITHERSBURG, MD 20877-2504 USA</t>
  </si>
  <si>
    <t>1060-3271</t>
  </si>
  <si>
    <t>1944-7922</t>
  </si>
  <si>
    <t>J AOAC INT</t>
  </si>
  <si>
    <t>J. AOAC Int.</t>
  </si>
  <si>
    <t>10.5740/jaoacint.17-0221</t>
  </si>
  <si>
    <t>Chemistry, Analytical; Food Science &amp; Technology</t>
  </si>
  <si>
    <t>Chemistry; Food Science &amp; Technology</t>
  </si>
  <si>
    <t>FZ7TG</t>
  </si>
  <si>
    <t>WOS:000427806400018</t>
  </si>
  <si>
    <t>Turnbull, AR; Tan, JYC; Ugalde, SC; Hallegraeff, GM; Campbell, K; Harwood, DT; Dorantes-Aranda, JJ</t>
  </si>
  <si>
    <t>Turnbull, Alison R.; Tan, Jessica Y. C.; Ugalde, Sarah C.; Hallegraeff, Gustaaf M.; Campbell, Katrina; Harwood, D. Tim; Dorantes-Aranda, Juan Jose</t>
  </si>
  <si>
    <t>Single-Laboratory Validation of the Neogen Qualitative Lateral Flow Immunoassay for the Detection of Paralytic Shellfish Toxins in Mussels and Oysters</t>
  </si>
  <si>
    <t>LIQUID-CHROMATOGRAPHY; POISONING TOXINS; DECARBAMOYL SAXITOXIN; STATISTICAL-MODEL; BIVALVE MOLLUSKS; TEST KITS; PERFORMANCE; QUANTITATION; PROBABILITY; COMPONENTS</t>
  </si>
  <si>
    <t>Detection of paralytic shellfish toxins (PSTs) in bivalve shellfish by analytical methods is complicated and costly, requiring specific expertise and equipment. Following extensive blooms of Alexandrium tamarense Group 1 in Tasmania, Australia, an investigation was made into commercially available screening test kits suitable for use with the toxin profiles found in affected bivalves. The qualitative Neogen rapid test kit, with a modified protocol to convert gonyautoxins GTX1&amp;4 and GTX2&amp;3 into neosaxitoxin and saxitoxin (STX), respectively, with higher cross-reactivities, was the best fit-for-purpose. This validation study of the test kit and the modified protocol was undertaken following AOAC INTERNATIONAL guidelines for the validation of qualitative binary chemistry methods. The validation used four different PST profiles representing natural profiles found in Australia and in Europe: two in a mussel matrix and two in an oyster matrix. The test kit was shown to have appropriate selectivity of the toxin analogs commonly found in bivalve shellfish. The matrix and probability of detection (POD) study showed that the rapid test kit used with the modified protocol was able to consistently detect PST at the bivalve regulatory level of 0.8 mg STX center dot 2HCl eq/kg, with a POD estimated via the binomial logistic regression of 1.0 at 0.8 mg STX center dot 2HCl eq/kg in all tested profiles in both matrixes. The POD at 0.4 mg STX center dot 2HCl eq/kg was 0.75 and 0.46 for the two toxin profiles in an oyster matrix and 0.96 and 1.0 for the two toxin profiles in a mussel matrix. No significant differences in the PODs of the PSTs at the regulatory level were found between production lots of the test kits. The results suggest the method is suitable to undergo a collaborative validation study.</t>
  </si>
  <si>
    <t>[Turnbull, Alison R.; Tan, Jessica Y. C.] South Australian Res &amp; Dev Inst, 2b Hartley Grove, Urrbrae, SA 5064, Australia; [Ugalde, Sarah C.; Hallegraeff, Gustaaf M.; Dorantes-Aranda, Juan Jose] Univ Tasmania, Inst Marine &amp; Antarctic Studies, Private Bag 129, Hobart, Tas 7001, Australia; [Campbell, Katrina] Queens Univ Belfast, Inst Global Food Secur, Sch Biol Sci, David Keir Bldg,Stranmillis Rd, Belfast BT9 5AG, Antrim, North Ireland; [Harwood, D. Tim] Cawthron Inst, 98 Halifax St, Nelson 7010, New Zealand</t>
  </si>
  <si>
    <t>South Australian Research &amp; Development Institute (SARDI); University of Tasmania; Queens University Belfast; Cawthron Institute</t>
  </si>
  <si>
    <t>Turnbull, AR (corresponding author), South Australian Res &amp; Dev Inst, 2b Hartley Grove, Urrbrae, SA 5064, Australia.</t>
  </si>
  <si>
    <t>alison.tumbull@sa.gov.au</t>
  </si>
  <si>
    <t>Harwood, Tim/H-3636-2012; Campbell, Katrina/AAY-8103-2020; Dorantes-Aranda, Juan Jose/J-7737-2014; Hallegraeff, Gustaaf/C-8351-2013</t>
  </si>
  <si>
    <t>Campbell, Katrina/0000-0002-5994-2524; Hallegraeff, Gustaaf/0000-0001-8464-7343; Dorantes-Aranda, Juan J./0000-0003-1513-6501; Turnbull, Alison/0000-0001-5701-8728</t>
  </si>
  <si>
    <t>SafeFish; Australian Department of Agriculture and Water Resources</t>
  </si>
  <si>
    <t>SafeFish; Australian Department of Agriculture and Water Resources(Australian Government)</t>
  </si>
  <si>
    <t>This work was funded by SafeFish and the Australian Department of Agriculture and Water Resources.</t>
  </si>
  <si>
    <t>10.5740/jaoacint.17-0135</t>
  </si>
  <si>
    <t>WOS:000427806400019</t>
  </si>
  <si>
    <t>Verma, K; Bharti, SK; Singh, AD</t>
  </si>
  <si>
    <t>Verma, K.; Bharti, S. K.; Singh, A. D.</t>
  </si>
  <si>
    <t>Late Glacial-Holocene record of benthic foraminiferal morphogroups from the eastern Arabian Sea OMZ: Paleoenvironmental implications</t>
  </si>
  <si>
    <t>Paleontology; benthic foraminifera; oxygen minimum zone; Arabian Sea</t>
  </si>
  <si>
    <t>OXYGEN MINIMUM ZONE; ORGANIC-CARBON FLUX; CENTRAL WEST-COAST; CONTINENTAL-MARGIN; PLANKTONIC-FORAMINIFERA; PRIMARY PRODUCTIVITY; PROXY; SLOPE; PRESERVATION; VARIABILITY</t>
  </si>
  <si>
    <t>The Arabian Sea is characterized today by a well-developed and perennial oxygen minimum zone (OMZ) at mid-water depths. The Indian margin where the OMZ impinges provides sediment records ideal to study past changes in the OMZ intensity and its vertical extent in response to the changes of monsoondriven primary productivity and intermediate water ventilation. Benthic foraminifera, depending upon their adaptation capabilities to variation in sea floor environment and microhabitat preferences, develop various functional morphologies that can be potentially used in paleoenvironmental reconstruction. In this study, we analysed benthic foraminiferal morphogroups in assemblage records of the last 30 ka in a sediment core collected from the lower OMZ of the Indian margin (off Goa). In total, nine morphogroups within two broadly classified epifaunal and infaunal microhabitat categories are identified. The abundance of morphogroups varies significantly during the late Glacial, Deglacial and Holocene. It appears that monsoon wind driven organic matter flux, and water column ventilation governing the OMZ intensity and sea-bottom oxygen condition, have profound influence on structuring the benthic foraminiferal morphogroups. We found a few morphogroups showing major changes in their abundances during the periods corresponding to the northern hemisphere climatic events. Benthic foraminifera with planoconvex tests are abundant during the cold Heinrich events, when the sea bottom was oxygenated due to a better ventilated, weak OMZ; whereas, those having tapered/cylindrical tests dominate during the last glacial maximum and the Holocene between 5 and 8 ka BP, when the OMZ was intensified and poorly ventilated, leading to oxygen-depleted benthic environment. Characteristically, increased abundance of taxa with milioline tests during the Heinrich 1 further suggests enhanced ventilation attributed probably to the influence of oxygen-rich Antarctic Intermediate Water (AAIW).</t>
  </si>
  <si>
    <t>[Verma, K.; Bharti, S. K.; Singh, A. D.] Banaras Hindu Univ, Ctr Adv Study Geol, Varanasi 221005, Uttar Pradesh, India; [Bharti, S. K.] Geol Survey India, Paleontol Div CHQ 1, 15 A&amp;B Kyd St, Kolkata 700016, India</t>
  </si>
  <si>
    <t>Banaras Hindu University (BHU); Geological Survey India</t>
  </si>
  <si>
    <t>Singh, AD (corresponding author), Banaras Hindu Univ, Ctr Adv Study Geol, Varanasi 221005, Uttar Pradesh, India.</t>
  </si>
  <si>
    <t>arundeosingh@yahoo.com</t>
  </si>
  <si>
    <t>Indian Space Research Organisation (ISRO-GBP), Government of India, New Delhi; Department of Science and Technology, Government of India, New Delhi [SR/S4/ES-30/2002]; University Grants Commission, New Delhi</t>
  </si>
  <si>
    <t>Indian Space Research Organisation (ISRO-GBP), Government of India, New Delhi; Department of Science and Technology, Government of India, New Delhi(Department of Science &amp; Technology (India)); University Grants Commission, New Delhi(University Grants Commission, India)</t>
  </si>
  <si>
    <t>This work was supported by the grants from the Indian Space Research Organisation (ISRO-GBP) and the Department of Science and Technology (Project no. SR/S4/ES-30/2002), Government of India, New Delhi. KV thanks the University Grants Commission, New Delhi for the BSR UGC-RFSMS Fellowship. We thank two anonymous referees for their constructive reviews that have helped to improve the manuscript.</t>
  </si>
  <si>
    <t>10.1007/s12040-018-0920-9</t>
  </si>
  <si>
    <t>WOS:000428310600006</t>
  </si>
  <si>
    <t>Egger, LM; Bahr, A; Friedrich, O; Wilson, PA; Norris, RD; van Peer, TE; Lippert, PC; Liebrand, D; Pross, J</t>
  </si>
  <si>
    <t>Egger, Lisa M.; Bahr, Andre; Friedrich, Oliver; Wilson, Paul A.; Norris, Richard D.; van Peer, Tim E.; Lippert, Peter C.; Liebrand, Diederik; Pross, Joerg</t>
  </si>
  <si>
    <t>Sea-level and surface-water change in the western North Atlantic across the Oligocene-Miocene Transition: A palynological perspective from IODP Site U1406 (Newfoundland margin)</t>
  </si>
  <si>
    <t>Oligocene-Miocene Transition; Dinoflagellate cysts; North Atlantic Ocean; Sea level; Integrated Ocean Drilling Program</t>
  </si>
  <si>
    <t>WALLED DINOFLAGELLATE CYSTS; ANTARCTIC ICE-SHEET; MIDDLE MIOCENE; CARBON-CYCLE; LATE EOCENE; STABLE-ISOTOPES; SEDIMENT DRIFTS; LATE PLIOCENE; LEG 171B; PALEOECOLOGY</t>
  </si>
  <si>
    <t>The Oligocene-Miocene transition (OMT; similar to 23.1 Ma) terminates the late Oligocene warming trend and is marked by a transient, large-amplitude expansion of Antarctic ice sheets. The associated glacial maximum, which is expressed by a similar to 1 positive shift in benthic foraminiferal oxygen-isotope values, is commonly referred to as the 'Mi-1 isotope event'. Whereas the causes for the glacial maximum at the OMT are intrinsically connected to Southern Hemisphere ice-sheet dynamics, the behavior of the surface ocean in the Northern Hemisphere during this time is poorly known. To contribute to a better understanding of the paleoceanographic evolution during the OMT in the higher-latitude North Atlantic, we have analysed both marine and terrestrial palynomorphs from Integrated Ocean Drilling Program (IODP) Site U1406 offshore Newfoundland; this site has yielded a complete OMT section and exhibits a high-quality magnetostratigraphy that provides precise age control and allows reliable correlation to other records beyond Newfoundland. Our palynological data, which span the interval from 23.3 to 22.5 Ma and have a mean temporal resolution of 11.9 kyrs, show strong similar to 110-kyr eccentricity-paced oscillations during the earliest Miocene; these oscillations are in phase with similar cyclicity identified in previously published benthic foraminiferal oxygen-isotope records. More specifically, a pronounced sea-level variability is documented by the abundances of neritic dinoflagellate cysts (dinocysts) and terrigenous palynomorphs, which both reach maxima during peak glacial intervals as inferred from previously published South Atlantic benthic oxygen-isotope data. A decline in the abundance of warmer-water dinocysts suggests a surface-water cooling offshore Newfoundland from the latest Oligocene onwards. Surface-water productivity (as derived from the ratio between heterotrophic and autotrophic dinocysts) remained generally low throughout the studied interval. Notably, this ratio does not exhibit any correlation with changes in surface-water temperature, which is estimated from the ratio of warm-water over cold-water dinocysts. Together with the consistently low surface-water productivity, the lack of a correlation between surface-water productivity and temperature makes it highly unlikely that the observed paleoceanographic change was caused by a southward migration of the Arctic Front. Instead, we argue that our data may document an enhanced influence of the (Proto-) Labrador Current on surface waters offshore Newfoundland during the earliest Miocene that suppressed the influence of the Gulf Stream in this region of the Northwest Atlantic. We speculate that the enhanced influence of the (Proto-) Labrador Current was triggered by cooling of the northern hemisphere and possibly modulated by high-latitude sea-ice expansion.</t>
  </si>
  <si>
    <t>[Egger, Lisa M.; Bahr, Andre; Friedrich, Oliver; Pross, Joerg] Heidelberg Univ, Inst Earth Sci, Neuenheimer Feld 234-236, D-69120 Heidelberg, Germany; [Wilson, Paul A.; van Peer, Tim E.; Liebrand, Diederik] Univ Southampton, Natl Oceanog Ctr, Waterfront Campus,European Way, Southampton SO14 3ZH, Hants, England; [Norris, Richard D.] Univ Calif San Diego, Scripps Inst Oceanog, 9500 Gilman Dr, La Jolla, CA 92093 USA; [Lippert, Peter C.] Univ Utah, Dept Geol &amp; Geophys, Frederick A Sutton Bldg,115 S 1460 E, Salt Lake City, UT 84112 USA</t>
  </si>
  <si>
    <t>Ruprecht Karls University Heidelberg; NERC National Oceanography Centre; University of Southampton; University of California System; University of California San Diego; Scripps Institution of Oceanography; Utah System of Higher Education; University of Utah</t>
  </si>
  <si>
    <t>Egger, LM (corresponding author), Heidelberg Univ, Inst Earth Sci, Neuenheimer Feld 234-236, D-69120 Heidelberg, Germany.</t>
  </si>
  <si>
    <t>lisa.egger@geow.uni-heidelberg.de</t>
  </si>
  <si>
    <t>Lieband, Diederik/AAT-2004-2021; van Peer, Tim E./R-8157-2016</t>
  </si>
  <si>
    <t>Lieband, Diederik/0000-0002-6925-7889; van Peer, Tim E./0000-0003-3516-4198; Wilson, Paul/0000-0001-6425-8906; Bahr, Andre/0000-0001-5890-8773</t>
  </si>
  <si>
    <t>U.S. National Science Foundation; management of Joint Oceanographic Institutions Inc.; German Research Foundation (DFG) [PR 651/16, FR 2544/8]; Royal Society; NERC [NE/K006800/1, NE/K014137/1] Funding Source: UKRI; Natural Environment Research Council [NE/K014137/1, NE/K006800/1] Funding Source: researchfish</t>
  </si>
  <si>
    <t>U.S. National Science Foundation(National Science Foundation (NSF)); management of Joint Oceanographic Institutions Inc.; German Research Foundation (DFG)(German Research Foundation (DFG)); Royal Society(Royal Society); NERC(UK Research &amp; Innovation (UKRI)Natural Environment Research Council (NERC)); Natural Environment Research Council(UK Research &amp; Innovation (UKRI)Natural Environment Research Council (NERC))</t>
  </si>
  <si>
    <t>This research used samples and data provided by the Integrated Ocean Drilling Program, which was sponsored by the U.S. National Science Foundation and participating countries under management of Joint Oceanographic Institutions Inc. Invaluable support of the members of the IODP Expedition 342 Science Party is gratefully acknowledged. Malcolm Jones is thanked for technical support. This study was funded through the German Research Foundation (DFG; grants PR 651/16 and FR 2544/8 to J.P. and O.F., respectively). P.A.W. acknowledges NERC-UK IODP and a Royal Society Wolfson Award.</t>
  </si>
  <si>
    <t>10.1016/j.marmicro.2017.11.003</t>
  </si>
  <si>
    <t>WOS:000428101000004</t>
  </si>
  <si>
    <t>Burger, F; Brock, B; Montecinos, A</t>
  </si>
  <si>
    <t>Burger, F.; Brock, B.; Montecinos, A.</t>
  </si>
  <si>
    <t>Seasonal and elevational contrasts in temperature trends in Central Chile between 1979 and 2015</t>
  </si>
  <si>
    <t>Central Chile; Temperature trends; Climate change; Pacific influence; Seasonality</t>
  </si>
  <si>
    <t>WESTERN SLOPE; CENTRAL ANDES; HOMOGENEITY TEST; CLIMATE-CHANGE; NORTE GLACIER; ATMOSPHERE; OSCILLATION; VARIABILITY; ATTRIBUTION; STREAMFLOW</t>
  </si>
  <si>
    <t>We analyze trends in temperature from 18 temperature stations and one upper air sounding site at 30-35 S in central Chile between 1979-2015, to explore geographical and season temperature trends and their controls, using regional ocean-atmosphere indices. Significant warming trends are widespread at inland stations, while trends are non-significant or negative at coastal sites, as found in previous studies. However, ubiquitous warming across the region in the past 8 years, suggests the recent period of coastal cooling has ended. Significant warming trends are largely restricted to austral spring, summer and autumn seasons, with very few significant positive or negative trends in winter identified. Autumn warming is notably strong in the Andes, which, together with significant warming in spring, could help to explain the negative mass balance of snow and glaciers in the region. A strong Pacific maritime influence on regional temperature trends is inferred through correlation with the Interdecadal Pacific Oscillation (IPO) index and coastal sea surface temperature, but the strength of this influence rapidly diminishes inland, and the majority of valley, and all Andes, sites are independent of the IPO index. Instead, valley and Andes sites, and mid-troposphere temperature in the coastal radiosonde profile, show correlation with the autumn Antarctic Oscillation which, in its current positive phase, promotes subsidence and warming at the latitude of central Chile.</t>
  </si>
  <si>
    <t>[Burger, F.; Brock, B.] Northumbria Univ, Dept Geog &amp; Environm Sci, Newcastle Upon Tyne NE1 8ST, Tyne &amp; Wear, England; [Montecinos, A.] Univ Concepcion, Dept Geophys, Water Res Ctr Agr &amp; Min, Concepcion, Chile</t>
  </si>
  <si>
    <t>Northumbria University; Universidad de Concepcion</t>
  </si>
  <si>
    <t>Burger, F (corresponding author), Northumbria Univ, Dept Geog &amp; Environm Sci, Newcastle Upon Tyne NE1 8ST, Tyne &amp; Wear, England.</t>
  </si>
  <si>
    <t>flavia.burger@northumbria.ac.uk; benjamin.brock@northumbria.ac.uk; amonteci@dgeo.udec.cl</t>
  </si>
  <si>
    <t>Brock, Benjamin William/D-9976-2016</t>
  </si>
  <si>
    <t>Brock, Benjamin William/0000-0002-5377-0776; Montecinos, Aldo/0000-0002-2598-5147</t>
  </si>
  <si>
    <t>Comision Nacional de Investigacion Cientifica y Tecnologia de Chile, (CONICYT); [CHRIAM/CONICYT/FONDAP-15130015]</t>
  </si>
  <si>
    <t>Comision Nacional de Investigacion Cientifica y Tecnologia de Chile, (CONICYT);</t>
  </si>
  <si>
    <t>Climatology data were provided by the Chilean Water Authority (Direccion General de Aguas, DGA), the weather service (Direccion Meteorologica de Chile, DMC). F.B. acknowledges Becas Chile scholarship from the Comision Nacional de Investigacion Cientifica y Tecnologia de Chile, (CONICYT). A.M. was partially supported by CHRIAM/CONICYT/FONDAP-15130015. The IPO index was downloaded from (http://www.esrl.noaa.gov/psd/data/timeseries/IPOTPI/). The AAO index, was provided by NOAA http://www.cpc.ncep.noaa.gov/products/precip/CWlink/daily_ao_index/aao/aao.shtml</t>
  </si>
  <si>
    <t>10.1016/j.gloplacha.2018.01.005</t>
  </si>
  <si>
    <t>GA0JS</t>
  </si>
  <si>
    <t>WOS:000427999900011</t>
  </si>
  <si>
    <t>Toreno, G; Isola, D; Meloni, P; Carcangiu, G; Selbmann, L; Onofri, S; Caneva, G; Zucconi, L</t>
  </si>
  <si>
    <t>Toreno, Georgia; Isola, Daniela; Meloni, Paola; Carcangiu, Gianfranco; Selbmann, Laura; Onofri, Silvano; Caneva, Giulia; Zucconi, Laura</t>
  </si>
  <si>
    <t>Biological colonization on stone monuments: A new low impact cleaning method</t>
  </si>
  <si>
    <t>JOURNAL OF CULTURAL HERITAGE</t>
  </si>
  <si>
    <t>Biocides; Black fungi; Cyanobacteria; Dimethyl sulfoxide; Lichens; Solvent gels</t>
  </si>
  <si>
    <t>DIMETHYL-SULFOXIDE; CULTURAL-HERITAGE; DIMETHYLSULFOXIDE DMSO; MEDITERRANEAN BASIN; PART I; BIODETERIORATION; FUNGI; ROCK; DETERIORATION; CYANOBACTERIA</t>
  </si>
  <si>
    <t>In restoration and conservation practices, biocide treatments are considered one of the most practical approaches to remove biological colonization on artworks, including stone. Numerous studies have focused on the short- and long-term effects of these treatments and recently many alternative methods to reduce their potential hazards to human health and the environment have been proposed. In this study, a solvent gel containing dimethyl sulfoxide (DMSO), already used to clean paintings, was applied on colonized marble artifacts at the monumental cemetery of Bonaria (Cagliari - Italy) to remove biological patinas. The protocol efficiency was evaluated by scanning electronic microscopy, rugosimetric and colorimetric measurements and growth tests. A comparative study also was performed to validate the method using biocides currently used in conservation. The results demonstrate that DMSO solvent gel is efficient at removing patinas on stone, of low impact, easy to use, inexpensive and can be considered a more practical alternative to biocide treatments. (C) 2017 Elsevier Masson SAS. All rights reserved.</t>
  </si>
  <si>
    <t>[Toreno, Georgia; Meloni, Paola] Univ Cagliari, DIMCM, Via Marengo 2, I-09123 Cagliari, Italy; [Toreno, Georgia; Meloni, Paola] Univ Cagliari, Lab Colle Bonaria, Via Ravenna Snc, I-09125 Cagliari, Italy; [Isola, Daniela; Selbmann, Laura; Onofri, Silvano; Zucconi, Laura] Univ Tuscia, Dipartimento Sci Ecol &amp; Biol DEB, I-01100 Viterbo, Italy; [Carcangiu, Gianfranco] ISAC, Via P Gobetti 101, I-40129 Bologna, Italy; [Caneva, Giulia] Univ Roma Tre, Dipartimento Sci, Viale G Marconi 446, I-00146 Rome, Italy</t>
  </si>
  <si>
    <t>University of Cagliari; University of Cagliari; Tuscia University; Consiglio Nazionale delle Ricerche (CNR); Istituto di Scienze dell'Atmosfera e del Clima (ISAC-CNR); Roma Tre University</t>
  </si>
  <si>
    <t>Isola, D (corresponding author), Univ Tuscia, Dipartimento Sci Ecol &amp; Biol DEB, I-01100 Viterbo, Italy.</t>
  </si>
  <si>
    <t>georgia.toreno@gmail.com; isola@unitus.it; paola.meloni@unica.it; g.carcangiu@isac.cnr.it; selbmann@unitus.it; onofri@unitus.it; giulia.caneva@uniroma3.it; zucconi@unitus.it</t>
  </si>
  <si>
    <t>Isola, Daniela/AAX-5814-2020; Zucconi, L./U-9781-2018</t>
  </si>
  <si>
    <t>Isola, Daniela/0000-0002-5069-6056; Zucconi, L./0000-0001-9793-2303; ONOFRI, Silvano/0000-0001-8872-1440</t>
  </si>
  <si>
    <t>Regione Autonoma della Sardegna; Ordine Nazionale dei Biologi; Italian National Antarctic Museum Felice Ippolito</t>
  </si>
  <si>
    <t>Regione Autonoma della Sardegna(Regione Sardegna); Ordine Nazionale dei Biologi; Italian National Antarctic Museum Felice Ippolito</t>
  </si>
  <si>
    <t>We thank the Regione Autonoma della Sardegna for the financial support (POR Sardegna FSE Operational Programme of the Autonomous Region of Sardinia, European Social Fund 2007-2013 Axis IV Human Resources, Objective l.3, Line of Activity l.3.1 Avviso di chiamata per il finanziamento di Assegni di Ricerca) of the project Conoscenza, restauro e conservazione delle opere d'arte e delle architetture negli spazi della memoria in Sardegna and the Ordine Nazionale dei Biologi for funding a scholarship for the project Fungal deteriogens and stone monuments.; The Italian National Antarctic Museum Felice Ippolito is kindly acknowledged for funding Culture Collection of Fungi From Extreme Environments (CCFEE), Prof. Sonia Ravera (University of Molise, Italy) for the determination of lichens, Manuela Chia and Ludovica Casnedi for rugosimetric measurements and Dr. Steve Emslie for the English revision of the manuscript.</t>
  </si>
  <si>
    <t>1296-2074</t>
  </si>
  <si>
    <t>1778-3674</t>
  </si>
  <si>
    <t>J CULT HERIT</t>
  </si>
  <si>
    <t>J. Cult. Herit.</t>
  </si>
  <si>
    <t>10.1016/j.culher.2017.09.004</t>
  </si>
  <si>
    <t>Archaeology; Art; Chemistry, Analytical; Geosciences, Multidisciplinary; Materials Science, Multidisciplinary; Spectroscopy</t>
  </si>
  <si>
    <t>Science Citation Index Expanded (SCI-EXPANDED); Arts &amp; Humanities Citation Index (A&amp;HCI)</t>
  </si>
  <si>
    <t>Archaeology; Art; Chemistry; Geology; Materials Science; Spectroscopy</t>
  </si>
  <si>
    <t>FZ4RU</t>
  </si>
  <si>
    <t>WOS:000427580300012</t>
  </si>
  <si>
    <t>Borisov, DG; Murdmaa, IO</t>
  </si>
  <si>
    <t>Borisov, D. G.; Murdmaa, I. O.</t>
  </si>
  <si>
    <t>Seismic stratigraphy of the Upper Quaternary deposits on the northeastern slope of the Ceara Rise (Central Atlantic)</t>
  </si>
  <si>
    <t>RUSSIAN GEOLOGY AND GEOPHYSICS</t>
  </si>
  <si>
    <t>seismic profiling; contourites; turbidites; bottom currents; reflectors; Ocean Drilling Program</t>
  </si>
  <si>
    <t>ANTARCTIC BOTTOM WATER; WESTERN EQUATORIAL ATLANTIC; ECHO CHARACTER; PARTICLE-SIZE; SEDIMENTS; BASIN; FLUX</t>
  </si>
  <si>
    <t>This study is focused on interpretation of ultrahigh-resolution seismoacoustic data from the northeastern slope of the Ceara Rise ( Central Atlantic) acquired using the SES 2000 deep parametric narrow-beam subbottom profiler during cruise 35 of RV Akademik Ioffe in 2011. The geologic nature of most of the detected reflectors is constrained by correlation of the results of seismoacoustic profiling with core data collected in frame of the Ocean Drilling Program (ODP site 929A-E). Detailed seismostratigraphic study of the Upper Quaternary deposits in the study area has implications for better understanding of the role of gravity flows and bottom currents in sedimentation on the NE slope of the rise for the past 1.2 Myr. (C) 2018, V.S. Sobolev IGM, Siberian Branch of the RAS. Published by Elsevier B.V. All rights reserved.</t>
  </si>
  <si>
    <t>[Borisov, D. G.; Murdmaa, I. O.] Russian Acad Sci, Shirshov Inst Oceanol, Nakhimovskiy Pr 36, Moscow 117997, Russia</t>
  </si>
  <si>
    <t>Borisov, DG (corresponding author), Russian Acad Sci, Shirshov Inst Oceanol, Nakhimovskiy Pr 36, Moscow 117997, Russia.</t>
  </si>
  <si>
    <t>dborisov@ocean.ru</t>
  </si>
  <si>
    <t>Borisov, Dmitrii/Y-9194-2019; Murdmaa, Ivar/T-3538-2017</t>
  </si>
  <si>
    <t>Borisov, Dmitrii/0000-0001-8109-6603;</t>
  </si>
  <si>
    <t>Russian Foundation for Basic Research [16-35-60111 mol_a_dk]</t>
  </si>
  <si>
    <t>This study is supported by the Russian Foundation for Basic Research, project 16-35-60111 mol_a_dk.</t>
  </si>
  <si>
    <t>1068-7971</t>
  </si>
  <si>
    <t>1878-030X</t>
  </si>
  <si>
    <t>RUSS GEOL GEOPHYS+</t>
  </si>
  <si>
    <t>Russ. Geol. Geophys.</t>
  </si>
  <si>
    <t>10.1016/j.rgg.2018.03.005</t>
  </si>
  <si>
    <t>FZ7VO</t>
  </si>
  <si>
    <t>WOS:000427812600005</t>
  </si>
  <si>
    <t>Gould, FJ</t>
  </si>
  <si>
    <t>Gould, Fraser John</t>
  </si>
  <si>
    <t>An Effective Treatment in the Austere Environment? A Critical Appraisal into the Use of Intra-Articular Local Anesthetic to Facilitate Reduction in Acute Shoulder Dislocation</t>
  </si>
  <si>
    <t>WILDERNESS &amp; ENVIRONMENTAL MEDICINE</t>
  </si>
  <si>
    <t>glenohumeral; analgesia; lidocaine; remote</t>
  </si>
  <si>
    <t>INTRAVENOUS SEDATION; PROCEDURAL SEDATION; LIDOCAINE; ANALGESIA; PAIN; MEPERIDINE/DIAZEPAM; EPIDEMIOLOGY; RADIOGRAPHY; PHYSICIANS; SCALE</t>
  </si>
  <si>
    <t>Acute shoulder dislocation is a common injury in the outdoor environment. The objective of this systematic review of the literature was to determine if intra-articular local anesthetic (IAL) is an effective treatment that could have prehospital application. A methodical search of MEDLINE, PubMed, and EMBASE databases targeted publications from January 1, 1990 until January 1, 2017. Eligible articles compared IAL with other analgesic techniques in patients 16 years or older experiencing acute glenohumeral dislocation. Reduction success, complications, and patient-reported outcome measures underwent comparison. All identified publications originated from the hospital setting. Procedural success rates ranged widely among randomized control trials comparing IAL with intravenous analgesia and sedation (IAL 48-100%, intravenous analgesia and sedation 44-100%). A pooled risk ratio [RR] favored intravenous analgesia and sedation (RR 0.91, 95% confidence interval [CI] 0.84-0.98), but there was significant inconsistency within the analysis (I-2 = 75%). IAL provided lower complication rates (4/170, 2%) than intravenous analgesia and sedation (20/150, 13%) (RR 1.11, 95% CI 1.04-1.19, I-2 = 63%). One trial found a clinically relevant reduction in visual analogue pain scores when comparing IAL against no additional analgesia in the first minute (IAL 21 +/- 13 mm; control 49 +/- 15 mm; P&lt;0.001) and fifth minute (IAL 10 +/- 10 mm; control 40 14 mm, P &lt;0.001) after reduction. The results suggest that IAL is an effective intervention for acute anterior shoulder dislocation that would have a place in the repertoire of the remote physician. Further research might be beneficial in determining the outcomes of performing IAL in the prehospital setting.</t>
  </si>
  <si>
    <t>[Gould, Fraser John] South Georgia &amp; South Sandwich Islands, British Antarctic Survey Med Unit, Port Stanley, Falkland Island</t>
  </si>
  <si>
    <t>Gould, FJ (corresponding author), British Antarctic Survey, King Edward Point Res Stn, Port Stanley SIQQ 1ZZ, Falkland Island.</t>
  </si>
  <si>
    <t>f.gould@nhs.net</t>
  </si>
  <si>
    <t>NERC [bas010011] Funding Source: UKRI</t>
  </si>
  <si>
    <t>1080-6032</t>
  </si>
  <si>
    <t>1545-1534</t>
  </si>
  <si>
    <t>WILD ENVIRON MED</t>
  </si>
  <si>
    <t>Wildern. Environ. Med.</t>
  </si>
  <si>
    <t>10.1016/j.wem.2017.09.013</t>
  </si>
  <si>
    <t>Public, Environmental &amp; Occupational Health; Sport Sciences</t>
  </si>
  <si>
    <t>FZ7TO</t>
  </si>
  <si>
    <t>WOS:000427807200016</t>
  </si>
  <si>
    <t>Saunders, RA; Tarling, GA</t>
  </si>
  <si>
    <t>Saunders, Ryan A.; Tarling, Geraint A.</t>
  </si>
  <si>
    <t>Southern Ocean Mesopelagic Fish Comply with Bergmann's Rule</t>
  </si>
  <si>
    <t>AMERICAN NATURALIST</t>
  </si>
  <si>
    <t>mesopelagic fish; temperature; macroecology; Bergmann's rule; Southern Ocean</t>
  </si>
  <si>
    <t>SCOTIA SEA; BODY-SIZE; MYCTOPHID FISHES; TEMPERATURE; ECTOTHERMS; PATTERNS; CLINES; RANGE; COMMUNITY; SELECTION</t>
  </si>
  <si>
    <t>The applicability of macroecological rules to patterns in body size varies between taxa. One of the most examined is Bergmann's rule, which states that body size increases with decreasing temperature and increasing latitude, although the rule is not universal and the proposed mechanisms underpinning it are multifarious and lack congruence. This study considers the degree to which Bergmann's rule applies to the Southern Ocean mesopelagic fish community. We studied patterns in body size, temperature, and latitude across a 127 latitudinal gradient within the Scotia-Weddell sector. Intraspecific Bergmann's rule was found to apply to 8 of the 11 biomass-dominant species in the family Myctophidae. The rule was also apparent at an interspecific level. Our study suggests that greater attainable body size in this community is a necessary attribute to reach colder regions further south. The adherence of these taxa to Bergmann's rule enables such species to act as sentinels for identifying the drivers and consequences of ocean warming for the Southern Ocean ecosystem.</t>
  </si>
  <si>
    <t>[Saunders, Ryan A.; Tarling, Geraint A.] British Antarctic Survey, NERC, Madingley Rd, Cambridge CB3 0ET, England</t>
  </si>
  <si>
    <t>Saunders, RA (corresponding author), British Antarctic Survey, NERC, Madingley Rd, Cambridge CB3 0ET, England.</t>
  </si>
  <si>
    <t>ryaund@bas.ac.uk</t>
  </si>
  <si>
    <t>NERC [bas0100035] Funding Source: UKRI</t>
  </si>
  <si>
    <t>0003-0147</t>
  </si>
  <si>
    <t>1537-5323</t>
  </si>
  <si>
    <t>AM NAT</t>
  </si>
  <si>
    <t>Am. Nat.</t>
  </si>
  <si>
    <t>10.1086/695767</t>
  </si>
  <si>
    <t>FZ4UV</t>
  </si>
  <si>
    <t>WOS:000427588400008</t>
  </si>
  <si>
    <t>Cui, XB; Greenbaum, JS; Beem, LH; Guo, JX; Ng, G; Li, L; Blankenship, D; Sun, B</t>
  </si>
  <si>
    <t>Cui, Xiangbin; Greenbaum, Jamin S.; Beem, Lucas H.; Guo, Jingxue; Ng, Gregory; Li, Lin; Blankenship, Don; Sun, Bo</t>
  </si>
  <si>
    <t>The First Fixed-wing Aircraft for Chinese Antarctic Expeditions: Airframe, modifications, Scientific Instrumentation and Applications</t>
  </si>
  <si>
    <t>JOURNAL OF ENVIRONMENTAL AND ENGINEERING GEOPHYSICS</t>
  </si>
  <si>
    <t>EAST ANTARCTICA; WEST ANTARCTICA; ICE-SHEET; ZHONGSHAN STATION; TOTTEN GLACIER; WILKES LAND; PINE ISLAND; DOME; WIDESPREAD; VELOCITY</t>
  </si>
  <si>
    <t>The Antarctic Ice Sheet plays a critical role in global climate and sea level change resulting in it being the focus of international scientific exploration. Airborne platforms have been applied to study large geographical regions of Antarctica that are logistically difficult to reach by other means. For 30 years Chinese Antarctic expeditions, have widely applied ground based platforms in Antarctica. During the 32nd Chinese National Antarctic Research Expedition (years 2015/16), the first fixed-wing aircraft (Snow Eagle 601) was deployed by Polar Research Institute of China with special modifications for polar operation and airborne geophysical investigation of ice sheets. Here, the airframe of the aircraft and modifications for science operation in Polar Regions, as well as scientific instrumentation, system integration and its first application in Antarctica are introduced in detail.</t>
  </si>
  <si>
    <t>[Cui, Xiangbin; Guo, Jingxue; Li, Lin; Sun, Bo] Polar Res Inst China, Shanghai 200136, Peoples R China; [Greenbaum, Jamin S.; Beem, Lucas H.; Ng, Gregory; Blankenship, Don] Univ Texas Austin, Inst Geophys, Austin, TX USA</t>
  </si>
  <si>
    <t>Polar Research Institute of China; University of Texas System; University of Texas Austin</t>
  </si>
  <si>
    <t>Cui, XB (corresponding author), Polar Res Inst China, Shanghai 200136, Peoples R China.</t>
  </si>
  <si>
    <t>cuixiangbin@pric.org.cn</t>
  </si>
  <si>
    <t>sun, bo/JFA-9978-2023; Cui, Xiangbin/Y-1551-2019</t>
  </si>
  <si>
    <t>Cui, Xiangbin/0000-0002-4269-8086</t>
  </si>
  <si>
    <t>National Natural Science Foundation of China [41776186, 41571407]; Chinese Polar Environmental Comprehensive Investigation and Assessment Programs [CHINARE-02-02]; Department for Business Innovation and Skills; British Council; US State Department; G. Unger Vetlesen Foundation</t>
  </si>
  <si>
    <t>National Natural Science Foundation of China(National Natural Science Foundation of China (NSFC)); Chinese Polar Environmental Comprehensive Investigation and Assessment Programs; Department for Business Innovation and Skills; British Council(The British Council in India); US State Department; G. Unger Vetlesen Foundation</t>
  </si>
  <si>
    <t>This work was supported by the National Natural Science Foundation of China (41776186 and 41571407) and the Chinese Polar Environmental Comprehensive Investigation and Assessment Programs (CHINARE-02-02), the Department for Business Innovation and Skills, the British Council, the US State Department, and the G. Unger Vetlesen Foundation. We thank the Chinese Antarctic expedition team and Kenn Borek Air Ltd. aircraft crew Bradley Blois, John Bayes, and Zac Young, for their support of airborne survey operations. We also thank the reviewers for their comments on the manuscript. This is UTIG contribution 3131.</t>
  </si>
  <si>
    <t>ENVIRONMENTAL ENGINEERING GEOPHYSICAL SOC</t>
  </si>
  <si>
    <t>DENVER</t>
  </si>
  <si>
    <t>1720 SOUTH BELLAIRE, STE 110, DENVER, CO 80222-433 USA</t>
  </si>
  <si>
    <t>1083-1363</t>
  </si>
  <si>
    <t>J ENVIRON ENG GEOPH</t>
  </si>
  <si>
    <t>J. Environ. Eng. Geophys.</t>
  </si>
  <si>
    <t>10.2113/JEEG23.1.1</t>
  </si>
  <si>
    <t>Geochemistry &amp; Geophysics; Engineering, Geological</t>
  </si>
  <si>
    <t>Geochemistry &amp; Geophysics; Engineering</t>
  </si>
  <si>
    <t>FZ7QN</t>
  </si>
  <si>
    <t>WOS:000427796100003</t>
  </si>
  <si>
    <t>Kimura, M; Imae, N; Yamaguchi, A; Haramura, H; Kojima, H</t>
  </si>
  <si>
    <t>Kimura, M.; Imae, N.; Yamaguchi, A.; Haramura, H.; Kojima, H.</t>
  </si>
  <si>
    <t>Bulk chemical compositions of Antarctic meteorites in the NIPR collection</t>
  </si>
  <si>
    <t>Meteorites; Bulk composition; Classification; Brecciation</t>
  </si>
  <si>
    <t>CARBONACEOUS CHONDRITES; CONSTRAINTS; MINERALOGY; CHEMISTRY; ORIGIN</t>
  </si>
  <si>
    <t>Bulk chemical compositions of meteorites were traditionally analyzed by wet chemical analysis, and NIPR has data for 1162 meteorites as of September 2017. We discuss the classification of meteorites on the basis of these data. Chondrite data are distributed in an anomalously wide range of compositions on the Urey-Craig diagram. One of the reasons for such wide distribution is terrestrial weathering producing Fe2O3-bearing phases from Fe-Ni metal and sulfides. Another important factor affecting the bulk compositional data is brecciation. Our observations indicate that many brecciated chondrites contain anomalously abundant opaque minerals, or are depleted in them, resulting in unusual compositions. In case of enstatite and some carbonaceous chondrites, the bulk compositions are distributed in wider ranges than reported before. The bulk compositions of HED meteorites are consistent with their mineralogy and classification. Our study suggests that wet chemical data are still significant for the meteorite classification. However, petrographic observation is indispensable for evaluating the bulk chemistry and classification of meteorites.</t>
  </si>
  <si>
    <t>[Kimura, M.; Imae, N.; Yamaguchi, A.; Haramura, H.; Kojima, H.] Natl Inst Polar Res, Tokyo 1908518, Japan; [Imae, N.; Yamaguchi, A.] SOKENDAI, Sch Multidisciplinary Sci, Dept Polar Sci, Tokyo 1908518, Japan</t>
  </si>
  <si>
    <t>Research Organization of Information &amp; Systems (ROIS); National Institute of Polar Research (NIPR) - Japan; Graduate University for Advanced Studies - Japan</t>
  </si>
  <si>
    <t>Kimura, M (corresponding author), Natl Inst Polar Res, Tokyo 1908518, Japan.</t>
  </si>
  <si>
    <t>kimura.makoto@nipr.ac.jp</t>
  </si>
  <si>
    <t>Monkashou, Japan [26400510]; NIPR Project Research [KP307]; Grants-in-Aid for Scientific Research [17K05721] Funding Source: KAKEN</t>
  </si>
  <si>
    <t>Monkashou, Japan; NIPR Project Research; Grants-in-Aid for Scientific Research(Ministry of Education, Culture, Sports, Science and Technology, Japan (MEXT)Japan Society for the Promotion of ScienceGrants-in-Aid for Scientific Research (KAKENHI))</t>
  </si>
  <si>
    <t>This project was supported by a Grant-in-aids of Monkashou, Japan, No. 26400510 to M. K., and NIPR Project Research KP307. We appreciate the careful reviews by two anonymous reviewers. We also thank the editor Kevin Righter for efficient handling of the manuscript.</t>
  </si>
  <si>
    <t>10.1016/j.polar.2017.12.001</t>
  </si>
  <si>
    <t>WOS:000427579100003</t>
  </si>
  <si>
    <t>González-Ballesteros, N; González-Rodríguez, JB; Rodríguez-Argüelles, MC; Lastra, M</t>
  </si>
  <si>
    <t>Gonzalez-Ballesteros, N.; Gonzalez-Rodriguez, J. B.; Rodriguez-Arguelles, M. C.; Lastra, M.</t>
  </si>
  <si>
    <t>New application of two Antarctic macroalgae Palmaria decipiens and Desmarestia menziesii in the synthesis of gold and silver nanoparticles</t>
  </si>
  <si>
    <t>Green synthesis; Nanomaterials; Antioxidant activity; TEM; FTIR</t>
  </si>
  <si>
    <t>SOUTH SHETLAND ISLANDS; KING GEORGE ISLAND; POTTER COVE; SUBLITTORAL MACROALGAE; MARINE MACROALGAE; BIOMASS; ANTIOXIDANT; ZONATION; LIGHT; POLYSACCHARIDES</t>
  </si>
  <si>
    <t>In this study, two Antarctic macroalgae (Rhodophyta Palmaria decipiens and Phaeophyta Desmarestia menziessi) were selected in order to report their use for the biosynthesis of nanomaterials. Two aqueous extracts of the macroalgae were prepared and their reducing activity, total phenolic content and DPPH scavenging activity were determined, showing that brown seaweed has higher antioxidant activity than red seaweed. Aqueous extracts were used as an eco-friendly, one-pot synthetic route to obtain gold and silver nanoparticles acting both as reducing and stabilizing agents. The nanoparticles obtained were characterized by UV-Vis spectroscopy and Transmission electron microscopy (TEM), demonstrating the formation of gold and silver nanoparticles with mean diameters of 36.8 +/- 5.3 and 11.5 +/- 3.3 nm for Au@PD and Au@DM and 7.0 +/- 1.2 nm and 17.8 +/- 2.6 nm in the case of Ag@PD and Ag@DM. Lastly, functional groups of the biomolecules present in the extracts were characterized by Fourier transform infrared spectra (FTIR) prior to, and after, the synthesis of the nanoparticles, in order to obtain information about the biomolecules involved in the reducing and stabilization process.</t>
  </si>
  <si>
    <t>[Gonzalez-Ballesteros, N.; Rodriguez-Arguelles, M. C.] Univ Vigo, Dept Quim Inorgan, Vigo 36310, Spain; [Gonzalez-Rodriguez, J. B.] Univ Vigo, Ctr Apoyo Cient Tecnol Invest, Vigo 36310, Spain; [Lastra, M.] Univ Vigo, Estn Ciencias Marinas Toralla ECIMAT, Vigo 36331, Spain</t>
  </si>
  <si>
    <t>Universidade de Vigo; Universidade de Vigo; Universidade de Vigo; CIM UVIGO</t>
  </si>
  <si>
    <t>Lastra, M (corresponding author), Univ Vigo, Estn Ciencias Marinas Toralla ECIMAT, Vigo 36331, Spain.</t>
  </si>
  <si>
    <t>mlastra@uvigo.es</t>
  </si>
  <si>
    <t>González-Ballesteros, Noelia/D-7849-2018; LASTRA, MARIANO/K-9481-2017; Lastra, Mariano/AAH-6289-2021; Rodríguez-Argüelles, Maria Carmen/G-9341-2015; Rodriguez-Gonzalez, Benito/L-8475-2014</t>
  </si>
  <si>
    <t>González-Ballesteros, Noelia/0000-0001-5514-1984; Lastra, Mariano/0000-0003-2738-2056; Rodríguez-Argüelles, Maria Carmen/0000-0003-4415-3204; Rodriguez-Gonzalez, Benito/0000-0002-8885-788X</t>
  </si>
  <si>
    <t>Spanish Ministry of Economy [CTM2013-45697-P]</t>
  </si>
  <si>
    <t>Spanish Ministry of Economy(Spanish Government)</t>
  </si>
  <si>
    <t>This research was supported by Project CTM2013-45697-P from the Spanish Ministry of Economy. The authors thank J. Lamas and CACTI, Universidade de Vigo, for technical support. We thank Dr Jesus Lopez and Dr Jesus Troncoso for assistance in field work and sample collection in Antarctica.</t>
  </si>
  <si>
    <t>10.1016/j.polar.2017.10.004</t>
  </si>
  <si>
    <t>WOS:000427579100006</t>
  </si>
  <si>
    <t>Patel, LK; Sharma, P; Fathima, TN; Thamban, M</t>
  </si>
  <si>
    <t>Patel, Lavkush Kumar; Sharma, Parmanand; Fathima, T. N.; Thamban, Meloth</t>
  </si>
  <si>
    <t>Geospatial observations of topographical control over the glacier retreat, Miyar basin, Western Himalaya, India</t>
  </si>
  <si>
    <t>ENVIRONMENTAL EARTH SCIENCES</t>
  </si>
  <si>
    <t>Geospatial techniques; Topographical control; Glacier retreat; Miyar basin; Western Himalaya</t>
  </si>
  <si>
    <t>DEBRIS-COVERED GLACIERS; CLIMATE; LAKES; MOUNTAINS; ALTITUDE; REGION; VALLEY</t>
  </si>
  <si>
    <t>Himalayan glaciers show large spatial variation in glacial retreat and mass loss due to their unique climate setting, altitude and topography. Large variability of glacier response to climate in this region may be due to various factors such as climatic (precipitation, temperature, humidity, wind, etc.) and non-climatic (topography and debris cover). In this study, an attempt has been made to understand the role of topographical parameters and debris cover for glacier recession in Miyar basin, Western Himalaya. Miyar basin is one of the major contributors of water discharge to Indus basin, which has significant population dependent upon the glacier runoff. A total of 29 glaciers covering an area of similar to 227 km(2) were studied. The glacier retreat for the period 1989-2014 was estimated using the satellite data of Landsat series (TM, ETM and OLI). Topographical features such as size, aspect, slope and debris cover were extracted from the Landsat Operational Imager scene and ASTER GDEM V2 data. These glaciers were classified based on flow direction, area covered, slope and debris coverage. Observations revealed almost 9 +/- 0.7 km(2) recessions in glacier area (4%) for studied glaciers of Miyar basin during 1989-2014. Within the Miyar basin glaciers with large size, having a steep slope with high debris cover and northward aspect showed low retreat than glaciers of small size, gentle slope and low debris cover with southward aspect.</t>
  </si>
  <si>
    <t>[Patel, Lavkush Kumar; Sharma, Parmanand; Thamban, Meloth] ESSO Natl Ctr Antarctic &amp; Ocean Res, Himalayan Cryosphere Div, Polar Sci, Vasco Da Gama 403804, Goa, India; [Fathima, T. N.] Indian Inst Informat Technol &amp; Management, Kazhakkoottam 695581, Kerala, India</t>
  </si>
  <si>
    <t>Ministry of Earth Sciences (MoES) - India; National Centre for Polar and Ocean Research (NCPOR); Kerala University of Digital Sciences, Innovation &amp; Technology (Digital University Kerala)</t>
  </si>
  <si>
    <t>Patel, LK (corresponding author), ESSO Natl Ctr Antarctic &amp; Ocean Res, Himalayan Cryosphere Div, Polar Sci, Vasco Da Gama 403804, Goa, India.</t>
  </si>
  <si>
    <t>lavkushpatel@ncaor.gov.in; pnsharma@ncaor.gov.in; tnfathima2014@gmail.com; meloth@ncaor.gov.in</t>
  </si>
  <si>
    <t>Patel, Lavkush/AGQ-2159-2022</t>
  </si>
  <si>
    <t>patel, Lavkush Kumar/0000-0002-8131-9587; Thamban, Meloth/0000-0003-3379-8189</t>
  </si>
  <si>
    <t>1866-6280</t>
  </si>
  <si>
    <t>1866-6299</t>
  </si>
  <si>
    <t>ENVIRON EARTH SCI</t>
  </si>
  <si>
    <t>Environ. Earth Sci.</t>
  </si>
  <si>
    <t>10.1007/s12665-018-7379-5</t>
  </si>
  <si>
    <t>Environmental Sciences; Geosciences, Multidisciplinary; Water Resources</t>
  </si>
  <si>
    <t>Environmental Sciences &amp; Ecology; Geology; Water Resources</t>
  </si>
  <si>
    <t>FZ1RB</t>
  </si>
  <si>
    <t>WOS:000427354000046</t>
  </si>
  <si>
    <t>Bowden, AJ; Andrewartha, SJ; Elliott, NG; Frappell, PB; Clark, TD</t>
  </si>
  <si>
    <t>Bowden, Alyssa J.; Andrewartha, Sarah J.; Elliott, Nick G.; Frappell, Peter B.; Clark, Timothy D.</t>
  </si>
  <si>
    <t>Negligible differences in metabolism and thermal tolerance between diploid and triploid Atlantic salmon (Salmo salar)</t>
  </si>
  <si>
    <t>Critical thermal maxima; Elevated temperature; Oxygen consumption; Salmonids; Ploidy</t>
  </si>
  <si>
    <t>TROUT ONCORHYNCHUS-MYKISS; FRESH-WATER PERFORMANCE; RAINBOW-TROUT; OXYGEN LIMITATION; COHO SALMON; SWIMMING PERFORMANCE; INDIVIDUAL VARIATION; FOOD-CONSUMPTION; NEW-BRUNSWICK; TEMPERATURE</t>
  </si>
  <si>
    <t>The mechanisms that underlie thermal tolerance in aquatic ectotherms remain unresolved. Triploid fish have been reported to exhibit lower thermal tolerance than diploids, offering a potential model organism to better understand the physiological drivers of thermal tolerance. Here, we compared triploid and diploid juvenile Atlantic salmon (Salmo salar) in freshwater to investigate the proposed link between aerobic capacity and thermal tolerance. We measured specific growth rates (SGR) and resting (aerobic) metabolic rates (RMR) in freshwater at 3, 7 and 9 weeks of acclimation to 10, 14 and 18 degrees C. Additionally, maximum metabolic rates (MMR) were measured at 3 and 7 weeks of acclimation, and critical thermal maxima (CTmax) were measured at 9 weeks. Mass, SGR and RMR differed between ploidies across all temperatures at the beginning of the acclimation period, but all three metrics were similar across ploidies by week 7. Aerobic scope (MMR-RMR) remained consistent across ploidies, acclimation temperatures and time. At 9 weeks, CTmax was independent of ploidy, but correlated positively with acclimation temperature despite the similar aerobic scope between acclimation groups. Our findings suggest that acute thermal tolerance is not modulated by aerobic scope, and the altered genome of triploid Atlantic salmon does not translate to reduced thermal tolerance of juvenile fish in freshwater.</t>
  </si>
  <si>
    <t>[Bowden, Alyssa J.; Elliott, Nick G.; Frappell, Peter B.; Clark, Timothy D.] Univ Tasmania, Inst Marine &amp; Antarctic Studies, Hobart, Tas 7000, Australia; [Bowden, Alyssa J.; Andrewartha, Sarah J.; Elliott, Nick G.; Clark, Timothy D.] CSIRO Agr &amp; Food, Hobart, Tas 7000, Australia; [Clark, Timothy D.] Deakin Univ, Sch Life &amp; Environm Sci, Geelong, Vic 3216, Australia</t>
  </si>
  <si>
    <t>University of Tasmania; Commonwealth Scientific &amp; Industrial Research Organisation (CSIRO); Deakin University</t>
  </si>
  <si>
    <t>Bowden, AJ (corresponding author), Univ Tasmania, Inst Marine &amp; Antarctic Studies, Hobart, Tas 7000, Australia.;Bowden, AJ (corresponding author), CSIRO Agr &amp; Food, Hobart, Tas 7000, Australia.</t>
  </si>
  <si>
    <t>alyssa_bowden@outlook.com</t>
  </si>
  <si>
    <t>Andrewartha, Sarah/K-4189-2012; Bowden, Alyssa/ABG-6330-2021; Clark, Timothy/K-7129-2012</t>
  </si>
  <si>
    <t>Andrewartha, Sarah/0000-0003-1973-9502; Bowden, Alyssa/0000-0001-6024-1891; Clark, Timothy/0000-0001-8738-3347</t>
  </si>
  <si>
    <t>Commonwealth Scientific and Industrial Research Organisation (CSIRO); University of Tasmania; Australian Research Training Program</t>
  </si>
  <si>
    <t>Commonwealth Scientific and Industrial Research Organisation (CSIRO)(Commonwealth Scientific &amp; Industrial Research Organisation (CSIRO)); University of Tasmania; Australian Research Training Program</t>
  </si>
  <si>
    <t>Funding for this study was provided by the Commonwealth Scientific and Industrial Research Organisation (CSIRO) and the University of Tasmania. Support for A.J.B. was also provided by the Australian Research Training Program.</t>
  </si>
  <si>
    <t>jeb166975</t>
  </si>
  <si>
    <t>10.1242/jeb.166975</t>
  </si>
  <si>
    <t>FZ1QT</t>
  </si>
  <si>
    <t>WOS:000427353100004</t>
  </si>
  <si>
    <t>O'Brien, KM; Crockett, EL; Philip, J; Oldham, CA; Hoffman, M; Kuhn, DE; Barry, R; McLaughlin, J</t>
  </si>
  <si>
    <t>O'Brien, Kristin M.; Crockett, Elizabeth L.; Philip, Jacques; Oldham, Corey A.; Hoffman, Megan; Kuhn, Donald E.; Barry, Ronald; McLaughlin, Jessica</t>
  </si>
  <si>
    <t>The loss of hemoglobin and myoglobin does not minimize oxidative stress in Antarctic icefishes</t>
  </si>
  <si>
    <t>Antarctic fish; Antioxidants; Oxygen-binding proteins; Oxidative damage</t>
  </si>
  <si>
    <t>ANTIOXIDANT DEFENSE; OXIDIZED PROTEINS; HYDROGEN-PEROXIDE; 20S PROTEASOME; MESSENGER-RNA; FREE-RADICALS; CROSS-TALK; FISH; MITOCHONDRIAL; GLUTATHIONE</t>
  </si>
  <si>
    <t>The unusual pattern of expression of hemoglobin (Hb) and myoglobin (Mb) among Antarctic notothenioid fishes provides an exceptional model system for assessing the impact of these proteins on oxidative stress. We tested the hypothesis that the lack of oxygen-binding proteins may reduce oxidative stress. Levels and activity of pro-oxidants and small-molecule and enzymatic antioxidants, and levels of oxidized lipids and proteins in the liver, oxidative skeletal muscle and heart ventricle were quantified in five species of notothenioid fishes differing in the expression of Hb and Mb. Levels of ubiquitinated proteins and rates of protein degradation by the 20S proteasome were also quantified. Although levels of oxidized proteins and lipids, ubiquitinated proteins, and antioxidants were higher in red-blooded fishes than in Hb-less icefishes in some tissues, this pattern did not persist across all tissues. Expression of Mb was not associated with oxidative damage in the heart ventricle, whereas the activity of citrate synthase and the contents of heme were positively correlated with oxidative damage in most tissues. Despite some tissue differences in levels of protein carbonyls among species, rates of degradation by the 20S proteasome were not markedly different, suggesting either alternative pathways for eliminating oxidized proteins or that redox tone varies among species. Together, our data indicate that the loss of Hb and Mb does not correspond with a clear pattern of either reduced oxidative defense or oxidative damage.</t>
  </si>
  <si>
    <t>[O'Brien, Kristin M.; Oldham, Corey A.; Hoffman, Megan; McLaughlin, Jessica] Univ Alaska Fairbanks, Inst Arctic Biol, Fairbanks, AK 99775 USA; [Crockett, Elizabeth L.; Kuhn, Donald E.] Ohio Univ, Dept Biol Sci, Athens, OH 45701 USA; [Philip, Jacques] Univ Alaska Fairbanks, Ctr Alaska Nat Hlth Res, Fairbanks, AK 99775 USA; [Barry, Ronald] Univ Alaska Fairbanks, Dept Math &amp; Stat, Fairbanks, AK 99775 USA</t>
  </si>
  <si>
    <t>University of Alaska System; University of Alaska Fairbanks; University System of Ohio; Ohio University; University of Alaska System; University of Alaska Fairbanks; University of Alaska System; University of Alaska Fairbanks</t>
  </si>
  <si>
    <t>O'Brien, KM (corresponding author), Univ Alaska Fairbanks, Inst Arctic Biol, Fairbanks, AK 99775 USA.</t>
  </si>
  <si>
    <t>kmobrien@alaska.edu</t>
  </si>
  <si>
    <t>Barry, Ronald/0000-0002-5686-9499; McLaughlin, Jessica/0000-0003-2899-3182; O'Brien, Kristin/0000-0002-3311-0690</t>
  </si>
  <si>
    <t>National Science Foundation [PLR 1043781, PLR 1043576]; Institutional Development Award (IDeA) from the National Institute of General Medical Sciences (NIGMS) of the National Institutes of Health (NIH) [P20GM103395]; NIH/NIGMS [1P30GM103325]</t>
  </si>
  <si>
    <t>National Science Foundation(National Science Foundation (NSF)); Institutional Development Award (IDeA) from the National Institute of General Medical Sciences (NIGMS) of the National Institutes of Health (NIH); NIH/NIGMS(United States Department of Health &amp; Human ServicesNational Institutes of Health (NIH) - USANIH National Institute of General Medical Sciences (NIGMS))</t>
  </si>
  <si>
    <t>This research was supported by grants from the National Science Foundation (PLR 1043781 to K.M.O. and PLR 1043576 to E.L.C.). J.P. was supported by an Institutional Development Award (IDeA) from the National Institute of General Medical Sciences (NIGMS) of the National Institutes of Health (NIH) (P20GM103395) and by NIH/NIGMS award 1P30GM103325 (B. Boyer, P.I.). The content is solely the responsibility of the authors and does not necessarily reflect the official views of the NIH. Deposited in PMC for release after 12 months.</t>
  </si>
  <si>
    <t>jeb162503</t>
  </si>
  <si>
    <t>10.1242/jeb.162503</t>
  </si>
  <si>
    <t>WOS:000427353100002</t>
  </si>
  <si>
    <t>Wang, XD; Wu, ZK; Li, B; Yan, JP</t>
  </si>
  <si>
    <t>Wang, X. D.; Wu, Zh. K.; Li, B.; Yan, J. P.</t>
  </si>
  <si>
    <t>SPATIO-TEMPORAL VARIABILITY IN ANTARCTIC SNOWMELT BASED ON MICROWAVE RADIOMETER DATA (1978-2017)</t>
  </si>
  <si>
    <t>BASIC &amp; CLINICAL PHARMACOLOGY &amp; TOXICOLOGY</t>
  </si>
  <si>
    <t>[Wang, X. D.; Wu, Zh. K.; Li, B.] Henan Univ Technol, Coll Informat Sci &amp; Engn, Zhengzhou 450001, Henan, Peoples R China; [Yan, J. P.] State Ocean Adm, Inst Oceanog 3, Xiamei 361005, Fujian, Peoples R China</t>
  </si>
  <si>
    <t>Henan University of Technology; Third Institute of Oceanography, Ministry of Natural Resources</t>
  </si>
  <si>
    <t>National Science Foundation of China [41606209]; Fundamental Research Funds for the Henan Provincial Colleges and Universities [2015QNJH16]; Fund of Key Laboratory of Global Change and Marine-Atmospheric Chemistry [GCMAC1605]</t>
  </si>
  <si>
    <t>National Science Foundation of China(National Natural Science Foundation of China (NSFC)); Fundamental Research Funds for the Henan Provincial Colleges and Universities; Fund of Key Laboratory of Global Change and Marine-Atmospheric Chemistry</t>
  </si>
  <si>
    <t>The National Science Foundation of China; Foundation Number: 41606209. The Fundamental Research Funds for the Henan Provincial Colleges and Universities; Foundation Number: 2015QNJH16. The Fund of Key Laboratory of Global Change and Marine-Atmospheric Chemistry; Foundation Number: GCMAC1605.</t>
  </si>
  <si>
    <t>1742-7835</t>
  </si>
  <si>
    <t>1742-7843</t>
  </si>
  <si>
    <t>BASIC CLIN PHARMACOL</t>
  </si>
  <si>
    <t>Basic Clin. Pharmacol. Toxicol.</t>
  </si>
  <si>
    <t>NA16073</t>
  </si>
  <si>
    <t>Pharmacology &amp; Pharmacy; Toxicology</t>
  </si>
  <si>
    <t>FZ4KV</t>
  </si>
  <si>
    <t>WOS:000427562000166</t>
  </si>
  <si>
    <t>Heinonen, JS; Luttinen, AV; Whitehouse, MJ</t>
  </si>
  <si>
    <t>Heinonen, Jussi S.; Luttinen, Arto V.; Whitehouse, Martin J.</t>
  </si>
  <si>
    <t>Enrichment of 18O in the mantle sources of the Antarctic portion of the Karoo large igneous province</t>
  </si>
  <si>
    <t>Oxygen isotopes; Continental flood basalt; Large igneous province; Karoo; Antarctica; Olivine; Mantle; Metasomatism</t>
  </si>
  <si>
    <t>DRONNING-MAUD-LAND; TRACE-ELEMENT COMPOSITION; OXYGEN-ISOTOPE EVIDENCE; OCEANIC-CRUST; CONTINENTAL BASALTS; EAST ANTARCTICA; RECYCLED CRUST; FLOOD BASALTS; PERIDOTITE SOURCES; GRUNEHOGNA CRATON</t>
  </si>
  <si>
    <t>Karoo continental flood basalt (CFB) province is known for its highly variable trace element and isotopic composition, often attributed to the involvement of continental lithospheric sources. Here, we report oxygen isotopic compositions measured with secondary ion mass spectrometry for hand-picked olivine phenocrysts from similar to 190 to 180 Ma CFBs and intrusive rocks from Vestfjella, western Dronning Maud Land, that form an Antarctic extension of the Karoo province. The Vestfjella lavas exhibit heterogeneous trace element and radiogenic isotope compositions (e.g., epsilon(Nd) from -16 to +2 at 180 Ma) and the involvement of continental lithospheric mantle and/or crust in their petrogenesis has previously been suggested. Importantly, our sample set also includes rare primitive dikes that have been derived from depleted asthenospheric mantle sources (epsilon(Nd) up to + 8 at 180 Ma). The majority of the oxygen isotopic compositions of the olivines from these dike rocks (delta O-18 = 4.4-5.2%; Fo = 78-92 mol%) are also compatible with such sources. The olivine phenocrysts in the lavas, however, are characterized by notably higher delta O-18 (6.2-7.5%; Fo = 70-88 mol%); and one of the dike samples gives intermediate compositions (5.2-6.1%, Fo = 83-87 mol%) between the other dikes and the CFBs. The oxygen isotopic compositions do not correlate with radiogenic isotope compositions susceptible to crustal assimilation (Sr, Nd, and Pb) or with geochemical indicators of pyroxene-rich mantle sources. Instead, delta O-18 correlates positively with enrichments in large-ion lithophile elements (especially K) and Os-187. We suggest that the oxygen isotopic compositions of the Vestfjella CFB olivines primarily record large-scale subduction-related metasomatism of the sub-Gondwanan mantle (base of the lithosphere or deeper) prior to Karoo magmatism. The overall influence of such sources to Karoo magmatism is not known, but, in addition to continental lithosphere, they may be responsible for some of the geochemical heterogeneity observed in the CFBs.</t>
  </si>
  <si>
    <t>[Heinonen, Jussi S.] Univ Helsinki, Dept Geosci &amp; Geog, POB 64, FIN-00014 Helsinki, Finland; [Heinonen, Jussi S.; Luttinen, Arto V.] Univ Helsinki, Finnish Museum Nat Hist, POB 44, FIN-00014 Helsinki, Finland; [Whitehouse, Martin J.] Swedish Museum Nat Hist, Dept Geosci, POB 50 007, S-10405 Stockholm, Sweden</t>
  </si>
  <si>
    <t>University of Helsinki; University of Helsinki; Swedish Museum of Natural History</t>
  </si>
  <si>
    <t>Heinonen, JS (corresponding author), Univ Helsinki, Dept Geosci &amp; Geog, POB 64, FIN-00014 Helsinki, Finland.;Heinonen, JS (corresponding author), Univ Helsinki, Finnish Museum Nat Hist, POB 44, FIN-00014 Helsinki, Finland.</t>
  </si>
  <si>
    <t>jussi.s.heinonen@helsinki.fi; arto.luttinen@helsinki.fi; martin.whitehouse@nrm.se</t>
  </si>
  <si>
    <t>Whitehouse, Martin/E-1425-2013; Heinonen, Jussi/L-6152-2013</t>
  </si>
  <si>
    <t>Whitehouse, Martin/0000-0003-2227-577X; Luttinen, Arto Vesa/0000-0002-3129-0392; Heinonen, Jussi/0000-0001-8998-4357</t>
  </si>
  <si>
    <t>Academy of Finland [252652]; Academy of Finland (AKA) [252652] Funding Source: Academy of Finland (AKA)</t>
  </si>
  <si>
    <t>Academy of Finland(Research Council of Finland); Academy of Finland (AKA)(Research Council of Finland)</t>
  </si>
  <si>
    <t>We are grateful to two anonymous reviewers and Chris Harris for important commentary that significantly improved the manuscript and to Timothy Grove for editorial handling of the manuscript. Chris Harris also checked the quality of the San Carlos olivine standard used in this study and we are very grateful to him for that. We thank Kerstin Linden and Lev Ilyinsky for the preparations and assistance related to the SIMS analyses. We also thank Radoslaw Michallik for the guidance with the EPMA analyses at the University of Helsinki. Sanni Turunen is thanked for picking some additional olivine grains for the SIMS analyses. The first author also expresses gratitude to Aku Heinonen for thought-provoking discussions related to oxygen isotope geochemistry-congratulations for your lectureship position! This is NordSIM contribution number 540. Our research has been funded by the Academy of Finland (Grant no. 252652).</t>
  </si>
  <si>
    <t>10.1007/s00410-018-1447-4</t>
  </si>
  <si>
    <t>FZ1AK</t>
  </si>
  <si>
    <t>WOS:000427307200003</t>
  </si>
  <si>
    <t>Tsankov, N; Mateev, D; Darlenski, R</t>
  </si>
  <si>
    <t>Tsankov, N.; Mateev, D.; Darlenski, R.</t>
  </si>
  <si>
    <t>Skin hydration, microrelief and greasiness of normal skin in Antarctica</t>
  </si>
  <si>
    <t>JOURNAL OF THE EUROPEAN ACADEMY OF DERMATOLOGY AND VENEREOLOGY</t>
  </si>
  <si>
    <t>HUMIDITY</t>
  </si>
  <si>
    <t>BackgroundThe skin is the primary defence of the human body against external factors from physical, chemical, mechanical and biologic origin. Climatic factors together with low temperature and sun radiation affect the skin. The effect of climatic conditions in Antarctica on healthy skin has not been previously addressed. ObjectivesThe aim of this study was to evaluate the changes in the skin hydration, greasiness and microrelief due to the extreme climatic environmental factors during the stay of the members of the Bulgarian Antarctic expedition. Material and methodsFifty-nine Caucasian healthy subjects, 42 men and 17 women with mean age 50.9 years (27-68), were enrolled. The study was performed in five consecutive years from 2011 to 2016 at the Bulgarian Antarctic base camp at Livingston Island. The study protocol consisted of two parts: study A: duration of 15 days with measurement of skin physiology parameters on a daily basis, and study B: five measurements at baseline and at days 14, 30, 45 and 50 upon arrival in Antarctica. We measured three biophysical parameters related to skin physiology at cheek skin by an impedance measuring device. ResultsNo statistically significant difference between parameters at the different measurement points. There is a variation in skin hydration reaching its lower point at day 11 and then returning to values similar to baseline. Initially, an increase in skin greasiness was witnessed with a sharp depression at day 11 and final values at day 15 resembling the ones at baseline. An increase, although not statistically significant, in skin roughness was observed in the first 15 days of the study. Study B showed no statistically significant variances between values of the three parameters. ConclusionOur studies show the pioneer results of the effect of Antarctic climate on human skin physiology.</t>
  </si>
  <si>
    <t>[Tsankov, N.; Darlenski, R.] Acibadem City Clin Tokuda Hosp, Dept Dermatol &amp; Venereol, Sofia, Bulgaria; [Mateev, D.] Bulgarian Antarctic Inst, Sofia, Bulgaria; [Darlenski, R.] Trakia Univ, Fac Med, Sect Dermatol, Stara Zagora, Bulgaria</t>
  </si>
  <si>
    <t>Trakia University</t>
  </si>
  <si>
    <t>Tsankov, N (corresponding author), Acibadem City Clin Tokuda Hosp, Dept Dermatol &amp; Venereol, Sofia, Bulgaria.</t>
  </si>
  <si>
    <t>tsankn@abv.bg</t>
  </si>
  <si>
    <t>Mateev, Dragomir/0009-0009-0621-9306</t>
  </si>
  <si>
    <t>Pierre Fabre Laboratories, France</t>
  </si>
  <si>
    <t>The study was financially supported by unrestricted research grant by Pierre Fabre Laboratories, France.</t>
  </si>
  <si>
    <t>0926-9959</t>
  </si>
  <si>
    <t>1468-3083</t>
  </si>
  <si>
    <t>J EUR ACAD DERMATOL</t>
  </si>
  <si>
    <t>J. Eur. Acad. Dermatol. Venereol.</t>
  </si>
  <si>
    <t>10.1111/jdv.14482</t>
  </si>
  <si>
    <t>Dermatology</t>
  </si>
  <si>
    <t>FZ3IW</t>
  </si>
  <si>
    <t>WOS:000427481900048</t>
  </si>
  <si>
    <t>Chen, XR; Liu, S; Cai, Y; Zhang, SW</t>
  </si>
  <si>
    <t>Chen, Xingrong; Liu, Shan; Cai, Yi; Zhang, Shouwen</t>
  </si>
  <si>
    <t>Potential effects of subduction rate in the key ocean on global warming hiatus</t>
  </si>
  <si>
    <t>global warming hiatus; sea surface temperature; inter-decadal variation; subduction rate</t>
  </si>
  <si>
    <t>SUBTROPICAL MODE WATER; NORTH PACIFIC; VARIABILITY; REANALYSIS; SLOWDOWN</t>
  </si>
  <si>
    <t>In this study, the possible effects of subduction rate on global warming hiatus were investigated using Simple Ocean Data Assimilation (SODA) data. This study first analyzed the characteristics of the temporal and spatial distribution of global subduction rate, which revealed that the North Atlantic meridional overturning circulation region and the Antarctic Circumpolar Current region are the two main sea areas with great subduction variations. On this basis, four key areas were selected to explore the relationship between the local subduction rate and the global mean sea surface temperature. In addition, the reason for the variations in subduction rate was preliminarily explored. The results show good correspondence of the subduction of the key areas in the North Atlantic meridional overturning the circulation region and the Antarctic Circumpolar Current region to the global warming hiatus, with the former leading by about 10 years. The subduction process may be a physical mechanism by which the North Atlantic overturning circulation and the Antarctic Circumpolar Current act on the stagnation of global warming. Advection effect plays an important role in the variations in subduction in the key regions. In the Antarctic Circumpolar Current region, the magnitude of sea surface wind stress is closely related to the local changes in subduction.</t>
  </si>
  <si>
    <t>[Chen, Xingrong; Liu, Shan; Cai, Yi; Zhang, Shouwen] State Ocean Adm, Natl Marine Environm Forecasting Ctr, Beijing 100081, Peoples R China; [Chen, Xingrong] State Ocean Adm, Natl Marine Environm Forecasting Ctr, Key Lab Res Marine Hazards Forecasting, Beijing 100081, Peoples R China</t>
  </si>
  <si>
    <t>National Marine Environmental Forecasting Center; National Marine Environmental Forecasting Center</t>
  </si>
  <si>
    <t>Liu, S (corresponding author), State Ocean Adm, Natl Marine Environm Forecasting Ctr, Beijing 100081, Peoples R China.</t>
  </si>
  <si>
    <t>liu_shan_@126.com</t>
  </si>
  <si>
    <t>Public Science and Technology Research Funds Projects of Ocean [201505013]; National Natural Science Foundation of China [41605052]</t>
  </si>
  <si>
    <t>Public Science and Technology Research Funds Projects of Ocean; National Natural Science Foundation of China(National Natural Science Foundation of China (NSFC))</t>
  </si>
  <si>
    <t>Foundation item: The National Natural Science Foundation of China under contract No. 41605052; the Public Science and Technology Research Funds Projects of Ocean under contract No. 201505013.</t>
  </si>
  <si>
    <t>10.1007/s13131-017-1130-z</t>
  </si>
  <si>
    <t>FZ0HC</t>
  </si>
  <si>
    <t>WOS:000427248000007</t>
  </si>
  <si>
    <t>Jomelli, V; Schimmelpfennig, I; Favier, V; Mokadem, F; Landais, A; Rinterknecht, V; Brunstein, D; Verfaille, D; Legentil, C; Aumaitre, G; Bourlès, DL; Keddadouche, K</t>
  </si>
  <si>
    <t>Jomelli, Vincent; Schimmelpfennig, Irene; Favier, Vincent; Mokadem, Fatima; Landais, Amaelle; Rinterknecht, Vincent; Brunstein, Daniel; Verfaille, Deborah; Legentil, Claude; Aumaitre, Georges; Bourles, Didier L.; Keddadouche, Karim</t>
  </si>
  <si>
    <t>Glacier extent in sub-Antarctic Kerguelen archipelago from MIS 3 period: Evidence from 36Cl dating</t>
  </si>
  <si>
    <t>Glacier fluctuations; 36Cl cosmic-ray exposure dating; MIS 2-4; Kerguelen</t>
  </si>
  <si>
    <t>BIPOLAR SEE-SAW; CLIMATE VARIABILITY; SOUTHERN WESTERLIES; EAST ANTARCTICA; ATMOSPHERIC CO2; NEW-ZEALAND; ISLANDS; MAXIMUM; ALPS; FLUCTUATIONS</t>
  </si>
  <si>
    <t>Documenting sub-Antarctic glacier variations during the local last glacial maximum is of major interest to better understand their sensitivity to atmospheric and oceanic temperature changes in conjunction with Antarctic ice sheet changes. However, data are sparse because evidence of earlier glacier extents is for most sub-Antarctic islands located offshore making their observation complex. Here, we present 22 cosmogenic Cl-36 surface exposure ages obtained from five sites at Kerguelen to document the glacial history. The Cl-36 ages from roche moutonnee surfaces, erratics and boulders collected on moraines span from 41.9 +/- 4.4 ka to 14.3 +/- 1.1 ka. Ice began to retreat on the eastern part of the main island before 41.4 +/- 4.4 ka. Slow deglaciation occurred from similar to 41 to similar to 29 ka. There is no evidence of advances between 29 ka and the Antarctic Cold Reversal (ACR) period (similar to 14.5-12.9 ka) period. During the ACR, however, the Bontemps and possibly Belvedere moraines were formed by the advance of a Cook Ice Cap outlet glacier and a local glacier on the Presque Ile Jeanne d'Arc, respectively. This glacier evolution differs partly from that of glaciers in New Zealand and in Patagonia. These asynchronous glacier changes in the sub-Antarctic region are however in agreement with sea surface temperature changes recorded around Antarctica, which suggest differences in the climate evolution of the Indo-Pacific and Atlantic sectors of Antarctica. (C) 2018 Published by Elsevier Ltd.</t>
  </si>
  <si>
    <t>[Jomelli, Vincent; Mokadem, Fatima; Rinterknecht, Vincent; Brunstein, Daniel; Legentil, Claude] Univ Paris 1 Pantheon Sorbonne, CNRS, Lab Geog Phys, F-92195 Meudon, France; [Schimmelpfennig, Irene; Brunstein, Daniel; Aumaitre, Georges; Bourles, Didier L.; Keddadouche, Karim] Aix Marseille Univ, CNRS, IRD, Coll France,CEREGE, Aix En Provence, France; [Favier, Vincent; Brunstein, Daniel; Verfaille, Deborah; Aumaitre, Georges; Bourles, Didier L.; Keddadouche, Karim] Univ Grenoble Alpes, LGGE, CNRS, Grenoble, France; [Landais, Amaelle; Brunstein, Daniel; Aumaitre, Georges; Bourles, Didier L.; Keddadouche, Karim] CEA CNRS UVSQ UPS, IPSL, Lab Sci Climat &amp; Environm, Gif Sur Yvette, France; [Brunstein, Daniel; Aumaitre, Georges; Bourles, Didier L.; Keddadouche, Karim] Univ Corsica Pasquale Paoli, UMR CNRS LISA 6240, Corte, France; [Aumaitre, Georges; Bourles, Didier L.; Keddadouche, Karim] ASTER Team, Paris, France</t>
  </si>
  <si>
    <t>Universite Paris-Est-Creteil-Val-de-Marne (UPEC); Centre National de la Recherche Scientifique (CNRS); Institut de Recherche pour le Developpement (IRD); Universite PSL; College de France; Aix-Marseille Universite; Centre National de la Recherche Scientifique (CNRS); Communaute Universite Grenoble Alpes; Universite Grenoble Alpes (UGA); Centre National de la Recherche Scientifique (CNRS); CEA; Centre National de la Recherche Scientifique (CNRS); Universite Paris Saclay; Universite Paris Cite</t>
  </si>
  <si>
    <t>Jomelli, V (corresponding author), Univ Paris 1 Pantheon Sorbonne, CNRS, Lab Geog Phys, F-92195 Meudon, France.</t>
  </si>
  <si>
    <t>vincent.jomelli@lgp.cnrs.fr</t>
  </si>
  <si>
    <t>jomelli, vincent/AAO-9488-2020; rinterknecht, vincent/A-9229-2010; Favier, Vincent/T-1936-2017</t>
  </si>
  <si>
    <t>jomelli, vincent/0000-0002-4512-5216; brunstein, daniel/0000-0001-5496-8349; Rinterknecht, Vincent/0000-0002-5410-2075; LANDAIS, Amaelle/0000-0002-5620-5465; Schimmelpfennig, Irene/0000-0001-8145-9160; Favier, Vincent/0000-0001-6024-9498; Verfaillie, Deborah/0000-0003-0603-0780</t>
  </si>
  <si>
    <t>French INSU LEFE Glacepreker project; IPEV Kesaaco project [1048]; INSU/CNRS; ANR through the Projets thematiques d'excellence program for the Equipements d'excellence ASTER-CEREGE action; IRD</t>
  </si>
  <si>
    <t>French INSU LEFE Glacepreker project; IPEV Kesaaco project; INSU/CNRS(Centre National de la Recherche Scientifique (CNRS)); ANR through the Projets thematiques d'excellence program for the Equipements d'excellence ASTER-CEREGE action(Agence Nationale de la Recherche (ANR)); IRD</t>
  </si>
  <si>
    <t>This paper was supported by the French INSU LEFE Glacepreker project and by the IPEV Kesaaco 1048 project. The Cl-36 and Cl measurements were performed at the ASTER AMS national facility (CEREGE, Aix-en-Provence) which is supported by the INSU/CNRS, the ANR through the Projets thematiques d'excellence program for the Equipements d'excellence ASTER-CEREGE action, and IRD. We are thankful for the compositional analyses at SARM/CRPG.</t>
  </si>
  <si>
    <t>10.1016/j.quascirev.2018.01.008</t>
  </si>
  <si>
    <t>WOS:000427101000007</t>
  </si>
  <si>
    <t>Gjerde, M; Bakke, J; D'Andrea, WJ; Balascio, NL; Bradley, RS; Vasskog, K; Olafsdóttir, S; Rothe, TO; Perren, BB; Hormes, A</t>
  </si>
  <si>
    <t>Gjerde, Marthe; Bakke, Jostein; D'Andrea, William J.; Balascio, Nicholas L.; Bradley, Raymond S.; Vasskog, Kristian; Olafsdottir, Saedis; Rothe, Torgeir O.; Perren, Bianca B.; Hormes, Anne</t>
  </si>
  <si>
    <t>Holocene multi-proxy environmental reconstruction from lake Hakluytvatnet, Amsterdamoya Island, Svalbard (79.5°N)</t>
  </si>
  <si>
    <t>Holocene; Neoglacial; Paleolimnology; Lake sediments; Runoff; Svalbard; Arctic ocean; Sedimentology, lakes, lagoons &amp; swamps; Multi-proxy analyses</t>
  </si>
  <si>
    <t>SEA-ICE SHEET; ROCK GLACIERS; SPITSBERGEN; SEDIMENTS; CLIMATE; BACILLARIOPHYTA; FLUCTUATIONS; DEGLACIATION; CARBONATE; IGNITION</t>
  </si>
  <si>
    <t>High resolution proxy records of past climate are sparse in the Arctic due to low organic production that restricts the use of radiocarbon dating and challenging logistics that make data collection difficult. Here, we present a new lake record from lake Hakluytvatnet at Amsterdamoya island (79.5 degrees N), the north-westernmost island on Svalbard. Multi-proxy analyses of lake sediments in combination with geomorphological mapping reveal large environmental shifts that have taken place at Amsterdamoya during the Holocene. A robust chronology has been established for the lake sediment core through 28 AMS radiocarbon ages, and this gives an exceptionally well-constrained age control for a lake at this latitude. The Holocene was a period with large changes in the Hakluytvatnet catchment, and the onset of the Neoglacial (ca. 5 ka) marks the start of modern-day conditions in the catchment. The Neoglacial is characterized by fluctuations in the minerogenic input to the lake as well as internal productivity, and we suggest that these fluctuations are driven by atmospherically forced precipitation changes as well as sea ice extent modulating the amount of moisture that can reach Hakluytvatnet. (C) 2017 Elsevier Ltd. All rights reserved.</t>
  </si>
  <si>
    <t>[Gjerde, Marthe; Bakke, Jostein; Bradley, Raymond S.; Vasskog, Kristian; Olafsdottir, Saedis; Rothe, Torgeir O.] Univ Bergen, Dept Earth Sci, Allegaten 41, NO-5007 Bergen, Norway; [Gjerde, Marthe; Bakke, Jostein; Bradley, Raymond S.; Vasskog, Kristian; Olafsdottir, Saedis; Rothe, Torgeir O.] Univ Bergen, Bjerknes Ctr Climate Res, Allegaten 41, N-5007 Bergen, Norway; [Gjerde, Marthe; Hormes, Anne] Univ Ctr Svalbard, N-9171 Longyearbyen, Norway; [D'Andrea, William J.; Balascio, Nicholas L.] Columbia Univ, Lamont Doherty Earth Observ, Palisades, NY USA; [Balascio, Nicholas L.] Coll William &amp; Mary, Dept Geol, Williamsburg, VA USA; [Bradley, Raymond S.] Univ Massachusetts, Dept Geosci, Amherst, MA 01003 USA; [Perren, Bianca B.] British Antarctic Survey, Madingley Rd, Cambridge CB3 0ET, England; [Hormes, Anne] Univ Gothenburg, Dept Earth Sci, SE-40530 Gothenburg, Sweden</t>
  </si>
  <si>
    <t>University of Bergen; University of Bergen; Bjerknes Centre for Climate Research; University Centre Svalbard (UNIS); Columbia University; William &amp; Mary; University of Massachusetts System; University of Massachusetts Amherst; UK Research &amp; Innovation (UKRI); Natural Environment Research Council (NERC); NERC British Antarctic Survey; University of Gothenburg</t>
  </si>
  <si>
    <t>Gjerde, M (corresponding author), Univ Bergen, Dept Earth Sci, Allegaten 41, NO-5007 Bergen, Norway.</t>
  </si>
  <si>
    <t>Marthe.gjerde@uib.no</t>
  </si>
  <si>
    <t>Hormes, Anne/X-9995-2019; AL, Ramanathan -/E-7217-2012; Bakke, Jostein/AAI-1145-2020; Gjerde, Morten Tor/K-4121-2018; Bradley, Raymond S/P-9358-2015</t>
  </si>
  <si>
    <t>Hormes, Anne/0000-0002-7722-8252; AL, Ramanathan -/0000-0002-3491-2273; Gjerde, Morten Tor/0000-0001-7317-6320; Bradley, Raymond S/0000-0002-4032-9519; Olafsdottir, Saedis/0000-0003-2057-0978; D'Andrea, William/0000-0003-0182-8857; Balascio, Nicholas/0000-0001-7106-3541; Perren, Bianca/0000-0001-6089-6468; Vasskog, Kristian/0000-0002-4703-959X</t>
  </si>
  <si>
    <t>Svalbard Science Forum (AFG) [235919]; Norwegian Research Council via the SHIFTS [210004]; NERC [bas0100030] Funding Source: UKRI</t>
  </si>
  <si>
    <t>Svalbard Science Forum (AFG); Norwegian Research Council via the SHIFTS(Research Council of Norway); NERC(UK Research &amp; Innovation (UKRI)Natural Environment Research Council (NERC))</t>
  </si>
  <si>
    <t>Permission to perform field work in the national park during both expeditions was granted by the Governor of Svalbard (RIS ID 5155, ref.: 2012/00753-11 a.512). We thank Bjorn C. Kvisvik, Robert D'Anjou and Greg de Wet for assistance during field work, and acknowledge funding by Svalbard Science Forum (AFG project no. 235919) as well as funding from the Norwegian Research Council via the SHIFTS (210004) project. Atle Nesje is thanked for giving constructive comments on the manuscript, and Gunhild Rosqvist is thanked for commenting an earlier draft of the manuscript. The authors would like to thank the two anonymous reviewers for valuable feedback that served to improve the manuscript. Eivind Storen is thanked for technical assistance with settings of the Mastersizer. Anne Bjune helped identify multiple macrofossil samples. PSV scan supervised by Joseph Stoner, Oregon State University. Michael Dietze is thanked for help with coding in EMMAgeo software.</t>
  </si>
  <si>
    <t>10.1016/j.quascirev.2017.02.017</t>
  </si>
  <si>
    <t>WOS:000427101000011</t>
  </si>
  <si>
    <t>Wang, SL; Maltrud, M; Elliott, S; Cameron-Smith, P; Jonko, A</t>
  </si>
  <si>
    <t>Wang, Shanlin; Maltrud, Mathew; Elliott, Scott; Cameron-Smith, Philip; Jonko, Alexandra</t>
  </si>
  <si>
    <t>Influence of dimethyl sulfide on the carbon cycle and biological production</t>
  </si>
  <si>
    <t>Dimethyl sulfide; Climate simulation; Marine ecosystems; Phytoplankton</t>
  </si>
  <si>
    <t>EARTH SYSTEM MODEL; COMMUNITY ATMOSPHERE MODEL; CLOUD CONDENSATION NUCLEI; ENHANCED GREENHOUSE CONDITIONS; BIOGENIC SULFUR EMISSIONS; ANTARCTIC SOUTHERN-OCEAN; AIR-SEA FLUX; EMILIANIA-HUXLEYI; MICROPHYSICS SCHEME; CLAW HYPOTHESIS</t>
  </si>
  <si>
    <t>Dimethyl sulfide (DMS) is a significant source of marine sulfate aerosol and plays an important role in modifying cloud properties. Fully coupled climate simulations using dynamic marine ecosystem and DMS calculations are conducted to estimate DMS fluxes under various climate scenarios and to examine the sign and strength of phytoplankton-DMS-climate feedbacks for the first time. Simulation results show small differences in the DMS production and emissions between pre-industrial and present climate scenarios, except for some areas in the Southern Ocean. There are clear changes in surface ocean DMS concentrations moving into the future, and they are attributable to changes in phytoplankton production and competition driven by complex spatially varying mechanisms. Comparisons between parallel simulations with and without DMS fluxes into the atmosphere show significant differences in marine ecosystems and physical fields. Without DMS, the missing subsequent aerosol indirect effects on clouds and radiative forcing lead to fewer clouds, more solar radiation, and a much warmer climate. Phaeocystis, a uniquely efficient organosulfur producer with a growth advantage under cooler climate states, can benefit from producing the compound through cooling effects of DMS in the climate system. Our results show a tight coupling between the sulfur and carbon cycles. The ocean carbon uptake declines without DMS emissions to the atmosphere. The analysis indicates a weak positive phytoplankton-DMS-climate feedback at the global scale, with large spatial variations driven by individual autotrophic functional groups and complex mechanisms. The sign and strength of the feedback vary with climate states and phytoplankton groups. This highlights the importance of a dynamic marine ecosystem module and the sulfur cycle mechanism in climate projections.</t>
  </si>
  <si>
    <t>[Wang, Shanlin; Maltrud, Mathew; Elliott, Scott] Los Alamos Natl Lab, Climate Ocean &amp; Sea Ice Modeling, MS B214, Los Alamos, NM 87545 USA; [Cameron-Smith, Philip] Lawrence Livermore Natl Lab, Atmospher Earth &amp; Energy Div, Livermore, CA USA; [Jonko, Alexandra] Los Alamos Natl Lab, Earth &amp; Environm Sci Div, Los Alamos, NM USA</t>
  </si>
  <si>
    <t>United States Department of Energy (DOE); Los Alamos National Laboratory; United States Department of Energy (DOE); Lawrence Livermore National Laboratory; United States Department of Energy (DOE); Los Alamos National Laboratory</t>
  </si>
  <si>
    <t>Wang, SL (corresponding author), Los Alamos Natl Lab, Climate Ocean &amp; Sea Ice Modeling, MS B214, Los Alamos, NM 87545 USA.</t>
  </si>
  <si>
    <t>shanlinw@lanl.gov</t>
  </si>
  <si>
    <t>Cameron-Smith, Philip/E-2468-2011; Jonko, Alex/ABB-2591-2021; Wang, Shanlin/A-2576-2017</t>
  </si>
  <si>
    <t>Jonko, Alexandra/0000-0001-6026-5527; Wang, Shanlin/0000-0002-7677-4745</t>
  </si>
  <si>
    <t>U.S. Department of Energy's Office of Science; U.S. Department of Energy [DE-AC52-07NA27344]</t>
  </si>
  <si>
    <t>U.S. Department of Energy's Office of Science(United States Department of Energy (DOE)); U.S. Department of Energy(United States Department of Energy (DOE))</t>
  </si>
  <si>
    <t>This research has been supported by several grants from the U.S. Department of Energy's Office of Science. These include a Regional and Global Climate Modeling Science Focus Area project (RGCM SFA) administered by COSIM (Climate Ocean Sea Ice Modeling) at Los Alamos National Laboratory, and the SciDAC (Scientific Discovery through Advanced Computing) study ACES4BGC (Applying Computationally Efficient Schemes for Biogeochemical Cycles). The work by P. Cameron-Smith was performed under the auspices of the U.S. Department of Energy by Lawrence Livermore National Laboratory under Contract DE-AC52-07NA27344. Computational facilities were provided by Institutional Computing resources at Los Alamos National Laboratory.</t>
  </si>
  <si>
    <t>10.1007/s10533-018-0430-5</t>
  </si>
  <si>
    <t>WOS:000427059700003</t>
  </si>
  <si>
    <t>Harris, L; Llewellyn, GM; Holma, H; Warren, MA; Clewley, D</t>
  </si>
  <si>
    <t>Harris, Laura; Llewellyn, Gary M.; Holma, Hannu; Warren, Mark A.; Clewley, Daniel</t>
  </si>
  <si>
    <t>Characterization of Unstable Blinking Pixels in the AisaOWL Thermal Hyperspectral Imager</t>
  </si>
  <si>
    <t>IEEE TRANSACTIONS ON GEOSCIENCE AND REMOTE SENSING</t>
  </si>
  <si>
    <t>AisaOwl; calibration; hyperspectral; thermal</t>
  </si>
  <si>
    <t>The AisaOWL thermal hyperspectral instrument, manufactured by Specim, is a relatively new push-broom sensor well suited to airborne environmental surveys. The sensor covers the 7.6-12.6 mu m part of the long-wave infrared region with 102 continuous bands, and is capable of imaging in low-light conditions. The detector array is a mercury cadmium telluride (MCT) semiconductor, which has an inherent randomly varying dark current for random pixels. This manifests in the raw data as a pixel switching between different intensity levels. These pixels are termed blinkers by the manufacturer. For each data acquisition, the pixels need to be tested for blinking behavior as different pixels are affected during each acquisition. However, little is known about the number of blink events, the duration of frames, or the optimal length of data acquisition. This paper presents the characterization of the blinking nature of pixels in the MCT detector array to provide guidance on data acquisition and processing. This paper finds that blinking behavior is not completely random, with some pixels more prone to blinking behavior than others. Most blinking pixels have only a few short blinks; therefore, there is still a considerable amount of good data in a blinking pixel.</t>
  </si>
  <si>
    <t>[Harris, Laura; Warren, Mark A.; Clewley, Daniel] Plymouth Marine Lab, Plymouth PL1 3DH, Devon, England; [Llewellyn, Gary M.] British Antarctic Survey, Cambridge CB3 0ET, England; [Holma, Hannu] Specim, Spectral Imaging Ltd, FI-90571 Oulu, Finland</t>
  </si>
  <si>
    <t>Plymouth Marine Laboratory; UK Research &amp; Innovation (UKRI); Natural Environment Research Council (NERC); NERC British Antarctic Survey</t>
  </si>
  <si>
    <t>Harris, L (corresponding author), Plymouth Marine Lab, Plymouth PL1 3DH, Devon, England.</t>
  </si>
  <si>
    <t>lah@pml.ac.uk; gaew@nerc.ac.uk; hannu.holma@specim.fi; mark1@pml.ac.uk; dac@pml.ac.uk</t>
  </si>
  <si>
    <t>Warren, Mark/IQR-6492-2023</t>
  </si>
  <si>
    <t>Warren, Mark/0000-0002-7941-5254</t>
  </si>
  <si>
    <t>NERC [fsf010001, bas010011] Funding Source: UKRI; Natural Environment Research Council [bas010011, fsf010001] Funding Source: researchfish</t>
  </si>
  <si>
    <t>NERC(UK Research &amp; Innovation (UKRI)Natural Environment Research Council (NERC)); Natural Environment Research Council(UK Research &amp; Innovation (UKRI)Natural Environment Research Council (NERC))</t>
  </si>
  <si>
    <t>IEEE-INST ELECTRICAL ELECTRONICS ENGINEERS INC</t>
  </si>
  <si>
    <t>PISCATAWAY</t>
  </si>
  <si>
    <t>445 HOES LANE, PISCATAWAY, NJ 08855-4141 USA</t>
  </si>
  <si>
    <t>0196-2892</t>
  </si>
  <si>
    <t>1558-0644</t>
  </si>
  <si>
    <t>IEEE T GEOSCI REMOTE</t>
  </si>
  <si>
    <t>IEEE Trans. Geosci. Remote Sensing</t>
  </si>
  <si>
    <t>10.1109/TGRS.2017.2766186</t>
  </si>
  <si>
    <t>Geochemistry &amp; Geophysics; Engineering, Electrical &amp; Electronic; Remote Sensing; Imaging Science &amp; Photographic Technology</t>
  </si>
  <si>
    <t>Geochemistry &amp; Geophysics; Engineering; Remote Sensing; Imaging Science &amp; Photographic Technology</t>
  </si>
  <si>
    <t>FY4JW</t>
  </si>
  <si>
    <t>WOS:000426789800037</t>
  </si>
  <si>
    <t>Rea, G; Riccio, A; Fierli, F; Cairo, F; Cagnazzo, C</t>
  </si>
  <si>
    <t>Rea, Gloria; Riccio, Angelo; Fierli, Federico; Cairo, Francesco; Cagnazzo, Chiara</t>
  </si>
  <si>
    <t>Stratosphere-resolving CMIP5 models simulate different changes in the Southern Hemisphere</t>
  </si>
  <si>
    <t>Stratosphere; Southern Hemisphere change; CMIP5 models</t>
  </si>
  <si>
    <t>ANTARCTIC OZONE HOLE; CLIMATE-CHANGE; ANNULAR MODE; SEA-ICE; SHORTWAVE RADIATION; TEMPERATURE TRENDS; VARIABILITY; REANALYSIS; OCEAN; JET</t>
  </si>
  <si>
    <t>This work documents long-term changes in the Southern Hemisphere circulation in the austral spring-summer season in the Coupled Intercomparison Project Phase 5 models, showing that those changes are larger in magnitude and closer to ERA-Interim and other reanalyses if models include a dynamical representation of the stratosphere. Specifically, models with a high-top and included dynamical and-in some cases-chemical feedbacks within the stratosphere better simulate the lower stratospheric cooling observed over 1979-2001 and strongly driven by ozone depletion, when compared to the other models. This occurs because high-top models can fully capture the stratospheric large scale circulation response to the ozone-induced cooling. Interestingly, this difference is also found at the surface for the Southern Annular Mode (SAM) changes, even though all model categories tend to underestimate SAM trends over those decades. In this analysis, models including a proper dynamical stratosphere are more sensitive to lower stratospheric cooling in their tropospheric circulation response. After a brief discussion of two RCP scenarios, our study confirms that at least for large changes in the extratropical regions, stratospheric changes induced by external forcing have to be properly simulated, as they are important drivers of tropospheric climate variations.</t>
  </si>
  <si>
    <t>[Rea, Gloria; Fierli, Federico; Cairo, Francesco; Cagnazzo, Chiara] CNR, ISAC, Via Fosso del Cavaliere 100, I-00133 Rome, Italy; [Rea, Gloria; Riccio, Angelo] Parthenope Univ Naples, Dept Sci &amp; Technol, Ctr Direz Isola C4, I-80143 Naples, Italy</t>
  </si>
  <si>
    <t>Consiglio Nazionale delle Ricerche (CNR); Istituto di Scienze dell'Atmosfera e del Clima (ISAC-CNR); Parthenope University Naples</t>
  </si>
  <si>
    <t>Cagnazzo, C (corresponding author), CNR, ISAC, Via Fosso del Cavaliere 100, I-00133 Rome, Italy.</t>
  </si>
  <si>
    <t>gloria.rea@artov.isac.cnr.it; c.cagnazzo@isac.cnr.it</t>
  </si>
  <si>
    <t>Riccio, Angelo/F-7795-2012; Cagnazzo, Chiara/C-7194-2015; cairo, francesco/C-7460-2015</t>
  </si>
  <si>
    <t>Riccio, Angelo/0000-0001-7775-5565; cairo, francesco/0000-0002-2886-2601; cagnazzo, chiara/0000-0002-2054-0448</t>
  </si>
  <si>
    <t>StratoCLIM Framework Programme (FP7) Collaborative Project, Atmospheric Processes, Eco-Systems and Climate Change [603557, ENV.2013.6.1-2]</t>
  </si>
  <si>
    <t>StratoCLIM Framework Programme (FP7) Collaborative Project, Atmospheric Processes, Eco-Systems and Climate Change(European Union (EU))</t>
  </si>
  <si>
    <t>We acknowledge the World Climate Research Program (WCRP) Working Group on Climate Modeling, responsible for the CMIP5 activity. Gloria Rea is supported by StratoCLIM Framework Programme (FP7) Collaborative Project, Atmospheric Processes, Eco-Systems and Climate Change, ENV.2013.6.1-2, Grant Agreement no. 603557. Thank you to all modeling groups for producing and making available the simulations.</t>
  </si>
  <si>
    <t>10.1007/s00382-017-3746-2</t>
  </si>
  <si>
    <t>FY3GP</t>
  </si>
  <si>
    <t>WOS:000426707100043</t>
  </si>
  <si>
    <t>Cherel, Y; Parenteau, C; Bustamante, P; Bost, CA</t>
  </si>
  <si>
    <t>Cherel, Yves; Parenteau, Charline; Bustamante, Paco; Bost, Charles-Andre</t>
  </si>
  <si>
    <t>Stable isotopes document the winter foraging ecology of king penguins and highlight connectivity between subantarctic and Antarctic ecosystems</t>
  </si>
  <si>
    <t>diet; myctophid; prolactin; seabird; Southern Ocean</t>
  </si>
  <si>
    <t>SOUTHERN ELEPHANT SEALS; LONG-LIVED SEABIRD; APTENODYTES-PATAGONICUS; FEEDING ECOLOGY; CLIMATE-CHANGE; BLUE PETRELS; INDIVIDUAL SPECIALIZATION; DISCRIMINATION FACTORS; SYMPATRIC ALBATROSSES; POPULATION-DYNAMICS</t>
  </si>
  <si>
    <t>The poorly known winter foraging ecology of the king penguin, a major Southern Ocean consumer, was investigated at the subantarctic Crozet Islands where the largest global population breeds. Blood C-13 and N-15 values were used as proxies of the birds' foraging habitat and diet, respectively, and circulating prolactin levels helped in determining the birds' reproductive status. Plasma prolactin concentrations showed that king penguin adults of unknown breeding status (n=52) that were present at the colony in winter were in fact breeders and failed breeders, but were not non -breeders. Circulating prolactin was neither related to C-13 nor N-15 values, thus suggesting that both breeders and failed breeders used the same foraging habitats and fed on the same prey. Plasma and blood cell isotopic values depicted four new relevant biological features on the feeding strategies of king penguins during the critical winter period: (1) 42% of the birds foraged in the distant Antarctic Zone, but 58% fed primarily in subantarctic waters (C-13), (2) they preyed upon myctophids in both zones (N-15), (3) individuals were consistent in their foraging strategies over the winter months (C-13 and N-15), and (4) a higher proportion of females (77%-80%) than males (27%-31%) favored feeding in distant Antarctic waters (C-13). This study highlights trophic connectivity between subantarctic and Antarctic ecosystems and hence the key role of energy export from Antarctic waters to sustain breeding populations of subantarctic predators, including during the Austral winter.</t>
  </si>
  <si>
    <t>[Cherel, Yves; Parenteau, Charline; Bost, Charles-Andre] Univ La Rochelle, CEBC, CNRS, UMR 7372, Villiers En Bois, France; [Bustamante, Paco] Univ La Rochelle, Littoral Environm &amp; Soc LIENSs, CNRS, UMR 7266, La Rochelle, France</t>
  </si>
  <si>
    <t>La Rochelle Universite; Centre National de la Recherche Scientifique (CNRS); CNRS - Institute of Ecology &amp; Environment (INEE); Centre National de la Recherche Scientifique (CNRS); CNRS - Institute of Ecology &amp; Environment (INEE); La Rochelle Universite</t>
  </si>
  <si>
    <t>Cherel, Y (corresponding author), Univ La Rochelle, CEBC, CNRS, UMR 7372, Villiers En Bois, France.</t>
  </si>
  <si>
    <t>cherel@cebc.cnrs.fr</t>
  </si>
  <si>
    <t>Bustamante, Paco/G-5833-2011</t>
  </si>
  <si>
    <t>Bustamante, Paco/0000-0003-3877-9390; Cherel, Yves/0000-0001-9469-9489</t>
  </si>
  <si>
    <t>Institut Polaire Francais Paul Emile Victor (IPEV); Terres Australes et Antarctiques Francaises (TAAF)</t>
  </si>
  <si>
    <t>10.1002/ece3.3883</t>
  </si>
  <si>
    <t>FY3ND</t>
  </si>
  <si>
    <t>WOS:000426725900032</t>
  </si>
  <si>
    <t>Roberts, P</t>
  </si>
  <si>
    <t>Roberts, Peder</t>
  </si>
  <si>
    <t>A Forecasting Classic in Hindsight</t>
  </si>
  <si>
    <t>ISIS</t>
  </si>
  <si>
    <t>[Roberts, Peder] KTH Tekn Ringen, Div Hist Sci Technol &amp; Environm, 74D Plan 5, S-10044 Stockholm, Sweden</t>
  </si>
  <si>
    <t>Roberts, P (corresponding author), KTH Tekn Ringen, Div Hist Sci Technol &amp; Environm, 74D Plan 5, S-10044 Stockholm, Sweden.</t>
  </si>
  <si>
    <t>peder.roberts@abe.kth.se</t>
  </si>
  <si>
    <t>European Research Council</t>
  </si>
  <si>
    <t>European Research Council(European Research Council (ERC))</t>
  </si>
  <si>
    <t>Peder Roberts has published widely on the history of science, industry, and environmental management in the polar regions during the twentieth century and on the history of midcentury oceanography. He is the leader of the European Research Council-sponsored project Greening the Poles: Science, the Environment, and the Creation of the Modern Arctic and Antarctic. Division of History of Science, Technology, and Environment, KTH Teknikringen 74D plan 5, 100 44 Stockholm, Sweden; peder.roberts@abe.kth.se.</t>
  </si>
  <si>
    <t>0021-1753</t>
  </si>
  <si>
    <t>1545-6994</t>
  </si>
  <si>
    <t>Isis</t>
  </si>
  <si>
    <t>10.1086/697186</t>
  </si>
  <si>
    <t>FY3YG</t>
  </si>
  <si>
    <t>WOS:000426757000020</t>
  </si>
  <si>
    <t>Spiller, J</t>
  </si>
  <si>
    <t>Spiller, James</t>
  </si>
  <si>
    <t>Frozen Empires: An Environmental History of the Antarctic Peninsula.</t>
  </si>
  <si>
    <t>[Spiller, James] SUNY Coll Brockport, Hist, Brockport, NY 14420 USA</t>
  </si>
  <si>
    <t>State University of New York (SUNY) System; State University of New York (SUNY) Brockport</t>
  </si>
  <si>
    <t>Spiller, J (corresponding author), SUNY Coll Brockport, Hist, Brockport, NY 14420 USA.</t>
  </si>
  <si>
    <t>10.1086/696673</t>
  </si>
  <si>
    <t>WOS:000426757000086</t>
  </si>
  <si>
    <t>Palma, S; Retamal, MC; Silva, N; Canepa, A</t>
  </si>
  <si>
    <t>Palma, Sergio; Cristina Retamal, Maria; Silva, Nelson; Canepa, Antonio</t>
  </si>
  <si>
    <t>Siphonophores in fjords and channels in southern Patagonia: biodiversity, spatial distribution and environmental association</t>
  </si>
  <si>
    <t>JOURNAL OF THE MARINE BIOLOGICAL ASSOCIATION OF THE UNITED KINGDOM</t>
  </si>
  <si>
    <t>Siphonophores; gelatinous zooplankton; spatial distribution; Patagonian Fjord Ecosystem; community analysis; environmental association; CCA; GLM; southern Chile</t>
  </si>
  <si>
    <t>GELATINOUS ZOOPLANKTON; JELLYFISH BLOOMS; OCEANOGRAPHIC CONDITIONS; PLANKTONIC CNIDARIANS; VERTICAL-DISTRIBUTION; MEDUSAE; ATLANTIC; REGION; GULF</t>
  </si>
  <si>
    <t>This study characterizes the abundance and spatial distribution of siphonophores between the Trinidad Channel (50 degrees 06'S) and the Strait of Magellan (52 degrees 45'S) in southern Chile, during October-November 2009. Ten species were identified, of which Agalma elegans, Rosacea plicata and Sphaeronectes fragilis are new records for this region. Dominant species showed similar dominance values e.g. Lensia conoidea (26.3%), Dimophyes arctica (24.6%), Lensia meteori (22.2%) and Muggiaea atlantica (20.7%). Eudoxids of L. conoidea and D. arctica represented 97.3% of all eudoxids collected and they were mainly collected in estuarine waters. The highest densities were found in estuarine waters (high vertical stratification and low temperature, salinity and dissolved oxygen values). On the other hand, the lowest densities were found in coastal areas influenced by permanent influx of Sub-Antarctic waters from the Pacific (greater instability and vertical mixing, higher temperatures, salinity and dissolved oxygen values). Temperature and dissolved oxygen were the most important environmental variables. In general, all the dominant species showed a positive association with temperature and a negative association with dissolved oxygen (with the exception of L. meteori). The vertical distribution showed that M. atlantica was mainly distributed in the first 50 m, in association with estuarine waters, while L. conoidea, L. meteori and D. arctica were mainly found in the deeper layer (50-200 m) and in association with modified Sub-Antarctic waters. The comparison of the results obtained in the springs of 1996 and 2009 showed a significant increase in abundance.</t>
  </si>
  <si>
    <t>[Palma, Sergio; Cristina Retamal, Maria; Silva, Nelson; Canepa, Antonio] Pontificia Univ Catolica Valparaiso, Escuela Ciencias del Mar, Valparaiso, Chile; [Cristina Retamal, Maria] Serv Hidrog &amp; Oceanog Armada, Valparaiso, Chile</t>
  </si>
  <si>
    <t>Pontificia Universidad Catolica de Valparaiso</t>
  </si>
  <si>
    <t>Canepa, A (corresponding author), Pontificia Univ Catolica Valparaiso, Escuela Ciencias del Mar, Valparaiso, Chile.</t>
  </si>
  <si>
    <t>antonio.canepa@pucv.cl</t>
  </si>
  <si>
    <t>Canepa-Oneto, Antonio/R-5260-2018</t>
  </si>
  <si>
    <t>Canepa-Oneto, Antonio/0000-0002-0608-2743</t>
  </si>
  <si>
    <t>National Oceanographic Committee [CONA-C15F 0907]; National Commission for Scientific and Technological Research - CONICYT [PAI/82140034]</t>
  </si>
  <si>
    <t>National Oceanographic Committee; National Commission for Scientific and Technological Research - CONICYT(Comision Nacional de Investigacion Cientifica y Tecnologica (CONICYT))</t>
  </si>
  <si>
    <t>This work was supported by the National Oceanographic Committee (CONA-C15F 0907, SP); and by the National Commission for Scientific and Technological Research - CONICYT (PAI/82140034, A Canepa).</t>
  </si>
  <si>
    <t>0025-3154</t>
  </si>
  <si>
    <t>1469-7769</t>
  </si>
  <si>
    <t>J MAR BIOL ASSOC UK</t>
  </si>
  <si>
    <t>J. Mar. Biol. Assoc. U.K.</t>
  </si>
  <si>
    <t>10.1017/S0025315416001302</t>
  </si>
  <si>
    <t>FY5NU</t>
  </si>
  <si>
    <t>WOS:000426876800004</t>
  </si>
  <si>
    <t>Curelovich, JN; Lovrich, GA; Cueto, GR; Calcagno, JA</t>
  </si>
  <si>
    <t>Natalia Curelovich, Jessica; Alejandro Lovrich, Gustavo; Ruben Cueto, Gerardo; Angel Calcagno, Javier</t>
  </si>
  <si>
    <t>Recruitment and zonation in a sub-Antarctic rocky intertidal community</t>
  </si>
  <si>
    <t>barnacles; Beagle Channel; substrate availability; grazers; mussels; succession</t>
  </si>
  <si>
    <t>TIERRA-DEL-FUEGO; ENVIRONMENTAL-STRESS; POPULATION-STRUCTURE; BARNACLES CHTHAMALUS; ECOSYSTEM ENGINEERS; SETTLEMENT RATE; BEAGLE CHANNEL; MUSSEL BEDS; TOP-DOWN; PREDATION</t>
  </si>
  <si>
    <t>This study presents for the first time the factors governing the recruitment in a rocky intertidal community of the Beagle Channel, Tierra del Fuego (54 degrees 51S 68 degrees 29'W), Argentina. The aim of this study was to examine the effect of grazers and predators, free substrate availability and crustose coralline algae on the recruitment of the main sessile components of the intertidal: Notochthamalus scabrosus, Notobalanus flosculus, Mytilus chilensis, Perumytilus purpuratus and Aulacomya atra at three intertidal levels. For barnacles, the probability of recruitment was higher with grazers, while the contrary was observed for bivalves. The number of N. flosculus recruits was higher with increased substrate availability, while N. scabrosus recruited more with reduced free substrate in the first sampling. Mussel recruitment was higher with reduced free substrate. The highest probability of recruitment of N. scabrosus was observed at the upper level. Notably, this probability and the recruits per plot were higher at the mid level under uncaged-ORP treatment than expected for the mid level. The probability of bivalve and N. flosculus recruitment was higher at upper and lower levels, respectively. At the lower level, barnacle recruitment was higher on bare rock than on crustose coralline algae. Our results suggest that grazers increase the probability of barnacle recruitment, while the presence of sessile organisms enhances the density of mussel recruits. Almost no recruitment of bivalves was observed in ORPs over one year, showing that the secondary succession is slow in this environment.</t>
  </si>
  <si>
    <t>[Natalia Curelovich, Jessica; Angel Calcagno, Javier] Univ Maimonides, CEBBAD, Hidalgo 775,C1405BWE, Buenos Aires, DF, Argentina; [Natalia Curelovich, Jessica; Alejandro Lovrich, Gustavo; Ruben Cueto, Gerardo; Angel Calcagno, Javier] Consejo Nacl Invest Cient &amp; Tecn, Buenos Aires, DF, Argentina; Ctr Austral Invest Cient, Bernardo Houssay 200,C9410CAB, Ushuaia, Tierra Del Fueg, Argentina; [Ruben Cueto, Gerardo] Univ Buenos Aires, Fac Ciencias Exactas &amp; Nat, Inst Ecol Genet &amp; Evoluc Buenos Aires, Ciudad Univ,Pabellon 2,4 Piso,C1428EHA, Buenos Aires, DF, Argentina</t>
  </si>
  <si>
    <t>Consejo Nacional de Investigaciones Cientificas y Tecnicas (CONICET); University of Buenos Aires</t>
  </si>
  <si>
    <t>Calcagno, JA (corresponding author), Univ Maimonides, CEBBAD, Hidalgo 775,C1405BWE, Buenos Aires, DF, Argentina.;Calcagno, JA (corresponding author), Consejo Nacl Invest Cient &amp; Tecn, Buenos Aires, DF, Argentina.</t>
  </si>
  <si>
    <t>jkalcagno@gmail.com</t>
  </si>
  <si>
    <t>CUETO, GERARDO/0000-0001-8230-8874; Lovrich, Gustavo/0000-0001-8424-6566</t>
  </si>
  <si>
    <t>National Agency for Science and Technology Promotion (ANPCyT) [PICT 2007-1385]; Administracion de Parques Nacionales</t>
  </si>
  <si>
    <t>National Agency for Science and Technology Promotion (ANPCyT)(ANPCyT); Administracion de Parques Nacionales</t>
  </si>
  <si>
    <t>This work was supported by the National Agency for Science and Technology Promotion (ANPCyT, Grant number PICT 2007-1385) and a grant from the Administracion de Parques Nacionales.</t>
  </si>
  <si>
    <t>10.1017/S0025315416001284</t>
  </si>
  <si>
    <t>WOS:000426876800018</t>
  </si>
  <si>
    <t>Winter, C; Köstner, N; Kruspe, CP; Urban, D; Muck, S; Reinthaler, T; Herndl, GJ</t>
  </si>
  <si>
    <t>Winter, Christian; Koestner, Nicole; Kruspe, Carl-Philip; Urban, Damaris; Muck, Simone; Reinthaler, Thomas; Herndl, Gerhard J.</t>
  </si>
  <si>
    <t>Mixing alters the lytic activity of viruses in the dark ocean</t>
  </si>
  <si>
    <t>ECOLOGY</t>
  </si>
  <si>
    <t>deep ocean; frequency of infected cells; microbial loop; mixing; prokaryotes; viral production; viruses</t>
  </si>
  <si>
    <t>PROPHAGE INDUCTION; BACTERIAL COMMUNITIES; MEDITERRANEAN SEA; ATLANTIC-OCEAN; WATER-COLUMN; DEEP-WATER; PLANKTONIC ORGANISMS; ESCHERICHIA-COLI; VIRAL-INFECTION; AQUATIC SYSTEMS</t>
  </si>
  <si>
    <t>In aquatic habitats, viral lysis of prokaryotic cells lowers the overall efficiency of the microbial loop, by which dissolved organic carbon is transfered to higher trophic levels. Mixing of water masses in the dark ocean occurs on a global scale and may have far reaching consequences for the different prokaryotic and virus communities found in these waters by altering the environmental conditions these communities experience. We hypothesize that mixing of deep ocean water masses enhances the lytic activity of viruses infecting prokaryotes. To address this hypothesis, major deep-sea water masses of the Atlantic Ocean such as North Atlantic Deep Water, Mediterranean Sea Overflow Water, Antarctic Intermediate Water, and Antarctic Bottom Water were sampled at five locations. Prokaryotic cells from these samples were collected by filtration and subsequently incubated in virus-reduced water from either the same (control) or a different water mass (transplantation treatment). Additionally, mixtures of prokaryotes obtained from two different water masses were incubated in a mixture of virus-reduced water from the same water masses (control) or in virus-reduced water from the source water masses separately (mixing treatments). Pronounced differences in productivity-related parameters (prokaryotic leucine incorporation, prokaryotic and viral abundance) between water masses caused strong changes in viral lysis of prokaryotes. Often, mixing of water masses increased viral lysis of prokaryotes, indicating that lysogenic viruses were induced into the lytic cycle. Mixing-induced changes in viral lysis had a strong effect on the community composition of prokaryotes and viruses. Our data show that mixing of deep-sea water masses alters levels of viral lysis of prokaryotes and in many cases weakens the efficiency of the microbial loop by enhancing the recycling of organic carbon in the deep ocean.</t>
  </si>
  <si>
    <t>[Winter, Christian; Koestner, Nicole; Kruspe, Carl-Philip; Urban, Damaris; Muck, Simone; Reinthaler, Thomas; Herndl, Gerhard J.] Univ Vienna, Dept Limnol &amp; Biooceanog, Althanstr 14, A-1090 Vienna, Austria</t>
  </si>
  <si>
    <t>University of Vienna</t>
  </si>
  <si>
    <t>Winter, C (corresponding author), Univ Vienna, Dept Limnol &amp; Biooceanog, Althanstr 14, A-1090 Vienna, Austria.</t>
  </si>
  <si>
    <t>christian.winter@univie.ac.at</t>
  </si>
  <si>
    <t>Herndl, Gerhard J./S-3011-2019; Reinthaler, Thomas/E-6563-2013; Herndl, Gerhard J./B-1513-2013</t>
  </si>
  <si>
    <t>Herndl, Gerhard J./0000-0002-2223-2852; Reinthaler, Thomas/0000-0003-3881-3122; Urban, Damaris/0000-0001-6964-7505; Winter, Christian/0000-0001-6327-0209</t>
  </si>
  <si>
    <t>European Research Council Advanced Grant (MEDEA) [268595]; Austrian Science Fund (FWF) [P23221-B11, P24413-B21]; European Research Council (ERC) [268595] Funding Source: European Research Council (ERC); Austrian Science Fund (FWF) [P24413, P23221] Funding Source: Austrian Science Fund (FWF)</t>
  </si>
  <si>
    <t>European Research Council Advanced Grant (MEDEA); Austrian Science Fund (FWF)(Austrian Science Fund (FWF)); European Research Council (ERC)(European Research Council (ERC)Spanish Government); Austrian Science Fund (FWF)(Austrian Science Fund (FWF))</t>
  </si>
  <si>
    <t>We thank two anonymous reviewers and the editor for improving the manuscript with their constructive criticism. Barbara Bayer is acknowledged for commenting on an earlier draft of the manuscript. This study was financially supported by an European Research Council Advanced Grant (MEDEA, grant number 268595) to GJH, by the Austrian Science Fund (FWF): P23221-B11 to TR, and by the Austrian Science Fund (FWF): P24413-B21 to CW.</t>
  </si>
  <si>
    <t>0012-9658</t>
  </si>
  <si>
    <t>1939-9170</t>
  </si>
  <si>
    <t>10.1002/ecy.2135</t>
  </si>
  <si>
    <t>FY0KK</t>
  </si>
  <si>
    <t>WOS:000426499800019</t>
  </si>
  <si>
    <t>Matsuo, J; Nakamura, S; Okubo, T; Fukui, M; Yamaguchi, H</t>
  </si>
  <si>
    <t>Matsuo, Junji; Nakamura, Shinji; Okubo, Torahiko; Fukui, Manabu; Yamaguchi, Hiroyuki</t>
  </si>
  <si>
    <t>Long-term survival of Naegleria polaris from Antarctica after 10 years of storage at 4 A°C</t>
  </si>
  <si>
    <t>PARASITOLOGY RESEARCH</t>
  </si>
  <si>
    <t>Amoebae; Naegleria; Antarctica; Survival; Long-term storage</t>
  </si>
  <si>
    <t>FREE-LIVING AMEBAS; SCANNING ELECTRON-MICROSCOPY; SUCKER-LIKE STRUCTURES; GENUS NAEGLERIA; FOWLERI; ACANTHAMOEBA; VIABILITY; CULTURES; STRAINS; WATER</t>
  </si>
  <si>
    <t>A free-living amoeba, Naegleria is ubiquitously distributed in various natural environments. Since some Naegleria spp. are exclusively distributed in the Arctic and sub-Antarctic regions, we hypothesized that the amoeba may be useful to determine long-term survival of Naegleria in laboratory conditions at 4 A degrees C. The main objective of the study is to determine that a species of an environmental amoebal isolated can live at low temperatures after a long time. Here, we therefore show long-term survival of an amoeba, Naegleria polaris isolated from a sediment sample, which was collected from Antarctica 10 years ago, and since stored at 4 A degrees C. The sample was put on non-nutrient agar plates with heat-killed Escherichia coli, and then the plate was incubated at 4, 15, or 30 A degrees C. Motile amoebae were seen only when the plate was incubated at 15 A degrees C. The sequencing of ribosomal DNA including internal transcribed spacers (ITS) 1, 5.8S rDNA, and ITS2 region revealed the amoebae to be N. polaris, which is exclusively distributed in the Arctic and sub-Antarctic regions. Scanning electron microscopic observation showed that no typical sucker-like structure was seen on the surface of N. polaris, but the cysts were similar to those of Naegleria fowleri. Thus, our result shows, for the first time, that N. polaris can survive after 10 years of storage at 4 A degrees C. This finding may help us understand the still undescribed effects of environmental samples on viability of amoebae.</t>
  </si>
  <si>
    <t>[Matsuo, Junji; Okubo, Torahiko; Yamaguchi, Hiroyuki] Hokkaido Univ, Dept Med Lab Sci, Fac Hlth Sci, Kita Ku, North 12,West 5, Sapporo, Hokkaido 0600812, Japan; [Nakamura, Shinji] Juntendo Univ, Res Support Ctr, Grad Sch Med, Lab Morphol &amp; Image Anal,Bunkyo Ku, 2-1-1 Hongo, Tokyo 1138421, Japan; [Fukui, Manabu] Hokkaido Univ, Inst Low Temp Sci, Kita Ku, North 19,West 8, Sapporo, Hokkaido 0600819, Japan</t>
  </si>
  <si>
    <t>Hokkaido University; Juntendo University; Hokkaido University</t>
  </si>
  <si>
    <t>Matsuo, J (corresponding author), Hokkaido Univ, Dept Med Lab Sci, Fac Hlth Sci, Kita Ku, North 12,West 5, Sapporo, Hokkaido 0600812, Japan.</t>
  </si>
  <si>
    <t>matsuo@hs.hokudai.ac.jp</t>
  </si>
  <si>
    <t>Okubo, Torahiko/Q-1707-2019; Fukui, Manabu/E-1323-2012</t>
  </si>
  <si>
    <t>Okubo, Torahiko/0000-0002-3194-5862;</t>
  </si>
  <si>
    <t>Grants-in-Aid for Scientific Research [16K15270, 16H05225] Funding Source: KAKEN</t>
  </si>
  <si>
    <t>Grants-in-Aid for Scientific Research(Ministry of Education, Culture, Sports, Science and Technology, Japan (MEXT)Japan Society for the Promotion of ScienceGrants-in-Aid for Scientific Research (KAKENHI))</t>
  </si>
  <si>
    <t>0932-0113</t>
  </si>
  <si>
    <t>1432-1955</t>
  </si>
  <si>
    <t>PARASITOL RES</t>
  </si>
  <si>
    <t>Parasitol. Res.</t>
  </si>
  <si>
    <t>10.1007/s00436-018-5779-9</t>
  </si>
  <si>
    <t>Parasitology</t>
  </si>
  <si>
    <t>FY1DA</t>
  </si>
  <si>
    <t>WOS:000426550800037</t>
  </si>
  <si>
    <t>Müller, R; Grooss, JU; Zafar, AM; Robrecht, S; Lehmann, R</t>
  </si>
  <si>
    <t>Mueller, Rolf; Grooss, Jens-Uwe; Zafar, Abdul Mannan; Robrecht, Sabine; Lehmann, Ralph</t>
  </si>
  <si>
    <t>The maintenance of elevated active chlorine levels in the Antarctic lower stratosphere through HCl null cycles</t>
  </si>
  <si>
    <t>LARGE HNO3-CONTAINING PARTICLES; ABSORPTION CROSS-SECTIONS; POLAR OZONE DEPLETION; SULFURIC-ACID; WINTER; DENITRIFICATION; SIMULATION; CHEMISTRY; CLOUDS; CLONO2</t>
  </si>
  <si>
    <t>The Antarctic ozone hole arises from ozone destruction driven by elevated levels of ozone destroying (active) chlorine in Antarctic spring. These elevated levels of active chlorine have to be formed first and then maintained throughout the period of ozone destruction. It is a matter of debate how this maintenance of active chlorine is brought about in Antarctic spring, when the rate of formation of HCl (considered to be the main chlorine deactivation mechanism in Antarctica) is extremely high. Here we show that in the heart of the ozone hole (16-18 km or 85-55 hPa, in the core of the vortex), high levels of active chlorine are maintained by effective chemical cycles (referred to as HCl null cycles hereafter). In these cycles, the formation of HCl is balanced by immediate reactivation, i.e. by immediate reformation of active chlorine. Under these conditions, polar stratospheric clouds sequester HNO3 and thereby cause NO2 concentrations to be low. These HCl null cycles allow active chlorine levels to be maintained in the Antarctic lower stratosphere and thus rapid ozone destruction to occur. For the observed almost complete activation of stratospheric chlorine in the lower stratosphere, the heterogeneous reaction HCl + HOCl is essential; the production of HOCl occurs via HO2 + ClO, with the HO2 resulting from CH2O photolysis. These results are important for assessing the impact of changes of the future stratospheric composition on the recovery of the ozone hole. Our simulations indicate that, in the lower stratosphere, future increased methane concentrations will not lead to enhanced chlorine deactivation (through the reaction CH4 + Cl -&gt; HCl + CH3) and that extreme ozone destruction to levels below approximate to 0.1 ppm will occur until mid-century.</t>
  </si>
  <si>
    <t>[Mueller, Rolf; Grooss, Jens-Uwe; Zafar, Abdul Mannan; Robrecht, Sabine] Forschungszentrum Julich, Inst Energy &amp; Climate Res IEK 7, Julich, Germany; [Lehmann, Ralph] Alfred Wegener Inst, Helmholtz Ctr Polar &amp; Marine Res, Potsdam, Germany; [Zafar, Abdul Mannan] Univ Engn &amp; Technol, Inst Environm Engn &amp; Res, Lahore, Pakistan</t>
  </si>
  <si>
    <t>Helmholtz Association; Research Center Julich; Helmholtz Association; Alfred Wegener Institute, Helmholtz Centre for Polar &amp; Marine Research; University of Engineering &amp; Technology Lahore</t>
  </si>
  <si>
    <t>Müller, R (corresponding author), Forschungszentrum Julich, Inst Energy &amp; Climate Res IEK 7, Julich, Germany.</t>
  </si>
  <si>
    <t>ro.mueller@fz-juelich.de</t>
  </si>
  <si>
    <t>Zafar, Abdul Mannan/AAK-9918-2021; Grooß, Jens-Uwe/N-3305-2019; Müller, Rolf/ABA-8213-2021</t>
  </si>
  <si>
    <t>Zafar, Abdul Mannan/0000-0002-3289-4315; Grooß, Jens-Uwe/0000-0002-9485-866X; Müller, Rolf/0000-0002-5024-9977</t>
  </si>
  <si>
    <t>European Community's Seventh Framework Programme (FP7) [603557]</t>
  </si>
  <si>
    <t>European Community's Seventh Framework Programme (FP7)(European Union (EU))</t>
  </si>
  <si>
    <t>Part of this work was done in the frame of the master's thesis of Abdul Mannan Zafar at the Technische Universitat Darmstadt; we thank Martin Ebert for supervising the thesis. Part of this work was funded by the European Community's Seventh Framework Programme (FP7/2007-2013) in the frame of the StratoClim project (grant agreement no. 603557). We thank the European Centre for Medium-Range Weather Forecasts (ECMWF) for providing meteorological data sets. Finally, we thank the reviewers and the editor (Farahnaz Khosrawi) for helpful comments.</t>
  </si>
  <si>
    <t>10.5194/acp-18-2985-2018</t>
  </si>
  <si>
    <t>FY1FE</t>
  </si>
  <si>
    <t>WOS:000426556500005</t>
  </si>
  <si>
    <t>Zhou, Q; Yin, QZ; Shearer, CK; Li, XH; Li, QL; Liu, Y; Tang, GQ; Li, CL</t>
  </si>
  <si>
    <t>Zhou, Qin; Yin, Qing-Zhu; Shearer, Charles K.; Li, Xian-Hua; Li, Qiu-Li; Liu, Yu; Tang, Guo-Qiang; Li, Chun-Lai</t>
  </si>
  <si>
    <t>U-Pb and Pb-Pb apatite ages for Antarctic achondrite Graves Nunataks 06129</t>
  </si>
  <si>
    <t>EARLY SOLAR-SYSTEM; MOON-FORMING IMPACT; MANTLE DIFFERENTIATION; ORDINARY CHONDRITES; REDOX CONDITIONS; LATE ACCRETION; CORE FORMATION; PARENT BODY; ISOTOPE; CHRONOLOGY</t>
  </si>
  <si>
    <t>The Antarctic achondrite Graves Nunataks 06128 (GRA 06128) and Graves Nunataks 06129 (GRA 06129) represent a unique high-temperature, nonbasaltic magmatism in the early solar system. These objects have been interpreted as products of low-degree partial melting of volatile-rich chondritic material, which may have been the asteroid parent bodies of brachinite. Previous studies have investigated their crystallization and metamorphic history with various isotope systematics. Here, we report the U-Pb intercept age of 4466 +/- 29Ma and the weighted-average Pb-207-Pb-206 age of 4460 +/- 30Ma for the Cl-apatite grains from GRA 06129. Our apatite ages are obviously younger than that of the Al-26-Mg-26 model age (4565.9 +/- 0.3Ma; Shearer etal. ), but are the same as the 40Ar-39Ar age obtained via step-heating of the bulk rock (4460 +/- 28Ma; Fernandes and Shearer ; Shearer etal. ). Based on petrographic observations, merrillites are usually rimmed by apatite and exist as inclusions in apatite. Therefore, the apatite U-Pb age from GRA 06129 probably records a metamorphic event of replacing merrillite with apatite, caused by Cl-rich melts or fluids on their parent body. A collisional event has provided the impact heating for this metamorphic event. Increasing amounts of geochronologic evidence show that the giant impact of the Moon-forming event has affected the asteroid belt at 4450-4470Ma (Bogard and Garrison ; Popova etal. ; Yin etal. ; Zhang etal. ). Considering the contemporary metamorphic events for GRA 06129 (4460 +/- 30Ma), it is likely that the asteroid parent body of GRA 06129 was also affected by the same giant impact as the Moon-forming event.</t>
  </si>
  <si>
    <t>[Zhou, Qin; Li, Chun-Lai] Chinese Acad Sci, Key Lab Lunar &amp; Deep Space Explorat, Natl Astron Observ, Beijing 100012, Peoples R China; [Yin, Qing-Zhu] Univ Calif Davis, Dept Earth &amp; Planetary Sci, One Shields Ave, Davis, CA 95616 USA; [Shearer, Charles K.] Univ New Mexico, Dept Earth &amp; Planetary Sci, Inst Meteorit, Albuquerque, NM 87131 USA; [Li, Xian-Hua; Li, Qiu-Li; Liu, Yu; Tang, Guo-Qiang] Chinese Acad Sci, State Key Lab Lithospher Evolut, Inst Geol &amp; Geophys, Beijing 100029, Peoples R China</t>
  </si>
  <si>
    <t>Chinese Academy of Sciences; National Astronomical Observatory, CAS; University of California System; University of California Davis; University of New Mexico; Chinese Academy of Sciences; Institute of Geology &amp; Geophysics, CAS</t>
  </si>
  <si>
    <t>Zhou, Q (corresponding author), Chinese Acad Sci, Key Lab Lunar &amp; Deep Space Explorat, Natl Astron Observ, Beijing 100012, Peoples R China.</t>
  </si>
  <si>
    <t>zhouq@bao.ac.cn</t>
  </si>
  <si>
    <t>Zhou, Qin/AFK-0169-2022; yang, qing/JBR-8440-2023; Yin, Qing-Zhu/B-8198-2009; Zhou, Qin/AAF-7236-2022; Li, Qiuli/A-8874-2012; LI, Chunlai/ABG-3649-2021</t>
  </si>
  <si>
    <t>Zhou, Qin/0000-0001-8562-9737; Zhou, Qin/0000-0001-8562-9737;</t>
  </si>
  <si>
    <t>NSFC [41403055]</t>
  </si>
  <si>
    <t>NSFC(National Natural Science Foundation of China (NSFC))</t>
  </si>
  <si>
    <t>We thank the reviewers, J. Day, V. Fernandes, and especially the late F. Lindsay for their constructive comments on this paper. We were extremely saddened to hear the news that Fara Lindsay, who has provided invaluable and comprehensive comments for this paper, passed away on June 14, 2017, and could not see the final publication with her labor crystallized in it. We dedicate this paper to her memory, for her love of art and science, and for her dedication to professionalism. Fara will inspire us all, especially Q. Z. the lead author, an early career female scientist, who delayed the revision for giving birth to a baby girl, and now back to science, and completed the paper into a final form following Fara's generous critiques and suggestions. Finally, we thank the Associate Editor Randy Korotev, Executive Editor A. J. Timothy Jull, and the editorial staff at MAPS for their efficient editorial handling of this paper. This work was supported by the NSFC grant (41403055).</t>
  </si>
  <si>
    <t>10.1111/maps.13026</t>
  </si>
  <si>
    <t>FY0QU</t>
  </si>
  <si>
    <t>WOS:000426517500007</t>
  </si>
  <si>
    <t>Flynn, EE; Todgham, AE</t>
  </si>
  <si>
    <t>Flynn, Erin E.; Todgham, Anne E.</t>
  </si>
  <si>
    <t>Thermal windows and metabolic performance curves in a developing Antarctic fish</t>
  </si>
  <si>
    <t>JOURNAL OF COMPARATIVE PHYSIOLOGY B-BIOCHEMICAL SYSTEMS AND ENVIRONMENTAL PHYSIOLOGY</t>
  </si>
  <si>
    <t>Temperature; Metabolism; Performance curves; Embryos; Polar fish; Gymnodraco acuticeps</t>
  </si>
  <si>
    <t>COD BOREOGADUS-SAIDA; HEAT-SHOCK RESPONSE; EARLY-LIFE-HISTORY; CLIMATE-CHANGE; EMBRYONIC-DEVELOPMENT; ELEVATED-TEMPERATURE; OXYGEN-CONSUMPTION; AEROBIC METABOLISM; ENERGY-UTILIZATION; NOTOTHENIOID FISH</t>
  </si>
  <si>
    <t>For ectotherms, temperature modifies the rate of physiological function across a temperature tolerance window depending on thermal history, ontogeny, and evolutionary history. Some adult Antarctic fishes, with comparatively narrow thermal windows, exhibit thermal plasticity in standard metabolic rate; however, little is known about the shape or breadth of thermal performance curves of earlier life stages of Antarctic fishes. We tested the effects of acute warming (- 1 to 8 A degrees C) and temperature acclimation (2 weeks at - 1, 2, 4 A degrees C) on survival and standard metabolic rate in early embryos of the dragonfish Gymnodraco acuticeps from McMurdo Sound, Ross Island, Antarctica. Contrary to predictions, embryos acclimated to warmer temperatures did not experience greater mortality and nearly all embryos survived acute warming to 8 A degrees C. Metabolic performance curve height and shape were both significantly altered after 2 weeks of development at - 1 A degrees C, with further increase in curve height, but not alteration of shape, with warm temperature acclimation. Overall metabolic rate temperature sensitivity (Q (10)) from - 1 to 8 A degrees C varied from 2.6 to 3.6, with the greatest thermal sensitivity exhibited by embryos at earlier developmental stages. Interclutch variation in metabolic rates, mass, and development of simultaneously collected embryos was also documented. Taken together, metabolic performance curves provide insight into the costs of early development under warming temperatures, with the potential for thermal sensitivity to be modified by dragonfish phenology and magnitude of seasonal changes in temperature.</t>
  </si>
  <si>
    <t>[Flynn, Erin E.; Todgham, Anne E.] Univ Calif Davis, Dept Anim Sci, Davis, CA 95616 USA</t>
  </si>
  <si>
    <t>University of California System; University of California Davis</t>
  </si>
  <si>
    <t>Todgham, AE (corresponding author), Univ Calif Davis, Dept Anim Sci, Davis, CA 95616 USA.</t>
  </si>
  <si>
    <t>todgham@ucdavis.edu</t>
  </si>
  <si>
    <t>Todgham, Anne/0000-0003-1439-6985</t>
  </si>
  <si>
    <t>National Science Foundation (NSF) [ANT-1142122]; Office of Polar Programs (OPP); Directorate For Geosciences [1142122] Funding Source: National Science Foundation</t>
  </si>
  <si>
    <t>We thank the United States Antarctic Program and Lockheed Martin for logistical and field support at McMurdo Station, Antarctica, including SCUBA divers Rob Robbins and Steve Rupp. Brittany Davis and Dr. Nathan Miller provided invaluable experimental assistance, and Prof. Nann Fangue contributed helpful discussion and feedback to the writing of this paper. This work was supported by the National Science Foundation (NSF ANT-1142122) to A.E.T.</t>
  </si>
  <si>
    <t>0174-1578</t>
  </si>
  <si>
    <t>1432-136X</t>
  </si>
  <si>
    <t>J COMP PHYSIOL B</t>
  </si>
  <si>
    <t>J. Comp. Physiol. B-Biochem. Syst. Environ. Physiol.</t>
  </si>
  <si>
    <t>10.1007/s00360-017-1124-3</t>
  </si>
  <si>
    <t>Physiology; Zoology</t>
  </si>
  <si>
    <t>FX9YV</t>
  </si>
  <si>
    <t>WOS:000426468000006</t>
  </si>
  <si>
    <t>Downes, SM; Spence, P; Hogg, AM</t>
  </si>
  <si>
    <t>Downes, S. M.; Spence, P.; Hogg, A. M.</t>
  </si>
  <si>
    <t>Understanding variability of the Southern Ocean overturning circulation in CORE-II models</t>
  </si>
  <si>
    <t>CORE-II models; Meridional overturning circulation; Southern Ocean; Eddy parameterisation; Ocean stratification; Water mass transformation</t>
  </si>
  <si>
    <t>ANTARCTIC CIRCUMPOLAR CURRENT; SEA-ICE; CLIMATE-CHANGE; COUPLED MODEL; DRAKE PASSAGE; SIMULATIONS; TRANSPORT; SUITE; WINDS</t>
  </si>
  <si>
    <t>The current generation of climate models exhibit a large spread in the steady-state and projected Southern Ocean upper and lower overturning circulation, with mechanisms for deep ocean variability remaining less well understood. Here, common Southern Ocean metrics in twelve models from the Coordinated Ocean-ice Reference Experiment Phase II (CORE-II) are assessed over a 60 year period. Specifically, stratification, surface buoyancy fluxes, and eddies are linked to the magnitude of the strengthening trend in the upper overturning circulation, and a decreasing trend in the lower overturning circulation across the CORE-II models. The models evolve similarly in the upper 1 km and the deep ocean, with an almost equivalent poleward intensification trend in the Southern Hemisphere westerly winds. However, the models differ substantially in their eddy parameterisation and surface buoyancy fluxes. In general, models with a larger heat-driven water mass transformation where deep waters upwell at the surface (similar to 55 degrees S) transport warmer waters into intermediate depths, thus weakening the stratification in the upper 2 km. Models with a weak eddy induced overturning and a warm bias in the intermediate waters are more likely to exhibit larger increases in the upper overturning circulation, and more significant weakening of the lower overturning circulation. We find the opposite holds for a cool model bias in intermediate depths, combined with a more complex 3D eddy parameterisation that acts to reduce isopycnal slope. In summary, the Southern Ocean overturning circulation decadal trends in the coarse resolution CORE-II models are governed by biases in surface buoyancy fluxes and the ocean density field, and the configuration of the eddy parameterisation.</t>
  </si>
  <si>
    <t>[Downes, S. M.] Univ Tasmania, Antarctic Climate &amp; Ecosyst Cooperat Res Ctr, Hobart, Tas, Australia; [Spence, P.] Univ New South Wales, Climate Change Res Ctr, Sydney, NSW, Australia; [Spence, P.] Univ New South Wales, ARC Ctr Excellence Climate Syst Sci, Sydney, NSW, Australia; [Hogg, A. M.] Australian Natl Univ, Res Sch Earth Sci, Canberra, ACT, Australia; [Hogg, A. M.] Australian Natl Univ, ARC Ctr Excellence Climate Syst Sci, Canberra, ACT, Australia</t>
  </si>
  <si>
    <t>University of Tasmania; Antarctic Climate &amp; Ecosystems Cooperative Research Centre (ACE CRC); University of New South Wales Sydney; ARC Centre of Excellence for Climate System Science; University of New South Wales Sydney; Australian National University; ARC Centre of Excellence for Climate System Science; Australian National University</t>
  </si>
  <si>
    <t>Downes, SM (corresponding author), Univ Tasmania, Antarctic Climate &amp; Ecosyst Cooperat Res Ctr, Hobart, Tas, Australia.</t>
  </si>
  <si>
    <t>s.downes@utas.edu.au</t>
  </si>
  <si>
    <t>Hogg, Andy McC./A-7553-2011; Hogg, Andy/AAZ-8733-2021; Downes, Stephanie/A-1424-2012; Spence, Paul/IZE-7366-2023</t>
  </si>
  <si>
    <t>Hogg, Andy McC./0000-0001-5898-7635; Hogg, Andy/0000-0001-5898-7635; Spence, Paul/0000-0001-5156-2204</t>
  </si>
  <si>
    <t>Australian Governments Business Cooperative Research Centres Programme through the Antarctic Climate and Ecosystems Cooperative Research Centre (ACE CRC); Australian Research CouncilDECRA Fellowship [DE150100223]</t>
  </si>
  <si>
    <t>Australian Governments Business Cooperative Research Centres Programme through the Antarctic Climate and Ecosystems Cooperative Research Centre (ACE CRC)(Australian GovernmentDepartment of Industry, Innovation and ScienceCooperative Research Centres (CRC) Programme); Australian Research CouncilDECRA Fellowship(Australian Research Council)</t>
  </si>
  <si>
    <t>The authors wish to thank R. Farneti for assistance with model output, O. Saenko for eddy coefficients in the CanESM2 model, and M. Nikurashin for discussions on overturning circulation and wind stress. We are grateful for the constructive comments provided by three anonymous reviewers. SMD was supported by the Australian Governments Business Cooperative Research Centres Programme through the Antarctic Climate and Ecosystems Cooperative Research Centre (ACE CRC) and PS by an Australian Research CouncilDECRA Fellowship DE150100223.</t>
  </si>
  <si>
    <t>10.1016/j.ocemod.2018.01.005</t>
  </si>
  <si>
    <t>FY0BL</t>
  </si>
  <si>
    <t>WOS:000426474800007</t>
  </si>
  <si>
    <t>Holan, JR; King, CK; Davis, AR</t>
  </si>
  <si>
    <t>Holan, Jessica R.; King, Catherine K.; Davis, Andrew R.</t>
  </si>
  <si>
    <t>Comparative copper sensitivity between life stages of common subantarctic marine invertebrates</t>
  </si>
  <si>
    <t>Copper; Marine toxicity tests; Aquatic invertebrates; Antarctic; Polar</t>
  </si>
  <si>
    <t>GLOBAL CLIMATE-CHANGE; METAL CONTAMINANTS; TOXICITY TESTS; EXPOSURE; TEMPERATURE; DURATION; SALINITY; CADMIUM; AGE; ACCUMULATION</t>
  </si>
  <si>
    <t>The development of environmental guidelines in the Antarctic and subantarctic is essential, because expansion of research, tourism, and fishing is placing these regions at increasing risk of contamination. Data are currently insufficient to create the region-specific guidelines needed for the unique conditions in these areas. To develop the most appropriate environmental guidelines, data from the most sensitive life stages of a species should be included to ensure effective protection throughout its life cycle. It is generally accepted that early life stages are more sensitive to contaminants. We compared the toxicity of copper between juvenile and adult life stages of 4 subantarctic marine invertebrates using sublethal and lethal endpoints. For 2 of the species tested, juveniles were more sensitive than adults. (The 7-d median effect concentration [EC50] values for the gastropod Laevilittorina caliginosa were 79g/L at the juvenile stage and 125g/L at the adult; for the flatworm Obrimoposthia ohlini, values were 190g/L at the juvenile stage and 300g/L at the adult.) For the isopod Limnoria stephenseni, juveniles were either more sensitive or of equal sensitivity to adults (7-d EC50 values: juvenile 278g/L and adult 320g/L). In contrast, for the bivalve Gaimardia trapesina, adults appeared to be more sensitive than young adults (7-d EC50 values: juvenile 23g/L and adult &lt;10-20g/L). Although no consistent trend in the sensitivity of life history stages was observed, the present study contributes important information for the development of water quality guidelines in polar regions. Environ Toxicol Chem 2018;37:807-815. (c) 2017 SETAC</t>
  </si>
  <si>
    <t>[Holan, Jessica R.; Davis, Andrew R.] Univ Wollongong, Ctr Sustainable Ecosyst Solut, Wollongong, NSW, Australia; [Holan, Jessica R.; Davis, Andrew R.] Univ Wollongong, Sch Biol Sci, Wollongong, NSW, Australia; [King, Catherine K.] Australian Antarctic Div, Kingston, Tas, Australia</t>
  </si>
  <si>
    <t>University of Wollongong; University of Wollongong; Australian Antarctic Division</t>
  </si>
  <si>
    <t>Holan, JR (corresponding author), Univ Wollongong, Ctr Sustainable Ecosyst Solut, Wollongong, NSW, Australia.;Holan, JR (corresponding author), Univ Wollongong, Sch Biol Sci, Wollongong, NSW, Australia.</t>
  </si>
  <si>
    <t>jrh951@uowmail.edu.au</t>
  </si>
  <si>
    <t>King, Catherine K/G-7059-2017; Holan, Jessica/J-5399-2019</t>
  </si>
  <si>
    <t>King, Catherine K/0000-0003-3356-0381; Holan, Jessica/0000-0003-0080-4909</t>
  </si>
  <si>
    <t>Australian Antarctic Science Grant [AAS 4100]; Australian Postgraduate Award</t>
  </si>
  <si>
    <t>Australian Antarctic Science Grant; Australian Postgraduate Award(Australian Government)</t>
  </si>
  <si>
    <t>The authors thank the expeditioners to Macquarie Island in 2013/2014 for support of this project, particularly B. Sfiligoj. Thanks also to A. Cooper for assistance with ICP-OES analysis and general help throughout project, and to the Australian Antarctic Division Marine Research Facilities staff for assistance in maintaining the aquaria. Permits for collections were issued by the Department of Primary Industries, Parks, Water and Environment, Tasmania. The present study was supported by an Australian Antarctic Science Grant (AAS 4100) awarded to C. King and by an Australian Postgraduate Award to J. Holan.</t>
  </si>
  <si>
    <t>10.1002/etc.4009</t>
  </si>
  <si>
    <t>FX5YH</t>
  </si>
  <si>
    <t>WOS:000426158000017</t>
  </si>
  <si>
    <t>Moodley, L; Arnberg, M; Dunaevskaya, E; Seear, P; Bærheim, L; Nilsen, M; Ramanand, SS; Oysæd, KB; Westerlund, S; Jonsson, G; Tarling, GA; Bechmann, RK</t>
  </si>
  <si>
    <t>Moodley, Leon; Arnberg, Maj; Dunaevskaya, Evgenia; Seear, Paul; Baerheim, Linda; Nilsen, Marianne; Ramanand, Sreerekha S.; Oysaed, Kjell Birger; Westerlund, Stig; Jonsson, Grete; Tarling, Geraint A.; Bechmann, Renee K.</t>
  </si>
  <si>
    <t>Effects of low crude oil chronic exposure on the northern krill (Meganyctiphanes norvegica)</t>
  </si>
  <si>
    <t>Zooplankton; Northern krill; Oil exposure; Biomarkers</t>
  </si>
  <si>
    <t>COPEPOD CALANUS-FINMARCHICUS; PLANKTONIC COPEPODS; OXIDATIVE STRESS; ANTARCTIC KRILL; GENE-EXPRESSION; DISPERSED OIL; UVB RADIATION; FATTY-ACIDS; WATER; TOXICITY</t>
  </si>
  <si>
    <t>Chronic oil pollution related to gas and oil drilling activities is increasing in the sea due to the rising offshore petroleum industry activity. Among marine organisms, zooplankton play a crucial role in the marine ecosystem and therefore understanding the effects of crude oil chronic exposure on zooplankton is needed to determine the impact of oil in marine environments. The present study reports on the effect of crude oil on adult northern krill, Meganyctiphanes norvegica, collected during three seasons. Their sensitivity to oil was examined with oil concentration of 0.01 versus 0.1 mg oil L-1 and photo-modified oil in flowing seawater maintained in the dark for 2 weeks at in situ temperature. Oil (polycyclic aromatic hydrocarbons, PAHs) entered the krill (on average, 350 and 4400 mu g.kg(-1) wet weight in low and medium oil treatments respectively) and a larger fraction of the krill exhibited digestive gland pathologies (enhanced apoptosis and pathology of digestive tubules) in oil treatments (27-80%) compared to a significantly lower fraction (7-13%) in treatments that received no oil. However, 2-week oil exposure at these concentrations did not significantly decrease survivorship or impair basic functioning such as feeding and respiration rates. Similarly, there were only limited changes in the transcription of 7 selected genes from head tissue. Additionally, although there was significant seasonal variation in krill total lipid content and fatty acid composition, there was no treatment effect on both these parameters, which suggests limited oxidative stress under experimental conditions. Furthermore, there was no significant treatment effect on two direct measures of oxidative stress (MDA: malondialdehyde and AOPP: advanced oxidation protein products) in any of the seasons. Nevertheless, histology clearly revealed enhanced digestive gland pathologies in krill even at low concentrations. Although krill with such pathologies continue to survive, their accumulation of PAHs may be transferred up the food chain, impacting their predators and the wider ecosystem.</t>
  </si>
  <si>
    <t>[Moodley, Leon; Arnberg, Maj; Dunaevskaya, Evgenia; Ramanand, Sreerekha S.; Oysaed, Kjell Birger; Westerlund, Stig; Bechmann, Renee K.] IRIS, Dept Marine Environm, Mekjarvik 12, N-4072 Randaberg, Norway; [Seear, Paul] Univ Leicester, Coll Med Biol Sci &amp; Psychol, Dept Genet, Leicester LE1 7RH, Leics, England; [Baerheim, Linda] Univ Stavanger, Fac Sci &amp; Technol, N-4036 Stavanger, Norway; [Nilsen, Marianne] Western Norway Univ Appl Sci HVL, Campus Sogndal,Royrgata 6, N-6856 Sogndal, Norway; [Jonsson, Grete] Stavanger Univ Hosp, Dept Med Biochem, Stavanger, Norway; [Tarling, Geraint A.] British Antarctic Survey, Nat Environm Res Council, Madingley Rd, Cambridge CB3 0ET, England</t>
  </si>
  <si>
    <t>University of Leicester; Universitetet i Stavanger; Western Norway University of Applied Sciences; Stavanger University Hospital; UK Research &amp; Innovation (UKRI); Natural Environment Research Council (NERC); NERC British Antarctic Survey</t>
  </si>
  <si>
    <t>Moodley, L (corresponding author), IRIS, Dept Marine Environm, Mekjarvik 12, N-4072 Randaberg, Norway.</t>
  </si>
  <si>
    <t>lemo@iris.no</t>
  </si>
  <si>
    <t>Bechmann, Renee/KFR-1966-2024; moodley, leon/AAH-1674-2019</t>
  </si>
  <si>
    <t>Bechmann, Renee/0000-0002-7113-4386; Moodley, Leon/0000-0002-0617-3514</t>
  </si>
  <si>
    <t>Research Council of Norway (RCN) [234291]; NERC [bas0100035] Funding Source: UKRI</t>
  </si>
  <si>
    <t>Research Council of Norway (RCN)(Research Council of Norway); NERC(UK Research &amp; Innovation (UKRI)Natural Environment Research Council (NERC))</t>
  </si>
  <si>
    <t>We wish to thank Mark Berry at IRIS for help and technical support. This study was funded by The Research Council of Norway (RCN, grant # 234291 to RKB). Lipids, FAs and stable carbon isotope analysis were carried out at the Royal Netherlands Institute of Sea Research, Yerseke, The Netherlands, with special thanks to Peter van Breugel and Pieter van Rijswijk. We gratefully acknowledge the editor and 2 anonymous reviewers for their helpful comments on this manuscript. Thorleifeur Agustsson (IRIS) is acknowledged for commenting on the manuscript.</t>
  </si>
  <si>
    <t>10.1016/j.jembe.2017.07.003</t>
  </si>
  <si>
    <t>FX6XL</t>
  </si>
  <si>
    <t>WOS:000426230500014</t>
  </si>
  <si>
    <t>Coxall, HK; Huck, CE; Huber, M; Lear, CH; Legarda-Lisarri, A; O'Regan, M; Sliwinska, KK; van de Flierdt, T; de Boer, AM; Zachos, JC; Backman, J</t>
  </si>
  <si>
    <t>Coxall, Helen K.; Huck, Claire E.; Huber, Matthew; Lear, Caroline H.; Legarda-Lisarri, Alba; O'Regan, Matt; Sliwinska, Kasia K.; van de Flierdt, Tina; de Boer, Agatha M.; Zachos, James C.; Backman, Jan</t>
  </si>
  <si>
    <t>Export of nutrient rich Northern Component Water preceded early Oligocene Antarctic glaciation</t>
  </si>
  <si>
    <t>SECULAR VARIATION; ATLANTIC; EOCENE; CIRCULATION; EVOLUTION; ND; ISOTOPES; FORAMINIFERA; ONSET; TEMPERATURES</t>
  </si>
  <si>
    <t>The onset of the North Atlantic Deep Water formation is thought to have coincided with Antarctic ice-sheet growth about 34 million years ago (Ma). However, this timing is debated, in part due to questions over the geochemical signature of the ancient Northern Component Water (NCW) formed in the deep North Atlantic. Here we present detailed geochemical records from North Atlantic sediment cores located close to sites of deep-water formation. We find that prior to 36 Ma, the northwestern Atlantic was stratified, with nutrient-rich, low-salinity bottom waters. This restricted basin transitioned into a conduit for NCW that began flowing southwards approximately one million years before the initial Antarctic glaciation. The probable trigger was tectonic adjustments in subarctic seas that enabled an increased exchange across the Greenland-Scotland Ridge. The increasing surface salinity and density strengthened the production of NCW. The late Eocene deep-water mass differed in its carbon isotopic signature from modern values as a result of the leakage of fossil carbon from the Arctic Ocean. Export of this nutrient-laden water provided a transient pulse of CO2 to the Earth system, which perhaps caused short-term warming, whereas the long-term effect of enhanced NCW formation was a greater northward heat transport that cooled Antarctica.</t>
  </si>
  <si>
    <t>[Coxall, Helen K.; O'Regan, Matt; de Boer, Agatha M.; Backman, Jan] Stockholm Univ, Dept Geol Sci, Stockholm, Sweden; [Huck, Claire E.; van de Flierdt, Tina] Imperial Coll London, Dept Earth Sci &amp; Engn, London, England; [Huck, Claire E.] Univ Southampton, Natl Oceanog Ctr Southampton, Ocean &amp; Earth Sci, Southampton, Hants, England; [Huber, Matthew] Purdue Univ, Earth Atmospher &amp; Planetary Sci, W Lafayette, IN 47907 USA; [Huber, Matthew] Univ New Hampshire, Inst Study Earth Oceans &amp; Space, Durham, NH 03824 USA; [Lear, Caroline H.] Cardiff Univ, Sch Earth &amp; Ocean Sci, Cardiff, S Glam, Wales; [Legarda-Lisarri, Alba] Univ Zaragoza, Dept Earth Sci, Zaragoza, Spain; [Sliwinska, Kasia K.] GEUS, Geol Survey Denmark &amp; Greenland, Copenhagen K, Denmark; [Sliwinska, Kasia K.] NIOZ Royal Netherlands Inst Sea Res, Dept Marine Organ Biogeochem, Texel, Netherlands; [Zachos, James C.] Univ Calif Santa Cruz, Earth &amp; Planetary Sci Dept, Santa Cruz, CA 95064 USA</t>
  </si>
  <si>
    <t>Stockholm University; Imperial College London; NERC National Oceanography Centre; University of Southampton; Purdue University System; Purdue University; University System Of New Hampshire; University of New Hampshire; Cardiff University; University of Zaragoza; Geological Survey Of Denmark &amp; Greenland; Utrecht University; Royal Netherlands Institute for Sea Research (NIOZ); University of California System; University of California Santa Cruz</t>
  </si>
  <si>
    <t>Coxall, HK (corresponding author), Stockholm Univ, Dept Geol Sci, Stockholm, Sweden.</t>
  </si>
  <si>
    <t>helen.coxall@geo.su.se</t>
  </si>
  <si>
    <t>Zachos, James C/A-7674-2008; Lear, Caroline H/D-2582-2009; De Boer, Agatha M/H-4202-2012; Huber, Matthew/A-7677-2008; Śliwińska, Kasia Kamila/G-9097-2018; O'Regan, Matt/P-6277-2019</t>
  </si>
  <si>
    <t>Huber, Matthew/0000-0002-2771-9977; Śliwińska, Kasia Kamila/0000-0001-5488-8832; O'Regan, Matt/0000-0002-6046-1488; Legarda-Lisarri, Alba/0000-0003-3007-7976; Coxall, Helen/0000-0002-2843-2898; van de Flierdt, Tina/0000-0001-7176-9755</t>
  </si>
  <si>
    <t>Royal Society Research Fellowship; Swedish Funding agency (VR) [DNR 2008-2859]; Bolin Centre for Climate Research; NERC [NE/I006257/1, NE/L004607/1]; Danish Council for Independent Research/Natural Sciences (DFF/FNU) [11-107497]; NERC [NE/P019080/1, NE/I006257/1, NE/L004607/1] Funding Source: UKRI; Natural Environment Research Council [NE/I006257/1, NE/L004607/1, NE/P019080/1] Funding Source: researchfish; EPSCoR; Office Of The Director [1101245] Funding Source: National Science Foundation</t>
  </si>
  <si>
    <t>Royal Society Research Fellowship(Royal Society); Swedish Funding agency (VR); Bolin Centre for Climate Research; NERC(UK Research &amp; Innovation (UKRI)Natural Environment Research Council (NERC)); Danish Council for Independent Research/Natural Sciences (DFF/FNU); NERC(UK Research &amp; Innovation (UKRI)Natural Environment Research Council (NERC)); Natural Environment Research Council(UK Research &amp; Innovation (UKRI)Natural Environment Research Council (NERC)); EPSCoR; Office Of The Director(National Science Foundation (NSF)NSF - Office of the Director (OD)NSF - Office of Integrative Activities (OIA))</t>
  </si>
  <si>
    <t>Samples were provided by the International Ocean Discovery Program (IODP), which includes the predecessors the International Ocean Drilling Program (IODP), Deep Sea Drilling Project (DSDP) and Ocean Drilling Program (ODP). We thank J. Becker and M. Spencer for technical assistance with the stable isotopes, and H. Oste and E. Axelsson for preparing the core samples. H.K.C. was supported by a Royal Society Research Fellowship, Swedish Funding agency (VR) no. DNR 2008-2859 and the Bolin Centre for Climate Research, and T.vdF. by NERC Grants NE/I006257/1 and NE/L004607/1. K.K.S. acknowledges financial support from the Danish Council for Independent Research/Natural Sciences (DFF/FNU; Grant 11-107497).</t>
  </si>
  <si>
    <t>10.1038/s41561-018-0069-9</t>
  </si>
  <si>
    <t>FX8AA</t>
  </si>
  <si>
    <t>WOS:000426311500012</t>
  </si>
  <si>
    <t>Paolo, FS; Padman, L; Fricker, HA; Adusumilli, S; Howard, S; Siegfried, MR</t>
  </si>
  <si>
    <t>Paolo, F. S.; Padman, L.; Fricker, H. A.; Adusumilli, S.; Howard, S.; Siegfried, M. R.</t>
  </si>
  <si>
    <t>Response of Pacific-sector Antarctic ice shelves to the El Nino/Southern Oscillation (vol 11, pg 121, 2018)</t>
  </si>
  <si>
    <t>Padman, Laurence/AAH-3808-2021; Paolo, Fernando/AGQ-9348-2022</t>
  </si>
  <si>
    <t>Paolo, Fernando/0000-0002-6439-2918; Padman, Laurence/0000-0003-2010-642X</t>
  </si>
  <si>
    <t>10.1038/s41561-018-0067-y</t>
  </si>
  <si>
    <t>WOS:000426311500019</t>
  </si>
  <si>
    <t>Panassa, E; Santana-Casiano, JM; González-Dávila, M; Hoppema, M; van Heuven, SMAC; Völker, C; Wolf-Gladrow, D; Hauck, J</t>
  </si>
  <si>
    <t>Panassa, Essowe; Magdalena Santana-Casiano, J.; Gonzalez-Davila, Melchor; Hoppema, Mario; van Heuven, Steven M. A. C.; Volker, Christoph; Wolf-Gladrow, Dieter; Hauck, Judith</t>
  </si>
  <si>
    <t>Variability of nutrients and carbon dioxide in the Antarctic Intermediate Water between 1990 and 2014</t>
  </si>
  <si>
    <t>OCEAN DYNAMICS</t>
  </si>
  <si>
    <t>Prime Meridian; Antarctic Intermediate Water; Carbon; Nutrients; Decadal variability</t>
  </si>
  <si>
    <t>SOUTHERN ANNULAR MODE; MERIDIONAL OVERTURNING CIRCULATION; WEDDELL SEA; GLOBAL OCEAN; SOUTHWESTERN ATLANTIC; ANTHROPOGENIC CO2; CLIMATE-CHANGE; BOTTOM WATER; WORLD OCEAN; VERSION 2</t>
  </si>
  <si>
    <t>Antarctic Intermediate Water (AAIW) formation constitutes an important mechanism for the export of macronutrients out of the Southern Ocean that fuels primary production in low latitudes. We used quality-controlled gridded data from five hydrographic cruises between 1990 and 2014 to examine decadal variability in nutrients and dissolved inorganic carbon (DIC) in the AAIW (neutral density range 27 &lt; gamma (n) &lt; 27.4) along the Prime Meridian. Significant positive trends were found in DIC (0.70 +/- 0.4 mu mol kg(- 1) year(- 1)) and nitrate (0.08 +/- 0.06 mu mol kg(- 1) year(- 1)) along with decreasing trends in temperature (- 0.015 +/- 0.01(ay)C year(- 1)) and salinity (- 0.003 +/- 0.002 year(- 1)) in the AAIW. Accompanying this is an increase in apparent oxygen utilization (AOU, 0.16 +/- 0.07 mu mol kg(- 1) year(- 1)). We estimated that 75% of the DIC change has an anthropogenic origin. The remainder of the trends support a scenario of a strengthening of the upper-ocean overturning circulation in the Atlantic sector of the Southern Ocean in response to the positive trend in the Southern Annular Mode. A decrease in net primary productivity (more nutrients unutilized) in the source waters of the AAIW could have contributed as well but cannot fully explain all observed changes.</t>
  </si>
  <si>
    <t>[Panassa, Essowe; Hoppema, Mario; Volker, Christoph; Wolf-Gladrow, Dieter; Hauck, Judith] Helmholtz Ctr Polar &amp; Marine Res, Alfred Wegener Inst, Handelshafen 12, D-27570 Bremerhaven, Germany; [Magdalena Santana-Casiano, J.; Gonzalez-Davila, Melchor] Univ Las Palmas Gran Canaria, Inst Oceanog &amp; Cambio Global, Campus Tafira, Las Palmas Gran Canaria 35017, Spain; [van Heuven, Steven M. A. C.] Royal Netherlands Inst Sea Res, NL-1790 AB Den Burg, Netherlands</t>
  </si>
  <si>
    <t>Helmholtz Association; Alfred Wegener Institute, Helmholtz Centre for Polar &amp; Marine Research; Universidad de Las Palmas de Gran Canaria; Utrecht University; Royal Netherlands Institute for Sea Research (NIOZ)</t>
  </si>
  <si>
    <t>Panassa, E (corresponding author), Helmholtz Ctr Polar &amp; Marine Res, Alfred Wegener Inst, Handelshafen 12, D-27570 Bremerhaven, Germany.</t>
  </si>
  <si>
    <t>essowe.panassa@awi.de; magdalena.santana@ulpgc.es; melchor.gonzalez@ulpgc.es; mario.hoppema@awi.de; svheuven@gmail.com; christoph.voelker@awi.de; dieter.wolf-gladrow@awi.de; judith.hauck@awi.de</t>
  </si>
  <si>
    <t>DAVILA, MELCHOR GONZALEZ/K-4958-2014; Hauck, Judith/AAC-3967-2019; Voelker, Christoph/I-7891-2012; Hoppema, Mario/I-6286-2013; CASIANO, JUANA MAGDALENA SANTANA/K-5058-2014; GONZALEZ-DAVILA, MELCHOR/K-5058-2014</t>
  </si>
  <si>
    <t>Hauck, Judith/0000-0003-4723-9652; Voelker, Christoph/0000-0003-3032-114X; CASIANO, JUANA MAGDALENA SANTANA/0000-0002-7930-7683; GONZALEZ-DAVILA, MELCHOR/0000-0003-3230-8985</t>
  </si>
  <si>
    <t>National Science Foundation, Division of Polar Programs [NSF PLR - 1425989]; EU FP7 project CARBOCHANGE [264879]; Helmholtz PostDoc Porgramme (Initiative and Networking Fund of the Helmholtz Association) [PD-102]; National Science Foundation, Division of Polar Programs [NSF PLR - 1425989]; EU FP7 project CARBOCHANGE [264879]; Helmholtz PostDoc Porgramme (Initiative and Networking Fund of the Helmholtz Association) [PD-102]</t>
  </si>
  <si>
    <t>National Science Foundation, Division of Polar Programs(National Science Foundation (NSF)); EU FP7 project CARBOCHANGE(European Union (EU)); Helmholtz PostDoc Porgramme (Initiative and Networking Fund of the Helmholtz Association); National Science Foundation, Division of Polar Programs(National Science Foundation (NSF)); EU FP7 project CARBOCHANGE(European Union (EU)); Helmholtz PostDoc Porgramme (Initiative and Networking Fund of the Helmholtz Association)</t>
  </si>
  <si>
    <t>Nutrient data for the 2014 cruise were collected and made available by the Southern Ocean Carbon and Climate Observations and Modeling (SOCCOM) Project funded by National Science Foundation, Division of Polar Programs (NSF PLR - 1425989) https://cchdo.ucsd.edu/cruise/06AQ20141202. We gratefully acknowledge the physical oceanographers from AWI for allowing the use of the hydrographic data of cruise ANT-XXX/2 (2014), in particular Olaf Boebel (chief scientist) and Gerd Rohardt. Many thanks to the captain and crew and all the data originators. Partial support to JMSC and MGD was received from EU FP7 project CARBOCHANGE (Grant agreement No. 264879) for the participation in the PS89 ANT-XXX/2 cruise. EP and JH were funded by the Helmholtz PostDoc Porgramme PD-102 (Initiative and Networking Fund of the Helmholtz Association).</t>
  </si>
  <si>
    <t>1616-7341</t>
  </si>
  <si>
    <t>1616-7228</t>
  </si>
  <si>
    <t>OCEAN DYNAM</t>
  </si>
  <si>
    <t>Ocean Dyn.</t>
  </si>
  <si>
    <t>10.1007/s10236-018-1131-2</t>
  </si>
  <si>
    <t>FX4UE</t>
  </si>
  <si>
    <t>WOS:000426073000001</t>
  </si>
  <si>
    <t>Alavilli, H; Lee, H; Park, M; Yun, DJ; Lee, BH</t>
  </si>
  <si>
    <t>Alavilli, Hemasundar; Lee, Hyoungseok; Park, Mira; Yun, Dae-Jin; Lee, Byeong-ha</t>
  </si>
  <si>
    <t>Enhanced multiple stress tolerance in Arabidopsis by overexpression of the polar moss peptidyl prolyl isomerase FKBP12 gene</t>
  </si>
  <si>
    <t>PLANT CELL REPORTS</t>
  </si>
  <si>
    <t>FK506 binding protein; FKBP12; Peptidyl prolyl isomerase; Stress tolerance; Arabidopsis thaliana; Polytrichastrum alpinum</t>
  </si>
  <si>
    <t>CIS-TRANS ISOMERASE; ABSCISIC-ACID REGULATION; FK506-BINDING PROTEIN; SIGNAL-TRANSDUCTION; DROUGHT TOLERANCE; STOMATAL CLOSURE; IMMUNOPHILINS; EXPRESSION; RAPAMYCIN; SALINITY</t>
  </si>
  <si>
    <t>PaFKBP12 overexpression in Arabidopsis resulted in stress tolerance to heat, ABA, drought, and salt stress, in addition to growth promotion under normal conditions. Polytrichastrum alpinum (alpine haircap moss) is one of polar organisms that can withstand the severe conditions of the Antarctic. In this study, we report the isolation of a peptidyl prolyl isomerase FKBP12 gene (PaFKBP12) from P. alpinum collected in the Antarctic and its functional implications in development and stress responses in plants. In P. alpinum, PaFKBP12 expression was induced by heat and ABA. Overexpression of PaFKBP12 in Arabidopsis increased the plant size, which appeared to result from increased rates of cell cycle. Under heat stress conditions, PaFKBP12-overexpressing lines (PaFKBP12-OE) showed better growth and survival than the wild type. PaFKBP12-OE also showed higher root elongation rates, better shoot growth and enhanced survival at higher concentrations of ABA in comparison to the wild type. In addition, PaFKBP12-OE were more tolerant to drought and salt stress than the wild type. All these phenotypes were accompanied with higher induction of the stress responsive genes in PaFKBP12-OE than in the wild type. Taken together, our findings revealed important functions of PaFKBP12 in plant development and abiotic stress responses.</t>
  </si>
  <si>
    <t>[Alavilli, Hemasundar; Park, Mira; Lee, Byeong-ha] Sogang Univ, Dept Life Sci, Seoul 04107, South Korea; [Lee, Hyoungseok; Park, Mira] Korea Polar Res Inst, Unit Polar Genom, Incheon 21990, South Korea; [Yun, Dae-Jin] Konkuk Univ, Dept Biomed Sci &amp; Engn, Seoul 05029, South Korea</t>
  </si>
  <si>
    <t>Sogang University; Korea Polar Research Institute (KOPRI); Konkuk University</t>
  </si>
  <si>
    <t>Lee, BH (corresponding author), Sogang Univ, Dept Life Sci, Seoul 04107, South Korea.</t>
  </si>
  <si>
    <t>byeongha@sogang.ac.kr</t>
  </si>
  <si>
    <t>; Lee, Byeong-ha/B-8478-2009</t>
  </si>
  <si>
    <t>Lee, Hyoungseok/0000-0002-5831-6345; Yun, Dae-Jin/0000-0002-3638-6043; Lee, Byeong-ha/0000-0001-7633-3264</t>
  </si>
  <si>
    <t>Global Research Laboratory Program through National Research Foundation (NRF) - Ministry of Science and ICT (MSIT), Republic of Korea [2017K1A1A2013146]; Polar Genomics 101 Project, Korea Polar Research Institute [PE17080]</t>
  </si>
  <si>
    <t>Global Research Laboratory Program through National Research Foundation (NRF) - Ministry of Science and ICT (MSIT), Republic of Korea(Ministry of Science &amp; ICT (MSIT), Republic of Korea); Polar Genomics 101 Project, Korea Polar Research Institute(Korea Polar Research Institute of Marine Research Placement (KOPRI))</t>
  </si>
  <si>
    <t>This work was supported by the Global Research Laboratory Program (2017K1A1A2013146) through the National Research Foundation (NRF) funded by the Ministry of Science and ICT (MSIT), Republic of Korea, and by Polar Genomics 101 Project (PE17080), the Korea Polar Research Institute.</t>
  </si>
  <si>
    <t>0721-7714</t>
  </si>
  <si>
    <t>1432-203X</t>
  </si>
  <si>
    <t>PLANT CELL REP</t>
  </si>
  <si>
    <t>Plant Cell Reports</t>
  </si>
  <si>
    <t>10.1007/s00299-017-2242-9</t>
  </si>
  <si>
    <t>FX4QV</t>
  </si>
  <si>
    <t>WOS:000426064000006</t>
  </si>
  <si>
    <t>Higuera-Llantén, S; Vásquez-Ponce, F; Núñez-Gallegos, M; Pavlov, MS; Marshall, S; Olivares-Pacheco, J</t>
  </si>
  <si>
    <t>Higuera-Llanten, Sebastian; Vasquez-Ponce, Felipe; Nunez-Gallegos, Matias; Soledad Pavlov, Maria; Marshall, Sergio; Olivares-Pacheco, Jorge</t>
  </si>
  <si>
    <t>Phenotypic and genotypic characterization of a novel multi-antibiotic-resistant, alginate hyperproducing strain of Pseudomonas mandelii isolated in Antarctica</t>
  </si>
  <si>
    <t>Antarctic Pseudomonas; P. mandelii; MLSA; Alginate hyperproducer; Multiresistant bacteria</t>
  </si>
  <si>
    <t>MICROBIAL COMMUNITY COMPOSITION; SP NOV.; EFFLUX PUMPS; PSYCHROTOLERANT BACTERIUM; PSYCHROTROPHIC BACTERIUM; EMENDED DESCRIPTION; ENVIRONMENTS; DIVERSITY; GENES; SOIL</t>
  </si>
  <si>
    <t>Until recently, it was thought that Antarctica was a sterile continent due to extreme environmental conditions. In fact, this cold continent is one of the most diverse in terms of microorganisms. In the present study, the bacterial isolate Pseudomonas sp. 6A1 was obtained from marine sediments originating from the Fildes Peninsula Bay, King George Island, Antarctica. Subsequently, this isolate was identified as Pseudomonas mandelii. To arrive at this conclusion, molecular studies were performed using the 16S rRNA and multilocus sequence analysis. Both techniques were used to construct phylogenetic trees, revealing 99.99% similarity between the 6A1 strain and P. mandelii. To provide phenotypic support for this finding, BIOLOG GN2 and API20 NE tests, as well as assimilation assays with different carbon sources, were performed. These tests revealed 87% similarity with P. mandelii. This result was primarily due to an inability of the 6A1 strain to reduce nitrates, as well as to variations in the assimilation of different carbon sources. Another important phenotypic difference was alginate hyperproduction by 6A1, a trait never before described in a P. mandelii strain. Finally, the 6A1 strain was found to present multiple antibiotic resistances. Altogether, these results confirm the first case of P. mandelii isolation from the Antarctic.</t>
  </si>
  <si>
    <t>[Higuera-Llanten, Sebastian; Vasquez-Ponce, Felipe; Nunez-Gallegos, Matias; Soledad Pavlov, Maria; Marshall, Sergio; Olivares-Pacheco, Jorge] Pontificia Univ Catolica Valparaiso, Lab Genet &amp; Inmunol Mol, Inst Biol, Fac Ciencias, Avda Univ 330,Campus Curauma, Valparaiso 2340000, Chile; [Marshall, Sergio] Fdn Syst Biotechnol, Fraunhofer Chile Res, Mariano Sanchez Fontecilla 310, Santiago 7550296, Chile</t>
  </si>
  <si>
    <t>Olivares-Pacheco, J (corresponding author), Pontificia Univ Catolica Valparaiso, Lab Genet &amp; Inmunol Mol, Inst Biol, Fac Ciencias, Avda Univ 330,Campus Curauma, Valparaiso 2340000, Chile.</t>
  </si>
  <si>
    <t>jorge.olivares@pucv.cl</t>
  </si>
  <si>
    <t>Pacheco, Jorge Olivares/M-7714-2017; Vasquez-Ponce, Felipe/AAA-1195-2022</t>
  </si>
  <si>
    <t>Pacheco, Jorge Olivares/0000-0002-6841-7182; Vasquez-Ponce, Felipe/0000-0002-9447-8325; marshall, sergio/0000-0003-0438-8252</t>
  </si>
  <si>
    <t>Direccion de Investigacion, Pontificia Universidad Catolica de Valparaiso [DI 037.431/2015]; INACH [DT_02-13]</t>
  </si>
  <si>
    <t>Direccion de Investigacion, Pontificia Universidad Catolica de Valparaiso; INACH</t>
  </si>
  <si>
    <t>This work was funded by the Direccion de Investigacion, Pontificia Universidad Catolica de Valparaiso (Project DI 037.431/2015) and by INACH (Doctorate Project DT_02-13).</t>
  </si>
  <si>
    <t>10.1007/s00300-017-2206-0</t>
  </si>
  <si>
    <t>WOS:000425956700009</t>
  </si>
  <si>
    <t>Leonardi, MS; Soto, F; Negrete, J</t>
  </si>
  <si>
    <t>Soledad Leonardi, Maria; Soto, Florencia; Negrete, Javier</t>
  </si>
  <si>
    <t>Lousy big guys: Lepidophthirus macrorhini infesting seals from Antarctica</t>
  </si>
  <si>
    <t>Lice; Echinophthiriidae; 25 de Mayo/King George Island; Elephant seal; Weddell seal</t>
  </si>
  <si>
    <t>ANOPLURA ECHINOPHTHIRIIDAE; LICE; HOST; PINNIPEDS; LIFE</t>
  </si>
  <si>
    <t>The present work represents a contribution to the ecology of a little known host parasite association, i.e. sucking lice and Antarctic seals. The information available regarding the health status of Antarctic seals is limited and little is known about the ecology and effect of parasites on these hosts. Particularly, data regarding Antarctic louse infestation are scarce. Therefore, the main goal of this study is to report the results of a survey of the louse infestation of Lepidophthirus macrorhini (Anoplura, Echinophthiriidae) on 26 elephant seals (Mirounga leonina) and on a Weddell seal (Leptonychotes weddelli) from eastern Antarctic Peninsula.</t>
  </si>
  <si>
    <t>[Soledad Leonardi, Maria; Soto, Florencia] Consejo Nacl Invest Cient &amp; Tecn, Inst Biol Organismos Marinos IBIOMAR, Blvd Brown 2915, RA-9120 Puerto Madryn, Chubut, Argentina; [Negrete, Javier] Univ Nacl La Plata, Fac Ciencias Nat &amp; Museo, Ave 122 &amp; 60, RA-1900 La Plata, Buenos Aires, Argentina; [Negrete, Javier] Inst Antartico Argentino, Dept Biol Predadores Tope, Cerrito 1248, RA-1010 Buenos Aires, DF, Argentina</t>
  </si>
  <si>
    <t>Consejo Nacional de Investigaciones Cientificas y Tecnicas (CONICET); National University of La Plata; Museo La Plata; Instituto Antartico Argentino</t>
  </si>
  <si>
    <t>Leonardi, MS (corresponding author), Consejo Nacl Invest Cient &amp; Tecn, Inst Biol Organismos Marinos IBIOMAR, Blvd Brown 2915, RA-9120 Puerto Madryn, Chubut, Argentina.</t>
  </si>
  <si>
    <t>leonardi@cenpat-conicet.gob.ar; sotoflorenciaa@gmail.com; negretejavi@hotmail.com</t>
  </si>
  <si>
    <t>Negrete, Javier/0000-0001-6853-8307; Soto, Florencia/0000-0003-0139-9327; Leonardi, Maria Soledad/0000-0002-1736-7031</t>
  </si>
  <si>
    <t>Direccion Nacional del Antartico, Instituto Antartico Argentino; Agencia de Promocion Cientifica y Tecnologica [PICT 2015-0082]; Lerner-Grey Fund for Marine Research</t>
  </si>
  <si>
    <t>Direccion Nacional del Antartico, Instituto Antartico Argentino; Agencia de Promocion Cientifica y Tecnologica(ANPCyT); Lerner-Grey Fund for Marine Research</t>
  </si>
  <si>
    <t>We appreciate the important comments and suggestions made by Dr. Dieter Piepenburg and three anonymous referees that largely improved the manuscript. The study was financially and logistically supported by the Direccion Nacional del Antartico, Instituto Antartico Argentino. The permit for this work was granted by the Direccion Nacional del Antartico (Environmental Office). The authors are grateful to Dr. C.E. Rumbold for comments on earlier versions of the manuscript and statistical support and to Marina Juares for her assistance with the maps. This research was partially funded by the Agencia de Promocion Cientifica y Tecnologica (PICT 2015-0082) and Lerner-Grey Fund for Marine Research. The authors express their support and defend the Argentinean scientific program.</t>
  </si>
  <si>
    <t>10.1007/s00300-017-2207-z</t>
  </si>
  <si>
    <t>WOS:000425956700010</t>
  </si>
  <si>
    <t>Dawson, A; Poulsen, A; Huston, W; Nash, SB</t>
  </si>
  <si>
    <t>Dawson, Amanda; Poulsen, Anita; Huston, Wilhelmina; Nash, Susan Bengtson</t>
  </si>
  <si>
    <t>Expression of common biomarkers in Antarctic krill (Euphausia superba) exposed to an organochlorine contaminant</t>
  </si>
  <si>
    <t>Crustacean; Antarctic krill; Antioxidant enzymes; Biomarker; Detoxification; Persistent organic pollutant</t>
  </si>
  <si>
    <t>HEMISPHERE HUMPBACK WHALES; GLUTATHIONE S-TRANSFERASES; SOUTHERN-OCEAN; SENSITIVITY; DDT; TOXICITY; WATER; INDUCTION; P,P'-DDE; POLAR</t>
  </si>
  <si>
    <t>Persistent organic pollutant (POP) contamination of Polar Regions continues to present a major ecological challenge and an environmental stressor to local biota. Antarctic krill (Euphausia superba) are a keystone species of the Antarctic sea ice ecosystem. Krill have repeatedly been found to accumulate a diverse array of POPs and thereby serve as vectors of these to the remainder of the Antarctic food web. p,p'-Dichlorodiphenyldichloroethylene (p,p'-DDE) is a dominant POP compound accumulating in Antarctic krill and higher trophic level predators. Recently, p,p'-DDE uptake dynamics, associated behavioural and developmental toxicity were evaluated in this species. The present study investigated the response of enzymes with known roles in detoxification (glutathione S-transferase, GST and cytochrome P450 2B, CYP2B), neurotoxicity (acetylcholinesterase, AChE) and oxidative stress (glutathione peroxidase GPx) in Antarctic krill exposed to p,p'-DDE. CYP2B was not detectable in Antarctic krill. No strong concentration responses resulted from the exposure to p,p'-DDE. These findings do not provide evidence for an activated detoxification response to this compound via the tested biochemical pathways in Antarctic krill. This is the first time that GST, AChE and GPx have been characterised in this species following pollutant exposure. Further research with additional pollutants and compound mixtures is necessary to assess the practical role of these enzymes as biomarkers of pollutant exposure in Antarctic krill. These first exploratory findings present a valuable contribution to a critical knowledge gap in polar ecotoxicology, namely the comparative sensitivity of polar organisms relative to temperate and tropical counterparts.</t>
  </si>
  <si>
    <t>[Dawson, Amanda; Nash, Susan Bengtson] Griffith Univ, Environm Futures Res Inst, Sch Environm, 170 Kessels Rd, Nathan, Qld 4111, Australia; [Poulsen, Anita] Florida State Univ, Dept Earth Ocean &amp; Atmospher Sci, 117 N Woodward Ave, Tallahassee, FL 32306 USA; [Huston, Wilhelmina] Univ Technol Sydney, Sch Life Sci, Fac Sci, 15 Broadway, Ultimo, NSW 2007, Australia</t>
  </si>
  <si>
    <t>Griffith University; State University System of Florida; Florida State University; University of Technology Sydney</t>
  </si>
  <si>
    <t>Dawson, A (corresponding author), Griffith Univ, Environm Futures Res Inst, Sch Environm, 170 Kessels Rd, Nathan, Qld 4111, Australia.</t>
  </si>
  <si>
    <t>Bengtson Nash, Susan/I-3942-2015; Huston, Wilhelmina/S-7269-2019; Poulsen, Anita H/G-2190-2010; Bengtson Nash, Susan/GMX-4611-2022; Huston, Wilhelmina/B-9984-2008</t>
  </si>
  <si>
    <t>Bengtson Nash, Susan/0000-0001-5928-0850; Bengtson Nash, Susan/0000-0001-5928-0850; Huston, Wilhelmina/0000-0002-0879-1287</t>
  </si>
  <si>
    <t>ARC [DP0666891, DP140100018]; Australian Research Council [DP0666891] Funding Source: Australian Research Council</t>
  </si>
  <si>
    <t>ARC(Australian Research Council); Australian Research Council(Australian Research Council)</t>
  </si>
  <si>
    <t>The authors would like to acknowledge Mr. Michael Arthur for assistance with statistical analysis. This work received partial funding from ARC Discovery Grant DP0666891. Amanda Dawson is supported by PHD scholarship from ARC Discovery DP140100018. We would like to thank the anonymous reviewers whose comments greatly improved this manuscript.</t>
  </si>
  <si>
    <t>10.1007/s00300-017-2210-4</t>
  </si>
  <si>
    <t>Green Published, Green Submitted</t>
  </si>
  <si>
    <t>WOS:000425956700013</t>
  </si>
  <si>
    <t>Furbino, LE; Pellizzari, FM; Neto, PC; Rosa, CA; Rosa, LH</t>
  </si>
  <si>
    <t>Furbino, Laura E.; Pellizzari, Franciane M.; Neto, Pio C.; Rosa, Carlos A.; Rosa, Luiz H.</t>
  </si>
  <si>
    <t>Isolation of fungi associated with macroalgae from maritime Antarctica and their production of agarolytic and carrageenolytic activities</t>
  </si>
  <si>
    <t>Antarctica; Fungi; Seaweeds; Enzymes; Extremophiles</t>
  </si>
  <si>
    <t>MARINE-DERIVED FUNGI; DIVERSITY; COMMUNITIES; YEASTS; BIODIVERSITY; ASSEMBLAGES; AGARASE; SOILS</t>
  </si>
  <si>
    <t>Antarctica includes different pristine environments dominated by extremophile microbial communities. Despite the ecological role importance of Antarctic microorganisms, some of them can represent interesting sources of bioproducts with potential industrial application. In the present study, we analysed the agarolytic and carrageenolytic activities of algicolous fungi from seven different macroalgal species of maritime Antarctica. After a selective isolation process, 44 fungal isolates were recovered and identified by biology molecular methods as belonging to the genera Antarctomyces, Beauveria, Cladosporium, Coprinellus, Doratomyces, Leucosporidiella, Metschnikowia, Penicillium, and Pseudogymnoascus. Rhodophyta macroalgae sheltered the fungi with the best potential for agarolytic and carrageenolytic activities. Penicillium chrysogenum, Penicillium sp., and Cladosporium sp. 2 simultaneously displayed the best carrageenolytic and agarolytic activities. Our results indicated that the Antarctic macroalgae shelter saprobe fungi that produce enzymes with the potential to degrade algal biomass and might release essential nutrients into the Antarctic Ocean. These agarolytic and/or carrageenolytic Antarctic fungi may also be useful in further industrial processes involving the biological extraction of agar and carrageenan, or their byproducts, to be used as substrates of third-generation bioethanol.</t>
  </si>
  <si>
    <t>[Furbino, Laura E.; Rosa, Carlos A.; Rosa, Luiz H.] Univ Fed Minas Gerais, Inst Biol Sci, Dept Microbiol, BR-31270901 Belo Horizonte, MG, Brazil; [Pellizzari, Franciane M.] Parana State Univ, Lab Phycol &amp; Marine Water Qual, Paranagua, Brazil; [Neto, Pio C.] Univ Sao Paulo, Dept Chem, Sao Paulo, Brazil</t>
  </si>
  <si>
    <t>Universidade Federal de Minas Gerais; Universidade de Sao Paulo</t>
  </si>
  <si>
    <t>Rosa, LH (corresponding author), Univ Fed Minas Gerais, Inst Biol Sci, Dept Microbiol, BR-31270901 Belo Horizonte, MG, Brazil.</t>
  </si>
  <si>
    <t>Pellizzari, Franciane M./JLL-6907-2023</t>
  </si>
  <si>
    <t>Pellizzari, Franciane/0000-0003-1877-2570</t>
  </si>
  <si>
    <t>CNPq; CAPES; PROANTAR [407230/2013-0, 407588/2013-2]; INCT Criosfera; FAPEMIG; PRPq-UFMG</t>
  </si>
  <si>
    <t>CNPq(Conselho Nacional de Desenvolvimento Cientifico e Tecnologico (CNPQ)); CAPES(Coordenacao de Aperfeicoamento de Pessoal de Nivel Superior (CAPES)); PROANTAR; INCT Criosfera; FAPEMIG(Fundacao de Amparo a Pesquisa do Estado de Minas Gerais (FAPEMIG)); PRPq-UFMG</t>
  </si>
  <si>
    <t>We acknowledge the financial support from CNPq, CAPES, PROANTAR 407230/2013-0 and 407588/2013-2, INCT Criosfera, FAPEMIG, and PRPq-UFMG.</t>
  </si>
  <si>
    <t>10.1007/s00300-017-2213-1</t>
  </si>
  <si>
    <t>WOS:000425956700015</t>
  </si>
  <si>
    <t>Lee, GLY; Ahmad, SA; Yasid, NA; Zulkharnain, A; Convey, P; Johari, WLW; Alias, SA; Gonzalez-Rocha, G; Shukor, MY</t>
  </si>
  <si>
    <t>Lee, Gillian Li Yin; Ahmad, Siti Aqlima; Yasid, Nur Adeela; Zulkharnain, Azham; Convey, Peter; Johari, Wan Lutfi Wan; Alias, Siti Aisyah; Gonzalez-Rocha, Gerardo; Shukor, Mohd Yunus</t>
  </si>
  <si>
    <t>Biodegradation of phenol by cold-adapted bacteria from Antarctic soils</t>
  </si>
  <si>
    <t>South Shetland Islands; Bioremediation; Psychrotolerant; One-factor-at-a-time; Arthrobacter; Rhodococcus</t>
  </si>
  <si>
    <t>KING-GEORGE-ISLAND; LOW-TEMPERATURE BIODEGRADATION; PETROLEUM-HYDROCARBONS; CONTAMINATED SOIL; DEGRADATION; BIOREMEDIATION; STRAINS; STATION; COMMUNITIES; POLLUTION</t>
  </si>
  <si>
    <t>Phenol is an important pollutant widely discharged as a component of hydrocarbon fuels, but its degradation in cold regions is a great challenge due to the harsh environmental conditions. To date, there is little information available concerning the biodegradation of phenol by indigenous Antarctic bacteria. This study addresses the isolation of three phenol-degrading bacterial strains from King George Island, Antarctica. Based on preliminary screening, three isolates (AQ5-05, AQ5-06 and AQ5-07) capable of completely degrading 0.5 g/L phenol within 120 h at 10 A degrees C were selected for detailed study. Two were identified as Arthrobacter spp., and one Rhodococcus sp., based on 16S rRNA sequences. All strains were non-motile, Gram positive, oxidase negative and catalase positive. A study on the effects of parameters including temperature, pH, salinity and nitrogen source was conducted to optimise the conditions for phenol degradation. This revealed that the three isolates were psychrotolerant with the optimum temperature for phenol degradation between 10 and 15 A degrees C. This study suggests the potential use of cold-adapted bacteria in the bioremediation of phenol over a wide range of low temperatures.</t>
  </si>
  <si>
    <t>[Lee, Gillian Li Yin; Ahmad, Siti Aqlima; Yasid, Nur Adeela; Shukor, Mohd Yunus] Univ Putra Malaysia, Fac Biotechnol &amp; Biomol Sci, Dept Biochem, Upm Serdang 43400, Selangor, Malaysia; [Ahmad, Siti Aqlima; Yasid, Nur Adeela; Convey, Peter; Alias, Siti Aisyah] Univ Malaya, Natl Antarctic Res Ctr, B303 Level 3,Block B,IPS Bldg, Kuala Lumpur 50603, Malaysia; [Zulkharnain, Azham] Univ Malaysia Sarawak, Fac Resource Sci &amp; Technol, Dept Mol Biol, Kota Samarahan 94300, Sarawak, Malaysia; [Convey, Peter] British Antarctic Survey, NERC, Madingley Rd, Cambridge CB3 0ET, England; [Johari, Wan Lutfi Wan] Univ Putra Malaysia, Fac Environm Studies, Dept Environm Sci, Upm Serdang 43400, Selangor, Malaysia; [Alias, Siti Aisyah] Univ Malaya, Inst Ocean &amp; Earth Sci, B303 Level 3,Block B, Kuala Lumpur 50603, Malaysia; [Gonzalez-Rocha, Gerardo] Univ Concepcion, Fac Ciencias Biol, Lab Invest Agentes Antibacterianos, Concepcion, Chile</t>
  </si>
  <si>
    <t>Universiti Putra Malaysia; Universiti Malaya; University of Malaysia Sarawak; UK Research &amp; Innovation (UKRI); Natural Environment Research Council (NERC); NERC British Antarctic Survey; Universiti Putra Malaysia; Universiti Malaya; Universidad de Concepcion</t>
  </si>
  <si>
    <t>Ahmad, SA (corresponding author), Univ Putra Malaysia, Fac Biotechnol &amp; Biomol Sci, Dept Biochem, Upm Serdang 43400, Selangor, Malaysia.;Ahmad, SA (corresponding author), Univ Malaya, Natl Antarctic Res Ctr, B303 Level 3,Block B,IPS Bldg, Kuala Lumpur 50603, Malaysia.</t>
  </si>
  <si>
    <t>aqlima@upm.edu.my</t>
  </si>
  <si>
    <t>Convey, Peter/AAV-5728-2020; FASc, SITI AISYAH A. HJ ALIAS/B-9785-2010; Gonzalez, Gerardo/KHE-5265-2024; Yasid, Nur Adeela/AAL-8044-2020; Zulkharnain, Azham/AAV-1241-2020; Johari, Wan Lutfi Wan/AAL-4095-2020; Gonzalez-Rocha, Gerardo/AAP-1793-2021; shukor, yunus/AAB-7087-2020</t>
  </si>
  <si>
    <t>Convey, Peter/0000-0001-8497-9903; FASc, SITI AISYAH A. HJ ALIAS/0000-0002-6759-5745; Zulkharnain, Azham/0000-0001-9173-8171; Johari, Wan Lutfi Wan/0000-0001-8607-7620; Gonzalez-Rocha, Gerardo/0000-0003-2351-1236; shukor, yunus/0000-0002-6150-2114; Ahmad, Siti Aqlima/0000-0002-7625-3704</t>
  </si>
  <si>
    <t>Higher Institute of Centre of Excellence, Ministry of Higher Education [UPM-YPASM 9300430, 9476900, 9508500]; Malaysia Ministry of High Education; NERC; Visiting Icon Professorship; NERC [bas0100036] Funding Source: UKRI</t>
  </si>
  <si>
    <t>Higher Institute of Centre of Excellence, Ministry of Higher Education; Malaysia Ministry of High Education(Ministry of Energy, Science, Technology, Environment and Climate Change (MESTECC), Malaysia); NERC(UK Research &amp; Innovation (UKRI)Natural Environment Research Council (NERC)); Visiting Icon Professorship; NERC(UK Research &amp; Innovation (UKRI)Natural Environment Research Council (NERC))</t>
  </si>
  <si>
    <t>This work was supported by Matching Grant (UPM-YPASM 9300430), YPASM Berth Support, PUTRA-IPM (9476900), PUTRA-IPS (9508500), IIOES-2014G Latitudinal Differences in Response and Adaptation of Microbes to Atmospheric Changes, research grant Higher Institute of Centre of Excellence, Ministry of Higher Education. The authors would like to thank Professor Hiroyuki Futamata and Yui Arashi from Shizuoka University for the contribution of SEM images. In addition, we would like to thank Motharasan Manogaran for the help in data analysis. We also thank Malaysia Ministry of High Education for providing a My PhD scholarship to Gillian Li Yin Lee. Peter Convey is supported by NERC core funding to the British Antarctic Survey's 'Biodiversity, Evolution and Adaptation' Team, and by a Visiting Icon Professorship to the University of Malaya. This paper also contributes to the international SCAR research programme 'State of the Antarctic Ecosystem'.</t>
  </si>
  <si>
    <t>10.1007/s00300-017-2216-y</t>
  </si>
  <si>
    <t>WOS:000425956700017</t>
  </si>
  <si>
    <t>Segadilha, JL; Lavrado, HP</t>
  </si>
  <si>
    <t>Segadilha, J. L.; Lavrado, H. P.</t>
  </si>
  <si>
    <t>Tanaidacea fauna (Peracarida, Crustacea) from the shallow sublittoral zone of Admiralty Bay, King George Island, Antarctica, with new records</t>
  </si>
  <si>
    <t>Tanaidaceans; Benthic communities; Macrofauna; Mackellar Inlet; Martel Inlet</t>
  </si>
  <si>
    <t>VERTICAL-DISTRIBUTION; MARTEL INLET; MALACOSTRACA; SEDIMENT; DIVERSITY; SHELF; WATER</t>
  </si>
  <si>
    <t>The Southern Ocean is a very sensitive ecosystem, with the Antarctic Peninsula being one of the most rapidly warming regions on Earth. Accordingly, studies of its biodiversity are of urgent interest. In this context, taxonomical surveys of Antarctic tanaidacean species become relevant, since it is one of the lesser-known Antarctic macrofaunal groups. The present study aims to elucidate the species composition as well as spatial and vertical distribution of tanaidaceans in the shallow sublittoral zone of Admiralty Bay, one of the Antarctic Specially Managed Areas. Sediment samples were taken in the years 2005 and 2010 from 20 and 50 m depth zones at two sites in each of five chosen stations. Three replicate box-corer samples were taken at each site, and the retained sediment was stratified (0-2, 2-6, and 6-10 cm sediment layers). Nine Tanaidacean species (superfamily Paratanaoidea) were identified, with two new species records for Admiralty Bay: Arhaphuroides parabreviremis and Parakanthophoreus antarcticus. In general, Nototanais antarcticus was the dominant species. Significant abundance differences were found among stations, except at 20 m depth in 2005. The Ullmann Point station stood out by the absence of tanaidaceans. No significant differences were found between depths, although 20 m depth sites exhibited higher abundance than 50 m depth ones, which in turn presented higher species richness. Tanaidaceans were concentrated in the first six cm of sediment. Data suggest that the Tanaidacea assemblages in Admiralty Bay have very heterogeneous spatial distribution, reflecting the variety of habitats present in this region.</t>
  </si>
  <si>
    <t>[Segadilha, J. L.] Univ Fed Rio de Janeiro, Museu Nacl, Dept Invertebrados, Lab Carcinol, Quinta Boa Vista S-N, BR-20940040 Rio De Janeiro, RJ, Brazil; [Lavrado, H. P.] Univ Fed Rio de Janeiro, Inst Biol, Dept Biol Marinha, Lab Benthos, Bloco A,Sala A1-089, Rio De Janeiro, RJ, Brazil</t>
  </si>
  <si>
    <t>Universidade Federal do Rio de Janeiro; Universidade Federal do Rio de Janeiro</t>
  </si>
  <si>
    <t>Segadilha, JL (corresponding author), Univ Fed Rio de Janeiro, Museu Nacl, Dept Invertebrados, Lab Carcinol, Quinta Boa Vista S-N, BR-20940040 Rio De Janeiro, RJ, Brazil.</t>
  </si>
  <si>
    <t>julianasegadilha@gmail.com; hplavrado@gmail.com</t>
  </si>
  <si>
    <t>Segadilha, Juliana Lopes/AAQ-7529-2020; Lavrado, Helena/M-9737-2014</t>
  </si>
  <si>
    <t>Segadilha, Juliana Lopes/0000-0002-1933-097X; Lavrado, Helena/0000-0002-7275-7075</t>
  </si>
  <si>
    <t>Grupo de Estudos Ambientais em Bentos (GEAMB-CNPq) [550356/2002-9]; National Institute of Science and Technology of Antarctic Environmental Research (INCT-APA-CNPq) [574018/2008-5]; National Institute of Science and Technology of Antarctic Environmental Research (FAPERJ) [E-26/170.023/2008]; CNPq/FAPERJ</t>
  </si>
  <si>
    <t>Grupo de Estudos Ambientais em Bentos (GEAMB-CNPq); National Institute of Science and Technology of Antarctic Environmental Research (INCT-APA-CNPq); National Institute of Science and Technology of Antarctic Environmental Research (FAPERJ); CNPq/FAPERJ(Conselho Nacional de Desenvolvimento Cientifico e Tecnologico (CNPQ)Fundacao Carlos Chagas Filho de Amparo a Pesquisa do Estado do Rio De Janeiro (FAPERJ))</t>
  </si>
  <si>
    <t>We are grateful to the Grupo de Estudos Ambientais em Bentos (GEAMB-CNPq-Process 550356/2002-9) and the National Institute of Science and Technology of Antarctic Environmental Research (INCT-APA-CNPq-Process 574018/2008-5 and FAPERJ Process E-26/170.023/2008) for the fieldwork and opportunity to use some understudied biological material, to Dr. Lucia de Siqueira Campos (IB/UFRJ) for the loan of the 2005 material, to Dra. Cristiana Serejo (Museu Nacional/UFRJ) for guidance and encouragement since the beginning of the study on the Tanaidacean group, to M.Sc. Maria Isabel Sarvat de Figueiredo for assistance with statistical analyses, to M.Sc. Catarina Araujo-Silva for help with species identification, to Dr. Rubens Cesar Lopes Figueira (Laboratorio de Quimica Inorganica Marinha - IOUSP) for sediment analyses, to Dr. Guilherme Muricy and to M.Sc. Cassio Albernoz (Museu Nacional/UFRJ) for their useful suggestions in reviewing this manuscript, and to Dr. Bryan Jennings (Museu Nacional/UFRJ) and professional English translator Marta Koniarek for linguistic corrections. We also thank CNPq/FAPERJ for the scholarship given to the first author.</t>
  </si>
  <si>
    <t>10.1007/s00300-017-2220-2</t>
  </si>
  <si>
    <t>WOS:000425956700021</t>
  </si>
  <si>
    <t>Valdivia-González, MA; Díaz-Vásquez, WA; Ruiz-León, D; Becerra, AA; Aguayo, DR; Pérez-Donoso, JM; Vásquez, CC</t>
  </si>
  <si>
    <t>Valdivia-Gonzalez, M. A.; Diaz-Vasquez, W. A.; Ruiz-Leon, D.; Becerra, A. A.; Aguayo, D. R.; Perez-Donoso, J. M.; Vasquez, C. C.</t>
  </si>
  <si>
    <t>A comparative analysis of tellurite detoxification by members of the genus Shewanella</t>
  </si>
  <si>
    <t>ARCHIVES OF MICROBIOLOGY</t>
  </si>
  <si>
    <t>Shewanella; Tellurium; Tellurite; Antarctic; Heavy metals</t>
  </si>
  <si>
    <t>ONEIDENSIS MR-1; MOLECULAR-MECHANISMS; POTASSIUM TELLURITE; OXIDATIVE STRESS; SENSITIVE METHOD; REDUCTION; ACCUMULATION; RESISTANCE; VOLATILIZATION; BACTERIUM</t>
  </si>
  <si>
    <t>The increasing industrial utilization of tellurium has resulted in an important environmental pollution with the soluble, extremely toxic oxyanion tellurite. In this context, the use of microorganisms for detoxifying tellurite or tellurium biorecovery has gained great interest. The ability of different Shewanella strains to reduce tellurite to elemental tellurium was assessed; the results showed that the reduction process is dependent on electron transport and the a dagger pH gradient. While S. baltica OS155 showed the highest tellurite resistance, S. putrefaciens was the most efficient in reducing tellurite. Moreover, pH-dependent tellurite transformation was associated with tellurium precipitation as tellurium dioxide. In summary, this work highlights the high tellurite reduction/detoxification ability exhibited by a number of Shewanella species, which could represent the starting point to develop friendly methods for the recovery of elemental tellurium (or tellurium dioxide).</t>
  </si>
  <si>
    <t>[Valdivia-Gonzalez, M. A.; Vasquez, C. C.] Univ Santiago Chile, Fac Quim &amp; Biol, Dept Biol, Lab Microbiol Mol, Ave Libertador Bernardo OHiggins 3363 Estn Cent, Santiago, Chile; [Valdivia-Gonzalez, M. A.] Univ Cent Chile, Fac Ciencias Educ, Santiago, Chile; [Diaz-Vasquez, W. A.] Univ San Sebastian, Fac Ciencias Salud, Providencia, Chile; [Ruiz-Leon, D.] Univ Santiago Chile, Dept Quim Mat, Santiago, Chile; [Becerra, A. A.] Univ Bernardo OHiggins, Fac Salud Deporte &amp; Recreac, Santiago, Chile; [Aguayo, D. R.] Univ Andres Bello, Mol Biophys &amp; Bionformat Grp, Santiago, Chile; [Perez-Donoso, J. M.] Univ Andres Bello, BioNanotechnol &amp; Microbiol Lab, Santiago, Chile</t>
  </si>
  <si>
    <t>Universidad de Santiago de Chile; Universidad Central de Chile; Universidad San Sebastian; Universidad de Santiago de Chile; Universidad Bernardo O'Higgins; Universidad Andres Bello; Universidad Andres Bello</t>
  </si>
  <si>
    <t>Vásquez, CC (corresponding author), Univ Santiago Chile, Fac Quim &amp; Biol, Dept Biol, Lab Microbiol Mol, Ave Libertador Bernardo OHiggins 3363 Estn Cent, Santiago, Chile.</t>
  </si>
  <si>
    <t>claudio.vasquez@usach.cl</t>
  </si>
  <si>
    <t>Pérez-Donoso, José M./G-3668-2013; León, Domingo Ruiz/AAE-7630-2019</t>
  </si>
  <si>
    <t>Pérez-Donoso, José M./0000-0002-9506-1716; León, Domingo Ruiz/0000-0002-0950-6919; Aguayo, Daniel/0000-0001-6807-0820</t>
  </si>
  <si>
    <t>FONDECYT (Fondo Nacional de Investigacion Cientifica y Tecnologica) [1130362, 1160051]; Tesis Conicyt (Comision Nacional de Investigacion Cientifica y Tecnologica) [21120290]; Tesis de Postgrado en temas Antarticos INACH (Instituto Antartico Chileno) Grant [DT_08-14]</t>
  </si>
  <si>
    <t>FONDECYT (Fondo Nacional de Investigacion Cientifica y Tecnologica)(Comision Nacional de Investigacion Cientifica y Tecnologica (CONICYT)CONICYT FONDECYT); Tesis Conicyt (Comision Nacional de Investigacion Cientifica y Tecnologica); Tesis de Postgrado en temas Antarticos INACH (Instituto Antartico Chileno) Grant</t>
  </si>
  <si>
    <t>The excellent technical assistance of Mr. Javier Salazar with SEM is acknowledged. This work was supported by (1) FONDECYT (Fondo Nacional de Investigacion Cientifica y Tecnologica) Grants # 1130362 and 1160051 (CCV), (2) Supporting fellowship Tesis Conicyt (Comision Nacional de Investigacion Cientifica y Tecnologica) Grant # 21120290 (MVG), and Supporting fellowship Tesis de Postgrado en temas Antarticos INACH (Instituto Antartico Chileno) Grant # DT_08-14 (MVG).</t>
  </si>
  <si>
    <t>0302-8933</t>
  </si>
  <si>
    <t>1432-072X</t>
  </si>
  <si>
    <t>ARCH MICROBIOL</t>
  </si>
  <si>
    <t>Arch. Microbiol.</t>
  </si>
  <si>
    <t>10.1007/s00203-017-1438-2</t>
  </si>
  <si>
    <t>FX3CZ</t>
  </si>
  <si>
    <t>WOS:000425949100007</t>
  </si>
  <si>
    <t>Smith-Johnsen, C; Orsolini, Y; Stordal, F; Limpasuvan, V; Pérot, K</t>
  </si>
  <si>
    <t>Smith-Johnsen, Christine; Orsolini, Yvan; Stordal, Frode; Limpasuvan, Varavut; Perot, Kristell</t>
  </si>
  <si>
    <t>Nighttime mesospheric ozone enhancements during the 2002 southern hemispheric major stratospheric warming</t>
  </si>
  <si>
    <t>Sudden stratospheric warming; 2002 southern hemisphere major warming; Mesospheric ozone; Secondary ozone layer</t>
  </si>
  <si>
    <t>Sudden Stratospheric Warmings (SSW) affect the chemistry and dynamics of the middle atmosphere. Major warmings occur roughly every second winter in the Northern Hemisphere (NH), but has only been observed once in the Southern Hemisphere (SH), during the Antarctic winter of 2002. Observations by the Global Ozone Monitoring by Occultation of Stars (GOMOS, an instrument on board Envisat) during this rare event, show a 40% increase of ozone in the nighttime secondary ozone layer at subpolar latitudes compared to non-SSW years. This study investigates the cause of the mesospheric nighttime ozone increase, using the National Center for Atmospheric Research (NCAR) Whole Atmosphere Community Climate Model with specified dynamics (SD-WACCM). The 2002 SH winter was characterized by several reductions of the strength of the polar night jet in the upper stratosphere before the jet reversed completely, marking the onset of the major SSW. At the time of these wind reductions, corresponding episodic increases can be seen in the modelled nighttime secondary ozone layer. This ozone increase is attributed largely to enhanced upwelling and the associated cooling of the altitude region in conjunction with the wind reversal. This is in correspondence to similar studies of SSW induced ozone enhancements in NH. But unlike its NH counterpart, the SH secondary ozone layer appeared to be impacted less by episodic variations in atomic hydrogen. Seasonally decreasing atomic hydrogen plays however a larger role in SH compared to NH.</t>
  </si>
  <si>
    <t>[Smith-Johnsen, Christine; Stordal, Frode] Univ Oslo, Dept Geosci, Oslo, Norway; [Orsolini, Yvan] Univ Bergen, Birkeland Ctr Space Sci, Bergen, Norway; [Orsolini, Yvan] Norwegian Inst Air Res, Kjeller, Norway; [Limpasuvan, Varavut] Coastal Carolina Univ, Dept Coastal &amp; Marine Syst Sci, Conway, SC USA; [Perot, Kristell] Chalmers Univ Technol, Dept Earth &amp; Space Sci, Gothenburg, Sweden</t>
  </si>
  <si>
    <t>University of Oslo; University of Bergen; NILU; Coastal Carolina University; Chalmers University of Technology</t>
  </si>
  <si>
    <t>Smith-Johnsen, C (corresponding author), Univ Oslo, Dept Geosci, Oslo, Norway.</t>
  </si>
  <si>
    <t>christine.smith-johnsen@geo.uio.no</t>
  </si>
  <si>
    <t>; Perot, Kristell/D-3839-2013</t>
  </si>
  <si>
    <t>Orsolini, Yvan/0000-0001-7454-026X; Perot, Kristell/0000-0002-4267-8560</t>
  </si>
  <si>
    <t>Norwegian Research Council [222390]; Large-Scale Dynamics Program at the National Science Foundation (NSF) [AGS-1642232, AGS-1624068]; Kerns Palmetto Professorship; Coastal Carolina University's Provost office; Directorate For Geosciences; Div Atmospheric &amp; Geospace Sciences [1624068] Funding Source: National Science Foundation</t>
  </si>
  <si>
    <t>Norwegian Research Council(Research Council of Norway); Large-Scale Dynamics Program at the National Science Foundation (NSF)(National Science Foundation (NSF)); Kerns Palmetto Professorship; Coastal Carolina University's Provost office; Directorate For Geosciences; Div Atmospheric &amp; Geospace Sciences(National Science Foundation (NSF)NSF - Directorate for Geosciences (GEO))</t>
  </si>
  <si>
    <t>CSJ, YOR and FS have been funded by the Norwegian Research Council through project 222390 (Solar-Terrestrial Coupling through High Energy Particle Precipitation in the Atmosphere: a Norwegian contribution). VL is supported in part by the Large-Scale Dynamics Program at the National Science Foundation (NSF) under awards AGS-1642232 and AGS-1624068 and the Kerns Palmetto Professorship supported by the Coastal Carolina University's Provost office. The GOMOS mission was part of the ESA Earth Observation program, and we would like to thank Alain Hauchecorne for providing us with the data. We kindly thank Doug Kinnison at NCAR for the SD-WACCM model output.</t>
  </si>
  <si>
    <t>10.1016/j.jastp.2017.12.018</t>
  </si>
  <si>
    <t>FW8IH</t>
  </si>
  <si>
    <t>WOS:000425574900010</t>
  </si>
  <si>
    <t>Cvitanovic, C; Hobday, AJ; McDonald, J; Van Putten, EI; Nash, KL</t>
  </si>
  <si>
    <t>Cvitanovic, C.; Hobday, A. J.; McDonald, J.; Van Putten, E. I.; Nash, K. L.</t>
  </si>
  <si>
    <t>Governing fisheries through the critical decade: the role and utility of polycentric systems</t>
  </si>
  <si>
    <t>REVIEWS IN FISH BIOLOGY AND FISHERIES</t>
  </si>
  <si>
    <t>LOCAL ECOLOGICAL KNOWLEDGE; CLIMATE-CHANGE; MARINE RESERVES; SOCIAL NETWORKS; GADUS-MORHUA; ATLANTIC COD; MANAGEMENT; GOVERNANCE; RESOURCE; POLICY</t>
  </si>
  <si>
    <t>The next 10 years are considered a critical decade for fisheries. Declining fish stocks in combination with mounting climate pressure are likely to lead to significant and adverse socio-ecological impacts, threatening sustainability. Responding to these challenges requires modes of governance that are capable of dealing with the complexity and uncertainty associated with the world's fisheries and their ecosystems. While a range of governance frameworks exist, the concept of polycentric governance has gained prominence in the environmental sector and is posited as a key principle underpinning the resilience of complex socio-ecological systems. However, the application of polycentric governance to fisheries management has been seldom explored. To examine this prospect, we review the literature on polycentric governance to elucidate its potential value in improving the outlook for fisheries and their associated ecosystems. We highlight a number of unique characteristics that overcome known limitations in other forms of governance-polycentric systems are highly participatory and promote the broadest levels of stakeholder involvement, they increase policy freedom at the local level, and they improve the spatial fit between knowledge, action and socio-ecological contexts to ensure that governance responses are implemented at the most appropriate scale. Through fisheries case-studies, we demonstrate that these characteristics are important in helping fisheries respond to complex challenges. Finally, we articulate key knowledge gaps that should be addressed through future research to understand the conditions under which polycentric governance systems are most suited, and the ways in which they can be operationalised most effectively.</t>
  </si>
  <si>
    <t>[Cvitanovic, C.; Hobday, A. J.; McDonald, J.; Van Putten, E. I.; Nash, K. L.] Univ Tasmania, Ctr Marine Socioecol, Hobart, Tas 7004, Australia; [Cvitanovic, C.; Nash, K. L.] Univ Tasmania, Inst Marine &amp; Antarctic Studies, Hobart, Tas 7001, Australia; [Cvitanovic, C.; McDonald, J.] Univ Tasmania, Fac Law, Sandy Bay, Tas 7004, Australia; [Hobday, A. J.; Van Putten, E. I.] CSIRO, Oceans &amp; Atmosphere, Hobart, Tas 7001, Australia</t>
  </si>
  <si>
    <t>University of Tasmania; University of Tasmania; University of Tasmania; Commonwealth Scientific &amp; Industrial Research Organisation (CSIRO)</t>
  </si>
  <si>
    <t>Cvitanovic, C (corresponding author), Univ Tasmania, Ctr Marine Socioecol, Hobart, Tas 7004, Australia.;Cvitanovic, C (corresponding author), Univ Tasmania, Inst Marine &amp; Antarctic Studies, Hobart, Tas 7001, Australia.;Cvitanovic, C (corresponding author), Univ Tasmania, Fac Law, Sandy Bay, Tas 7004, Australia.</t>
  </si>
  <si>
    <t>christopher.cvitanovic@utas.edu.au</t>
  </si>
  <si>
    <t>Hobday, Alistair/A-1460-2012; Nash, Kirsty L/B-5456-2015; McDonald, Jan/J-7204-2014</t>
  </si>
  <si>
    <t>Nash, Kirsty L/0000-0003-0976-3197; McDonald, Jan/0000-0002-7953-1458; Cvitanovic, Christopher/0000-0002-2565-3396</t>
  </si>
  <si>
    <t>Centre for Marine Socioecology, University of Tasmania; CSIRO, Australia</t>
  </si>
  <si>
    <t>Centre for Marine Socioecology, University of Tasmania; CSIRO, Australia(Commonwealth Scientific &amp; Industrial Research Organisation (CSIRO))</t>
  </si>
  <si>
    <t>We thank Robert Stephenson for useful comments and discussions that greatly improved this manuscript, and the two anonymous reviewers for their constructive comments and suggestions. Financial support was provided by the Centre for Marine Socioecology, University of Tasmania and CSIRO, Australia.</t>
  </si>
  <si>
    <t>0960-3166</t>
  </si>
  <si>
    <t>1573-5184</t>
  </si>
  <si>
    <t>REV FISH BIOL FISHER</t>
  </si>
  <si>
    <t>Rev. Fish. Biol. Fish.</t>
  </si>
  <si>
    <t>10.1007/s11160-017-9495-9</t>
  </si>
  <si>
    <t>FW2PU</t>
  </si>
  <si>
    <t>WOS:000425147200001</t>
  </si>
  <si>
    <t>Zhou, JL; Li, XH; Tang, GQ; Liu, Y; Tucker, RD</t>
  </si>
  <si>
    <t>Zhou, Jiu-Long; Li, Xian-Hua; Tang, Guo-Qiang; Liu, Yu; Tucker, Robert D.</t>
  </si>
  <si>
    <t>New evidence for a continental rift tectonic setting of the Neoproterozoic Imorona-Itsindro Suite (central Madagascar)</t>
  </si>
  <si>
    <t>PRECAMBRIAN RESEARCH</t>
  </si>
  <si>
    <t>Neoproterozoic tectonics; Rodinia break-up; Continental arc magmatism; Continental rift magmatism; Zircon Hf-O isotopes; East African-Antarctic Orogen</t>
  </si>
  <si>
    <t>U-PB AGE; NORTH-CENTRAL MADAGASCAR; WEST-CENTRAL MADAGASCAR; HF ISOTOPIC COMPOSITION; SOUTH CHINA BLOCK; BETSIMISARAKA SUTURE; STRATOID GRANITES; ZIRCON MEGACRYSTS; O ISOTOPES; GONDWANA CONNECTIONS</t>
  </si>
  <si>
    <t>The Neoproterozoic Imorona-Itsindro Suite of central Madagascar represents one of the crucial petrological records of the supercontinent transformation from Rodinia into Gondwana, whereas its tectonic setting remains open to debate. Here newly reported and existing zircon U/Pb-Hf-O isotope data are used to better understand the tempo-spatial features and petrogenetic mechanisms of this enigmatic suite. The following results are at least more compatible with, if not suggestive of, a continental rift setting than the traditionally accepted continental arc setting. (1) This suite is present throughout central Madagascar, including the Manampotsy-Anaboriana Domain and probably also the Antongil Sub-domain. Particularly, the high-flux magmatic pulse at similar to 790 Ma has a width of more than 300 km. (2) This suite is in essence an igneous expression of lithospheric reworking with no asthenosphere contribution being clearly detected. (3) The felsic and mafic end-members of this suite have independent sources and were derived from the crustal basement and lithospheric mantle, respectively. (4) Input of mantle materials (via magma mixing process) into the crust-derived felsic end-member increased at the similar to 790 Ma high-flux period, as indicated by a discernible positive zircon epsilon(Hf)(t) excursion. (5) Felsic end-member magma systems may have interacted with meteoric water at a high temperature, as implied by a previously reported zircon low-delta O-18 signature. Thus, there is perhaps no Neoproterozoic Mozambique Ocean suture across the Archean basement of central Madagascar. The most important implication of this study is that an elongate Andean-type orogenic system assumed in many Neoproterozoic paleogeography maps may not have been developed along the western margin of the supercontinent Rodinia.</t>
  </si>
  <si>
    <t>[Zhou, Jiu-Long; Li, Xian-Hua; Tang, Guo-Qiang; Liu, Yu] Chinese Acad Sci, Inst Geol &amp; Geophys, State Key Lab Lithospher Evolut, Beijing 100029, Peoples R China; [Zhou, Jiu-Long; Li, Xian-Hua] Chinese Acad Sci, Inst Earth Sci, Beijing 100029, Peoples R China; [Li, Xian-Hua; Tang, Guo-Qiang; Liu, Yu] Univ Chinese Acad Sci, Coll Earth Sci, Beijing 100049, Peoples R China; [Tucker, Robert D.] Bur Rech Geol &amp; Minieres, 3 Ave C Guillemin,BP 6009, F-45060 Orleans 2, France</t>
  </si>
  <si>
    <t>Chinese Academy of Sciences; Institute of Geology &amp; Geophysics, CAS; Chinese Academy of Sciences; Chinese Academy of Sciences; University of Chinese Academy of Sciences, CAS; Bureau de Recherches Geologiques et Minieres (BRGM)</t>
  </si>
  <si>
    <t>Li, XH (corresponding author), Chinese Acad Sci, Inst Geol &amp; Geophys, State Key Lab Lithospher Evolut, Beijing 100029, Peoples R China.</t>
  </si>
  <si>
    <t>zhoujl_geo@126.com; lixh@gig.ac.cn; rdavidtucker@gmail.com</t>
  </si>
  <si>
    <t>Chinese Academy of Sciences [XDB18030300]; National Natural Science Foundation of China [41703040]; Ministry of Science and Technology of China [2016YFE0203000]; China Postdoctoral Science Foundation [2016M600125]; Projet de Gouvernance des Ressources Minerales; National Science Foundation</t>
  </si>
  <si>
    <t>Chinese Academy of Sciences(Chinese Academy of Sciences); National Natural Science Foundation of China(National Natural Science Foundation of China (NSFC)); Ministry of Science and Technology of China(Ministry of Science and Technology, China); China Postdoctoral Science Foundation(China Postdoctoral Science Foundation); Projet de Gouvernance des Ressources Minerales; National Science Foundation(National Science Foundation (NSF))</t>
  </si>
  <si>
    <t>We are grateful to Qiu-Li Li, Hong-Xia Ma, Xiao-Xiao Ling and Jiao Li for their help during SIMS analyses, Yue-Heng Yang and Qing-Feng Mei for their assistance during LA-MC-ICPMS analyses. Interpretation of oxygen isotope data benefited from discussions with Yu-Sheng Zhu and Ya-Nan Yang. Helpful comments and suggestions from Anne Nedelec, Donnelly Archibald, Andrew Hynes and an anonymous reviewer greatly improved earlier versions of this manuscript. This study was supported by grants from the Chinese Academy of Sciences (No. XDB18030300), the National Natural Science Foundation of China (No. 41703040), the Ministry of Science and Technology of China (No. 2016YFE0203000) and the China Postdoctoral Science Foundation (No. 2016M600125). The samples were acquired by RDT during field trips financed by the Projet de Gouvernance des Ressources Minerales and the National Science Foundation.</t>
  </si>
  <si>
    <t>0301-9268</t>
  </si>
  <si>
    <t>1872-7433</t>
  </si>
  <si>
    <t>PRECAMBRIAN RES</t>
  </si>
  <si>
    <t>Precambrian Res.</t>
  </si>
  <si>
    <t>10.1016/j.precamres.2017.12.029</t>
  </si>
  <si>
    <t>FW3KF</t>
  </si>
  <si>
    <t>WOS:000425204600006</t>
  </si>
  <si>
    <t>Nardi, A; Benedetti, M; Fattorini, D; Regoli, F</t>
  </si>
  <si>
    <t>Nardi, Alessandro; Benedetti, Maura; Fattorini, Daniele; Regoli, Francesco</t>
  </si>
  <si>
    <t>Oxidative and interactive challenge of cadmium and ocean acidification on the smooth scallop Flexopecten glaber</t>
  </si>
  <si>
    <t>AQUATIC TOXICOLOGY</t>
  </si>
  <si>
    <t>Oxidative stress; Ocean acidification; Metal contamination; Bioaccumulation; Biomarkers; Scallops</t>
  </si>
  <si>
    <t>BIVALVES CRASSOSTREA-VIRGINICA; ACID-BASE-BALANCE; SEAWATER ACIDIFICATION; TRACE-METALS; ENVIRONMENTAL HYPERCAPNIA; SCAVENGING CAPACITY; ADAMUSSIUM-COLBECKI; EXAIPTASIA-PALLIDA; INCREASED PCO(2); CLIMATE-CHANGE</t>
  </si>
  <si>
    <t>Ocean acidification (OA) may affect sensitivity of marine organisms to metal pollution modulating chemical bioavailability, bioaccumulation and biological responsiveness of several cellular pathways. In this study, the smooth scallop Flexopecten glaber was exposed to various combinations of reduced pH (pH/pCO(2) 7.4/similar to 3000 mu atm) and Cd (20 mu g/L). The analyses on cadmium uptake were integrated with those of a wide battery of biomarkers including metallothioneins, single antioxidant defenses and total oxyradical scavenging capacity in digestive gland and gills, lysosomal membrane stability and onset of genotoxic damage in haemocytes. Reduced pH slightly increased concentration of Cd in scallop tissues, but no effects were measured in terms of metallothioneins. Induction of some antioxidants by Cd and/or low pH in the digestive gland was not reflected in variations of the total oxyradical scavenging capacity, while the investigated stressors caused a certain inhibition of antioxidants and reduction of the scavenging capacity toward peroxyl radical in the gills. Lysosomal membrane stability and onset of genotoxic damages showed high sensitivity with possible synergistic effects of the investigated factors. The overall results suggest that indirect effects of ocean acidification on metal accumulation and toxicity are tissue-specific and modulate oxidative balance through different mechanisms.</t>
  </si>
  <si>
    <t>[Nardi, Alessandro; Benedetti, Maura; Fattorini, Daniele; Regoli, Francesco] Polytech Univ Marche, Dept Life &amp; Environm Sci DiSVA, Via Brecce Bianche, I-60131 Ancona, Italy; [Benedetti, Maura; Regoli, Francesco] Consorzio Interuniv Sci Mare, CoNISMa, Rome, Italy</t>
  </si>
  <si>
    <t>Marche Polytechnic University; CoNISMa</t>
  </si>
  <si>
    <t>Regoli, F (corresponding author), Polytech Univ Marche, Dept Life &amp; Environm Sci DiSVA, Via Brecce Bianche, I-60131 Ancona, Italy.</t>
  </si>
  <si>
    <t>f.regoli@univpm.it</t>
  </si>
  <si>
    <t>Nardi, Alessandro/AAH-1535-2021; Fattorini, Daniele/A-2969-2010; Benedetti, Maura/K-5399-2016; Regoli, Francesco/K-2719-2018</t>
  </si>
  <si>
    <t>Fattorini, Daniele/0000-0002-5847-4722; Benedetti, Maura/0000-0003-0803-3846; Regoli, Francesco/0000-0001-6084-6188; Nardi, Alessandro/0000-0002-9978-1411</t>
  </si>
  <si>
    <t>Italian National Program on Antarctic Research (PNRA) [2013/AZ1.14]</t>
  </si>
  <si>
    <t>Italian National Program on Antarctic Research (PNRA)(Ministry of Education, Universities and Research (MIUR))</t>
  </si>
  <si>
    <t>This study was partially supported by the Italian National Program on Antarctic Research (PNRA, project 2013/AZ1.14).</t>
  </si>
  <si>
    <t>0166-445X</t>
  </si>
  <si>
    <t>1879-1514</t>
  </si>
  <si>
    <t>AQUAT TOXICOL</t>
  </si>
  <si>
    <t>Aquat. Toxicol.</t>
  </si>
  <si>
    <t>10.1016/j.aquatox.2018.01.008</t>
  </si>
  <si>
    <t>Marine &amp; Freshwater Biology; Toxicology</t>
  </si>
  <si>
    <t>FX9IJ</t>
  </si>
  <si>
    <t>WOS:000426411600007</t>
  </si>
  <si>
    <t>Mata, MM; Tavano, VM; Garcia, CAE</t>
  </si>
  <si>
    <t>Mata, Mauricio M.; Tavano, Virginia M.; Garcia, Carlos A. E.</t>
  </si>
  <si>
    <t>15 years sailing with the Brazilian High Latitude Oceanography Group (GOAL)</t>
  </si>
  <si>
    <t>MALVINAS CONFLUENCE REGION; NORTHWESTERN WEDDELL SEA; PATAGONIA SHELF-BREAK; ANTARCTIC PENINSULA; PHYTOPLANKTON BLOOMS; BRANSFIELD STRAIT; HUMPBACK WHALES; VARIABILITY; SATELLITE; VICINITY</t>
  </si>
  <si>
    <t>[Mata, Mauricio M.; Garcia, Carlos A. E.] Univ Fed Rio Grande FURG, Inst Oceanog, Lab Estudos Oceanos &amp; Clima, Ave Italia Km 8, BR-96203900 Rio Grande, RS, Brazil; [Tavano, Virginia M.] Univ Fed Rio Grande FURG, Inst Oceanog, Lab Fitoplancton &amp; Microorganismos Marinhos, Ave Italia Km 8, BR-96203900 Rio Grande, RS, Brazil</t>
  </si>
  <si>
    <t>Mata, MM (corresponding author), Univ Fed Rio Grande FURG, Inst Oceanog, Lab Estudos Oceanos &amp; Clima, Ave Italia Km 8, BR-96203900 Rio Grande, RS, Brazil.</t>
  </si>
  <si>
    <t>mauricio.mata@furg.br; docvmtg@furg.br; dfsgar@furg.br</t>
  </si>
  <si>
    <t>Garcia, Carlos A. E./K-7382-2012; Mata, Mauricio/H-4605-2011; Tavano, Virginia/C-5241-2013</t>
  </si>
  <si>
    <t>Mata, Mauricio/0000-0002-9028-8284; Tavano, Virginia/0000-0003-0039-8111</t>
  </si>
  <si>
    <t>10.1016/j.dsr2.2018.05.007</t>
  </si>
  <si>
    <t>WOS:000437037100001</t>
  </si>
  <si>
    <t>Kerr, R; Mata, MM; Mendes, CRB; Secchi, ER</t>
  </si>
  <si>
    <t>Kerr, Rodrigo; Mata, Mauricio M.; Mendes, Carlos Rafael B.; Secchi, Eduardo R.</t>
  </si>
  <si>
    <t>Northern Antarctic Peninsula: a marine climate hotspot of rapid changes on ecosystems and ocean dynamics</t>
  </si>
  <si>
    <t>NORTHWESTERN WEDDELL SEA; BRANSFIELD STRAITS; CONTINENTAL-SHELF; ICE SHELVES; DEEP-WATER; SPATIOTEMPORAL VARIABILITY; PHYTOPLANKTON ASSEMBLAGES; POPULATION-CHANGES; HUMPBACK WHALES; ATLANTIC-OCEAN</t>
  </si>
  <si>
    <t>[Kerr, Rodrigo; Mata, Mauricio M.] Univ Fed Rio Grande FURG, Inst Oceanog, Lab Escudos Oceanos &amp; Clima, Ave Italia Km 8, BR-96203900 Rio Grande, RS, Brazil; [Mendes, Carlos Rafael B.] Univ Fed Rio Grande FURG, Inst Oceanog, Lab Fitoplancton &amp; Microorganismos Marinhos, Ave Italia Km 8, BR-96203900 Rio Grande, RS, Brazil; [Secchi, Eduardo R.] Univ Fed Rio Grande FURG, Inst Oceanog, Lab Ecol &amp; Conservacao Megafauna Marinha, Ave Italia Km 8, BR-96203900 Rio Grande, RS, Brazil</t>
  </si>
  <si>
    <t>Universidade Federal do Rio Grande; Universidade Federal do Rio Grande; Universidade Federal do Rio Grande</t>
  </si>
  <si>
    <t>Kerr, R (corresponding author), Univ Fed Rio Grande FURG, Inst Oceanog, Lab Escudos Oceanos &amp; Clima, Ave Italia Km 8, BR-96203900 Rio Grande, RS, Brazil.</t>
  </si>
  <si>
    <t>rodrigokerr@furg.br; mauricio.mata@furg.br; crbmendes@furg.br; edu.secchi@furg.br</t>
  </si>
  <si>
    <t>Mendes, Carlos/GVU-7596-2022; Secchi, Eduardo R./ABF-1191-2020; Mendes, Carlos/I-1520-2012; Kerr, Rodrigo/I-2494-2012; Mendes, Carlos/AAD-6504-2021; Mata, Mauricio/H-4605-2011</t>
  </si>
  <si>
    <t>Mendes, Carlos/0000-0001-6875-8860; Secchi, Eduardo R./0000-0001-9087-9909; Mendes, Carlos/0000-0001-6875-8860; Kerr, Rodrigo/0000-0002-2632-3137; Mata, Mauricio/0000-0002-9028-8284</t>
  </si>
  <si>
    <t>10.1016/j.dsr2.2018.05.006</t>
  </si>
  <si>
    <t>WOS:000437037100002</t>
  </si>
  <si>
    <t>Lencina-Avila, JM; Goyet, C; Kerr, R; Orselli, IBM; Mata, MM; Touratier, F</t>
  </si>
  <si>
    <t>Lencina-Avila, Jannine M.; Goyet, Catherine; Kerr, Rodrigo; Orselli, Iole B. M.; Mata, Mauricio M.; Touratier, Franck</t>
  </si>
  <si>
    <t>Past and future evolution of the marine carbonate system in a coastal zone of the Northern Antarctic Peninsula</t>
  </si>
  <si>
    <t>Carbonate system; Ocean acidification; Polar coastal ecosystem; Gerlache Strait</t>
  </si>
  <si>
    <t>WESTERN BRANSFIELD STRAIT; CIRCUMPOLAR DEEP-WATER; SOUTHERN-OCEAN; SEA-ICE; INORGANIC CARBON; DISSOCIATION-CONSTANTS; GERLACHE STRAIT; CLIMATE-CHANGE; SPATIOTEMPORAL VARIABILITY; PHYTOPLANKTON COMMUNITIES</t>
  </si>
  <si>
    <t>It is arduous to gather a good spatial and temporal dataset of marine carbonate properties, especially in the Southern Ocean. In this study, we have reconstructed the carbonate system in the Gerlache Strait, a coastal zone of the Northern Antarctic Peninsula. We also analyzed the impact of ocean acidification by calculating the tipping points of the calcium carbonate saturation states and pH (i.e., when saturation state and pH goes below one and 7, respectively). Hydrographic and carbonate data from three distinct data sets (GOAL - 2013-2016, FRUELA 1996, and World Ocean Database - 1965-2004) have been joined and used to reconstruct the carbonate system from the past 50 years. Temporal annual mean trends were determined depending on the water column depth-layer. The northern Gerlache Strait showed a significant increasing trend of total inorganic carbon concentrations (1.0024 +/- 0.34 mu mol kg(-1)) and related pH decreasing trend (-0.0026 +/- 0.0009 sws) in the surface mixed layer (&gt; 60 m). The properties variability is relatively different (magnitudes and signs) between the northern and southern sectors of the Gerlache Strait, which indicate that adjacent regions to the Gerlache Strait to the southwest and north, respectively, may major influence the regional carbonate dynamics. Results also show that episodic under-saturation conditions, in relation to aragonite within the surface mixed layer, may already occur, especially in regions close to large glaciers.</t>
  </si>
  <si>
    <t>[Lencina-Avila, Jannine M.; Goyet, Catherine; Touratier, Franck] Univ Perpignan, IMAGES ESPACE DEV, Via Dornitia,52 Ave Paul Alduy, F-66860 Perpignan, France; [Lencina-Avila, Jannine M.; Goyet, Catherine; Touratier, Franck] Maison Teledetect, ESPACE DEV UMR UG UA UM IRD, F-34093 Montpellier 5, France; [Lencina-Avila, Jannine M.; Kerr, Rodrigo; Orselli, Iole B. M.; Mata, Mauricio M.] Brazilian Ocean Acidificat Network BrOA, Av Italia,Km 8, BR-96203900 Rio Grande, RS, Brazil; [Kerr, Rodrigo; Orselli, Iole B. M.; Mata, Mauricio M.] Univ Fed Rio Grande FURG, Inst Oceanog, Lab Estudos Oceanos &amp; Clima, Av Italia,Km 8, BR-96203900 Rio Grande, RS, Brazil</t>
  </si>
  <si>
    <t>Universite Perpignan Via Domitia; Universidade Federal do Rio Grande</t>
  </si>
  <si>
    <t>Lencina-Avila, JM (corresponding author), Univ Perpignan, IMAGES ESPACE DEV, Via Dornitia,52 Ave Paul Alduy, F-66860 Perpignan, France.</t>
  </si>
  <si>
    <t>marquez-lencina.ja@univ-perp.fr</t>
  </si>
  <si>
    <t>Orselli, Iole/AAP-1267-2021; Kerr, Rodrigo/I-2494-2012; Avila, Jannine M. Lencina/E-3069-2019; Mata, Mauricio/H-4605-2011</t>
  </si>
  <si>
    <t>Kerr, Rodrigo/0000-0002-2632-3137; Avila, Jannine M. Lencina/0000-0001-5800-2760; Mata, Mauricio/0000-0002-9028-8284</t>
  </si>
  <si>
    <t>French National programme LEFE/INSU; Brazilian Ministry of Science, Technology, Innovation, and Communication (MCTIC); Brazilian Ministry of Environment (MMA); Council for Research and Scientific Development of Brazil (CNPq) through Brazilian National Institute of Science and Technology of Cryosphere (INCT-CRIOSFERA) [573720/2008-8, 465680/2014-3]; NAUTILUS (CNPq) [405869/2013-4]; CAPES/CMAR2 (CAPES) [23038.001421/2014-30]; CNPq [249697/2013-0, 302604/2015-4, 306896/2015-0]; CAPES [23038.001421/2014-30]</t>
  </si>
  <si>
    <t>French National programme LEFE/INSU; Brazilian Ministry of Science, Technology, Innovation, and Communication (MCTIC); Brazilian Ministry of Environment (MMA); Council for Research and Scientific Development of Brazil (CNPq) through Brazilian National Institute of Science and Technology of Cryosphere (INCT-CRIOSFERA)(Fundacao de Apoio a Pesquisa do Distrito Federal (FAPDF)Conselho Nacional de Desenvolvimento Cientifico e Tecnologico (CNPQ)); NAUTILUS (CNPq)(Conselho Nacional de Desenvolvimento Cientifico e Tecnologico (CNPQ)Fundacao de Apoio a Pesquisa do Distrito Federal (FAPDF)); CAPES/CMAR2 (CAPES)(Coordenacao de Aperfeicoamento de Pessoal de Nivel Superior (CAPES)); CNPq(Conselho Nacional de Desenvolvimento Cientifico e Tecnologico (CNPQ)); CAPES(Coordenacao de Aperfeicoamento de Pessoal de Nivel Superior (CAPES))</t>
  </si>
  <si>
    <t>This study contributes to the Brazilian Ocean Acidification Network (BrOA; www.broa.furg.br) and the Brazilian High Latitudes Oceanography Group (GOAL; www.goal.furg.br), as part of the Brazilian Antarctic Program (PROANTAR) activities. This work was also supported by the French National programme LEFE/INSU. GOAL acknowledges the Brazilian Ministry of Science, Technology, Innovation, and Communication (MCTIC), the Brazilian Ministry of Environment (MMA), and the Council for Research and Scientific Development of Brazil (CNPq) for funding and/or logistical support through grants from the Brazilian National Institute of Science and Technology of Cryosphere (INCT-CRIOSFERA; CNPq grant no. 573720/2008-8; 465680/2014-3), NAUTILUS (CNPq grant no. 405869/2013-4), and CAPES/CMAR2 (CAPES grant no. 23038.001421/2014-30) projects. We thank the Brazilian Navy, especially the crew, and all researchers on board of the R/V N.Po. Almirante Maximiano for providing logistical and sampling supports during the POLARCANION and NAUTILUS cruises. We also thank the colleagues of the Institute Antdrtico Chileno (INACH, Chile, especially to A. Sapunar, W. Rubio, P. Espinoza, and F. Bartsch) and M. S. de Souza for the logistical support prior to the cruise. J. M. Lencina-Avila and I. B. M. Orselli acknowledge CNPq and CAPES, respectively, for the Ph.D. fundings (CNPq process no. 249697/2013-0 and CAPES process no. 23038.001421/2014-30). R. Kerr and M. M. Mata acknowledge the CNPq researcher grants no. 302604/2015-4 and 306896/2015-0, respectively. We thank M. Carvalho-Borges for chemical analysis, and T. S. Dotto for physical data processing. We thank the constructive comments provided by three anonymous reviewers which substantially improved the manuscript.</t>
  </si>
  <si>
    <t>10.1016/j.dsr2.2017.10.018</t>
  </si>
  <si>
    <t>WOS:000437037100018</t>
  </si>
  <si>
    <t>Botta, S; Secchi, ER; Rogers, TL; Prado, JHF; de Lima, RC; Carlini, P; Negrete, J</t>
  </si>
  <si>
    <t>Botta, Silvina; Secchi, Eduardo R.; Rogers, Tracey L.; Prado, Jonatas H. F.; de Lima, Renan C.; Carlini, Pedro; Negrete, Javier</t>
  </si>
  <si>
    <t>Isotopic niche overlap and partition among three Antarctic seals from the Western Antarctic Peninsula</t>
  </si>
  <si>
    <t>Ecological niche; Western Antarctic Peninsula; Pack ice seals; Stable isotopes</t>
  </si>
  <si>
    <t>CRAB-EATER SEALS; KRILL EUPHAUSIA-SUPERBA; SOUTH SHETLAND ISLANDS; FATTY-ACID-COMPOSITION; LEOPARD SEALS; LEPTONYCHOTES-WEDDELLII; HYDRURGA-LEPTONYX; STABLE-ISOTOPES; HABITAT SELECTION; FORAGING BEHAVIOR</t>
  </si>
  <si>
    <t>In the present study we used stable carbon (delta C-13) and nitrogen (delta N-15) analysis of whiskers to investigate the isotopic niche overlap and partition among three pack ice seals sampled along the Danco Coast, Western Antarctic Peninsula (WAP). Isotopic values in serially sampled whiskers of 34 leopard (Hydrurga leptonyx, HL), 13 crabeater (Lobodon carcinophaga, LC) and 14 Weddell (Leptonychotes weddellii, LW) seals were measured. Two clusters of leopard seals were identified based on their delta N-15 values: a high-trophic level group (HLhigh) and a low-trophic level group (HLlow). Overlap in SEAc was only seen between HL and LC, while HL and LW showed an overlap in their convex hulls, but no overlap in SEAc. Diet compositions estimated using Bayesian stable isotope mixing models revealed intra- and interspecific differences among seals. For leopard seals highest dietary contributor was krill, while for HLhigh krill and fish cephalopod were the main contributors. Mixing models run separately for each HL seal showed a large variation in the proportional contribution of krill (12-90%) compared to the other sources (cephalopods, fish, penguins and seals). The crabeater seals almost exclusively consumed krill, with a low contribution of the other prey. Weddell seals, on the other hand, showed a high proportion of fish and a lower contribution of cephalopods and penguins, while the contribution of krill seemed to be minimal. This study is the first to compare isotopic niches of three Antarctic seals from the WAP. Our results indicate that crabeater and leopard seals seem to have a strong and a considerable dependence on krill, respectively. Although the WAP is characterized by an unusually high production of Antarctic krill the large community of vertebrate predators that feed upon this resource (penguins, seals and baleen whales) should be especially vulnerable under future scenarios of reduction of krill biomass. Under the current drastic environmental changes in the WAP, continuing to monitor WAP seal diets and the relative contribution of krill to them will help understand the degree to which climate change may alter the population dynamics of these upper trophic level species.</t>
  </si>
  <si>
    <t>[Botta, Silvina; Secchi, Eduardo R.; Prado, Jonatas H. F.; de Lima, Renan C.] Univ Fed Rio Grande FURG, Inst Oceanog, Lab Ecol &amp; Conservacao Megafauna Marinha, BR-96203900 Rio Grande, RS, Brazil; [Rogers, Tracey L.] Univ New South Wales, Sch BEES, Evolut &amp; Ecol Res Ctr, Randwick, NSW 2052, Australia; [de Lima, Renan C.] Univ Fed Rio Grande FURG, Inst Oceanog, Programa Posgrad Oceanog Biol, BR-96203900 Rio Grande, RS, Brazil; [Carlini, Pedro] Univ Nacl La Plata, Fac Ciencias Nat &amp; Museo, RA-1900 La Plata, Buenos Aires, Argentina; [Negrete, Javier] Inst Antartico Argentina, Dept Biol Predadores Tope, Av 25 Mayo 1143,C101 AAZ, San Martin, Buenos Aires, Argentina</t>
  </si>
  <si>
    <t>Universidade Federal do Rio Grande; University of New South Wales Sydney; Universidade Federal do Rio Grande; National University of La Plata; Museo La Plata; Instituto Antartico Argentino</t>
  </si>
  <si>
    <t>Botta, S (corresponding author), Univ Fed Rio Grande FURG, Inst Oceanog, Lab Ecol &amp; Conservacao Megafauna Marinha, BR-96203900 Rio Grande, RS, Brazil.</t>
  </si>
  <si>
    <t>silbotta@gmail.com</t>
  </si>
  <si>
    <t>botta, silvina/D-7528-2016; Secchi, Eduardo R./ABF-1191-2020; Lima, Renan/ISS-9775-2023; Rogers, Tracey L/C-3419-2008</t>
  </si>
  <si>
    <t>Secchi, Eduardo R./0000-0001-9087-9909; Lima, Renan/0000-0002-9311-7085; Negrete, Javier/0000-0001-6853-8307; Rogers, Tracey/0000-0002-7141-4177; Botta, Silvina/0000-0001-6219-6932</t>
  </si>
  <si>
    <t>Direccion Nacional del Antartico, Institute Antartico Argentine [PICTA 01-2010]; Australian Research Council Linkage Program [LP0989933]; National Council for Research and Technological Development (CNPq) [PQ 307846/2014-8]; INTERBIOTA Project (CNPq) [407889/2013-2]; Australian Research Council [LP0989933] Funding Source: Australian Research Council</t>
  </si>
  <si>
    <t>Direccion Nacional del Antartico, Institute Antartico Argentine; Australian Research Council Linkage Program(Australian Research Council); National Council for Research and Technological Development (CNPq)(Conselho Nacional de Desenvolvimento Cientifico e Tecnologico (CNPQ)Fundacao de Apoio a Pesquisa do Distrito Federal (FAPDF)); INTERBIOTA Project (CNPq)(Conselho Nacional de Desenvolvimento Cientifico e Tecnologico (CNPQ)Fundacao de Apoio a Pesquisa do Distrito Federal (FAPDF)); Australian Research Council(Australian Research Council)</t>
  </si>
  <si>
    <t>We would like to thank the team of Base Primavera for their support during field work and Ana Barbara Broni who collaborated with the sample processing. The immobilisation and sampling of leopard, crabeater and Weddell seals within the Antarctic Specially Protected Area No. 134 were approved by the Direccion Nacional del Antartico, Program of Environmental Management and Tourism (PGAyT), Buenos Aires, Argentina (Permit no. 8). Research procedures were also reviewed and approved by the University of New South Wales' Animal Care and Ethics Committee protocol numbers 08/103B and 11/112A to TR. Field work was supported and funded by the Direccion Nacional del Antartico, Institute Antartico Argentine PICTA 01-2010 and by the Australian Research Council Linkage Program, number LP0989933. National Council for Research and Technological Development (CNPq) provided a research fellowship to ERS (PQ 307846/2014-8). SB is currently postdoctoral fellow of the Coordination for the Improvement of Higher Education Personnel (CAPES-PNPD). This work is a contribution of the research groups Ecologia e Conservacao da Megafauna Marinha-EcoMega/CNPq, Grupo de Oceanografia de Altas Latitudes - GOAL/CNPq and the INTERBIOTA Project (CNPq Grant number 407889/2013-2).</t>
  </si>
  <si>
    <t>10.1016/j.dsr2.2017.11.005</t>
  </si>
  <si>
    <t>WOS:000437037100022</t>
  </si>
  <si>
    <t>Batista, MB; Anderson, AB; Sanches, PF; Polito, PS; Silveira, TCL; Velez-Rubio, GM; Scarabino, F; Camacho, O; Schmitz, C; Martinez, A; Ortega, L; Fabiano, G; Rothman, MD; Liu, G; Ojeda, J; Mansilla, A; Barreto, LM; Assis, J; Serrao, EA; Santos, R; Horta, PA</t>
  </si>
  <si>
    <t>Batista, Manuela Bernardes; Anderson, Antonio Batista; Sanches, Paola Franzan; Polito, Paulo Simionatto; Lima Silveira, Thiago Cesar; Velez-Rubio, Gabriela M.; Scarabino, Fabrizio; Camacho, Olga; Schmitz, Caroline; Martinez, Ana; Ortega, Leonardo; Fabiano, Graciela; Rothman, Mark D.; Liu, Gang; Ojeda, Jaime; Mansilla, Andres; Barreto, Luis M.; Assis, Jorge; Serrao, Ester A.; Santos, Rui; Horta, Paulo Antunes</t>
  </si>
  <si>
    <t>Kelps' Long-Distance Dispersal: Role of Ecological/Oceanographic Processes and Implications to Marine Forest Conservation</t>
  </si>
  <si>
    <t>DIVERSITY-BASEL</t>
  </si>
  <si>
    <t>Long-distance dispersal is one of the main drivers structuring the distribution of marine biodiversity. This study reports the first occurrence of Macrocystis pyrifera and Durvillaea antarctica rafts on the southwestern warm temperate coast of the Atlantic Ocean. Our results indicate that an extreme meteo-oceanographic event, characterized by a northward, displacement of cold sub-Antarctic oceanic waters driven by an extratropical cyclone, could account for these unusual occurrences. A niche model based on known current distribution and maximum entropy principle (MAXENT), revealed the availability of suitable habitats at lower latitudes, outside their actual distribution edges. The distributional boundaries, mainly driven by temperature and irradiance, suggest the existence of environmental suitability in warm temperate areas, as well as in the Northern Hemisphere off Atlantic and Asian coasts. These theoretical edges and respective environmental drivers agree with the physiological affinities of both species, supporting the hypothesis that these variables act as limiting factors for their occurrences in tropical or warmer areas. Emerging regions can function as refuges and stepping-stones, providing substrate with adequate habitat conditions for recruitment of propagules, allowing eventual colonization. Long dispersal events reinforce the need for an extensive discussion on selective management of natural dispersion, biological invasions, refuge mapping and conservation initiatives in a transnational perspective.</t>
  </si>
  <si>
    <t>[Batista, Manuela Bernardes; Anderson, Antonio Batista; Lima Silveira, Thiago Cesar; Horta, Paulo Antunes] Univ Fed Santa Catarina, Programa Posgrad Ecol, BR-88040900 Florianopolis, SC, Brazil; [Sanches, Paola Franzan] Univ Sao Paulo, Praca Oceanog, Dept Oceanog Biol, Inst Oceanog, 112 Butanta, BR-05508120 Sao Paulo, SP, Brazil; [Polito, Paulo Simionatto] Univ Sao Paulo, Praca Oceanog, Dept Oceanog Fis Quim &amp; Geol, Inst Oceanog, 172 Butanta, BR-05508120 Sao Paulo, SP, Brazil; [Velez-Rubio, Gabriela M.; Scarabino, Fabrizio] Univ Republ, CURE, Intersecc Ruta 9 &amp; Ruta 15, Rocha 27000, Uruguay; [Camacho, Olga; Schmitz, Caroline] 24 Univ Fed Santa Catarina, Dept Bot, Lab Ficol, BR-88040970 Florianopolis, SC, Brazil; [Martinez, Ana; Ortega, Leonardo; Fabiano, Graciela] Direcc Nacl Recursos Acuat DINARA, Montevideo 11200, Uruguay; [Rothman, Mark D.] Dept Agr Forestry &amp; Fisheries, Private Bag X2 Rogge Bay, ZA-8012 Cape Town, South Africa; [Rothman, Mark D.] Univ Cape Town, Biol Sci Dept, ZA-7701 Cape Town, South Africa; [Rothman, Mark D.] Univ Cape Town, Marine Res Inst, ZA-7701 Cape Town, South Africa; [Liu, Gang] Natl Ocean &amp; Atmospher Adm, Coral Reef Watch, College Pk, MD 20740 USA; [Liu, Gang] Global Sci &amp; Technol Inc, Greenbelt, MD 20770 USA; [Ojeda, Jaime; Mansilla, Andres] Univ Magallanes, Lab Macroalgas Antarticas &amp; Subantarticas, Punta Arenas 01855, Chile; [Barreto, Luis M.; Assis, Jorge; Serrao, Ester A.; Santos, Rui] Univ Algarve, CIMAR, CCMAR Ctr Marine Sci, Campus Gambelas, P-8005139 Faro, Portugal</t>
  </si>
  <si>
    <t>Universidade Federal de Santa Catarina (UFSC); Universidade de Sao Paulo; Universidade de Sao Paulo; Universidad de la Republica, Uruguay; University of Cape Town; University of Cape Town; National Oceanic Atmospheric Admin (NOAA) - USA; National Aeronautics &amp; Space Administration (NASA); Universidad de Magallanes; Universidade do Algarve</t>
  </si>
  <si>
    <t>Batista, MB (corresponding author), Univ Fed Santa Catarina, Programa Posgrad Ecol, BR-88040900 Florianopolis, SC, Brazil.</t>
  </si>
  <si>
    <t>manuelabiologa@gmail.com; aabbiologia@gmail.com; paolafsanches@gmail.com; polito@usp.br; silveira.tcl@gmail.com; gabriela.velezrubio@gmail.com; fscarabino@cure.edu.uy; olgacamacho76@yahoo.com; carolineschmitz-bio@hotmail.com; anamart30@gmail.com; leogortega@gmail.com; graciela.fabiano@gmail.com; Mark.Rothman@uct.ac.za; gang.liu@noaa.gov; jaimeojedavillarroel@yahoo.es; andres.mansilla@umag.cl; luisambarreto74@gmail.com; jorgemfa@gmail.com; eserrao@ualg.pt; rosantos@ualg.pt; paulo.horta@ufsc.br</t>
  </si>
  <si>
    <t>Serrao, Ester A/C-6686-2012; Anderson, Antônio Batista/AAX-9869-2021; Schmitz, Caroline/AAD-2015-2022; Assis, Jorge/AAC-6524-2019; Ojeda, Jaime/HHN-1455-2022; Horta, Paulo A/L-3092-2015; Fapesp, Biota/F-8655-2017; Liu, Gang/E-7921-2011; Polito, Paulo Simionatto/L-5399-2019; Anderson, Antônio Batista/ABB-6679-2021; Santos, Rui/B-4168-2008</t>
  </si>
  <si>
    <t>Serrao, Ester A/0000-0003-1316-658X; Anderson, Antônio Batista/0000-0003-2502-7018; Schmitz, Caroline/0000-0002-9806-252X; Assis, Jorge/0000-0002-6624-4820; Fapesp, Biota/0000-0002-9887-8449; Polito, Paulo Simionatto/0000-0003-2217-3853; Santos, Rui/0000-0002-7861-4366; Mansilla, Andres/0000-0003-3505-7018; Batista, Manuela/0000-0001-9376-4787; ojeda, jaime/0000-0003-3863-9750; Lima Silveira, Thiago Cesar/0000-0002-3163-479X; Ortega, Leonardo/0000-0002-1254-2822; Velez-Rubio, Gabriela M/0000-0002-6033-0920; Martinez Goicoechea, Ana/0000-0003-0596-7862</t>
  </si>
  <si>
    <t>Portuguese Fundacao para a Ciencia e Tecnologia (FCT) [SFRH/BPD/111003/2015, PTDC/MAR-EST/6053/2014]; Conselho Nacional de Desenvolvimento Cientifico e Tecnologico [CNPq 306917/2009-2]; Coordenacao de Aperfeicoamento de Pessoal de Nivel Superior [CAPES/PNPD 02828/09-0, CAPES/PNADB 2338000071/2010-61]; Polito: CNPQ [Universal 447109/2014-6]; Instituto Nacional de Ciencia e Tecnologia para Mudancas Climaticas (INCT-MC); ProspecMar-Islands-Sustainable prospecting in Ocean Islands: Biodiversity, Chemistry, Ecology and Biotechnology, Boticario Foundation [1051-20152]; Rede Coral Vivo, Brazilian Research Network on Global Climate Change; REDEALGAS, Brazilian Research Network on Global Climate Change; FAPESC-Foundation; Fundação para a Ciência e a Tecnologia [PTDC/MAR-EST/6053/2014] Funding Source: FCT</t>
  </si>
  <si>
    <t>Portuguese Fundacao para a Ciencia e Tecnologia (FCT)(Fundacao para a Ciencia e a Tecnologia (FCT)); Conselho Nacional de Desenvolvimento Cientifico e Tecnologico(Conselho Nacional de Desenvolvimento Cientifico e Tecnologico (CNPQ)); Coordenacao de Aperfeicoamento de Pessoal de Nivel Superior(Coordenacao de Aperfeicoamento de Pessoal de Nivel Superior (CAPES)); Polito: CNPQ; Instituto Nacional de Ciencia e Tecnologia para Mudancas Climaticas (INCT-MC); ProspecMar-Islands-Sustainable prospecting in Ocean Islands: Biodiversity, Chemistry, Ecology and Biotechnology, Boticario Foundation; Rede Coral Vivo, Brazilian Research Network on Global Climate Change; REDEALGAS, Brazilian Research Network on Global Climate Change; FAPESC-Foundation; Fundação para a Ciência e a Tecnologia(Fundacao para a Ciencia e a Tecnologia (FCT))</t>
  </si>
  <si>
    <t>Conselho Nacional de Desenvolvimento Cientifico e Tecnologico (CNPq 306917/2009-2 to P.A. Horta) and Coordenacao de Aperfeicoamento de Pessoal de Nivel Superior (CAPES/PNPD 02828/09-0 and CAPES/PNADB 2338000071/2010-61 to P.A. Horta), Polito: CNPQ Universal 447109/2014-6, Instituto Nacional de Ciencia e Tecnologia para Mudancas Climaticas (INCT-MC), ProspecMar-Islands-Sustainable prospecting in Ocean Islands: Biodiversity, Chemistry, Ecology and Biotechnology, Boticario Foundation (1051-20152), Rede Coral Vivo and REDEALGAS, Brazilian Research Network on Global Climate Change and FAPESC-Foundation support research and innovation in the State of Santa Catarina. We thank the Portuguese Fundacao para a Ciencia e Tecnologia (FCT) for SFRH/BPD/111003/2015 (JA) and PTDC/MAR-EST/6053/2014 (EAS).</t>
  </si>
  <si>
    <t>1424-2818</t>
  </si>
  <si>
    <t>Diversity-Basel</t>
  </si>
  <si>
    <t>10.3390/d10010011</t>
  </si>
  <si>
    <t>GA7XX</t>
  </si>
  <si>
    <t>WOS:000428553300010</t>
  </si>
  <si>
    <t>Hyder, K; Weltersbach, MS; Armstrong, M; Ferter, K; Townhill, B; Ahvonen, A; Arlinghaus, R; Baikov, A; Bellanger, M; Birzaks, J; Borch, T; Cambie, G; de Graaf, M; Diogo, HMC; Dziemian, L; Gordoa, A; Grzebielec, R; Hartill, B; Kagervall, A; Kapiris, K; Karlsson, M; Kleiven, AR; Lejk, AM; Levrel, H; Lovell, S; Lyle, J; Moilanen, P; Monkman, G; Morales-Nin, B; Mugerza, E; Martinez, R; O'Reilly, P; Olesen, HJ; Papadopoulos, A; Pita, P; Radford, Z; Radtke, K; Roche, W; Rocklin, D; Ruiz, J; Scougal, C; Silvestri, R; Skov, C; Steinback, S; Sundelöf, A; Svagzdys, A; Turnbull, D; van der Hammen, T; van Voorhees, D; van Winsen, F; Verleye, T; Veiga, P; Volstad, JH; Zarauz, L; Zolubas, T; Strehlow, HV</t>
  </si>
  <si>
    <t>Hyder, Kieran; Weltersbach, Marc Simon; Armstrong, Mike; Ferter, Keno; Townhill, Bryony; Ahvonen, Anssi; Arlinghaus, Robert; Baikov, Andrei; Bellanger, Manuel; Birzaks, Janis; Borch, Trude; Cambie, Giulia; de Graaf, Martin; Diogo, Hugo M. C.; Dziemian, Lukasz; Gordoa, Ana; Grzebielec, Ryszard; Hartill, Bruce; Kagervall, Anders; Kapiris, Kostas; Karlsson, Martin; Kleiven, Alf Ring; Lejk, Adam M.; Levrel, Harold; Lovell, Sabrina; Lyle, Jeremy; Moilanen, Pentti; Monkman, Graham; Morales-Nin, Beatriz; Mugerza, Estanis; Martinez, Roi; O'Reilly, Paul; Olesen, Hans Jakob; Papadopoulos, Anastasios; Pita, Pablo; Radford, Zachary; Radtke, Krzysztof; Roche, William; Rocklin, Delphine; Ruiz, Jon; Scougal, Callum; Silvestri, Roberto; Skov, Christian; Steinback, Scott; Sundelof, Andreas; Svagzdys, Arvydas; Turnbull, David; van der Hammen, Tessa; van Voorhees, David; van Winsen, Frankwin; Verleye, Thomas; Veiga, Pedro; Volstad, Jon-Helge; Zarauz, Lucia; Zolubas, Tomas; Strehlow, Harry V.</t>
  </si>
  <si>
    <t>Recreational sea fishing in Europe in a global contextParticipation rates, fishing effort, expenditure, and implications for monitoring and assessment</t>
  </si>
  <si>
    <t>FISH AND FISHERIES</t>
  </si>
  <si>
    <t>European marine recreational fisheries; fisheries assessment and management; fishing effort and expenditure; participation; surveys and monitoring of marine recreational fisheries</t>
  </si>
  <si>
    <t>COD GADUS-MORHUA; FISHERIES MANAGEMENT; ATLANTIC COD; INDUSTRIALIZED COUNTRIES; UNITED-STATES; MARINE; CATCH; PARTICIPATION; CONSERVATION; IMPACT</t>
  </si>
  <si>
    <t>Marine recreational fishing (MRF) is a high-participation activity with large economic value and social benefits globally, and it impacts on some fish stocks. Although reporting MRF catches is a European Union legislative requirement, estimates are only available for some countries. Here, data on numbers of fishers, participation rates, days fished, expenditures, and catches of two widely targeted species were synthesized to provide European estimates of MRF and placed in the global context. Uncertainty assessment was not possible due to incomplete knowledge of error distributions; instead, a semi-quantitative bias assessment was made. There were an estimated 8.7 million European recreational sea fishers corresponding to a participation rate of 1.6%. An estimated 77.6 million days were fished, and expenditure was Euro5.9 billion annually. There were higher participation, numbers of fishers, days fished and expenditure in the Atlantic than the Mediterranean, but the Mediterranean estimates were generally less robust. Comparisons with other regions showed that European MRF participation rates and expenditure were in the mid-range, with higher participation in Oceania and the United States, higher expenditure in the United States, and lower participation and expenditure in South America and Africa. For both northern European sea bass (Dicentrarchus labrax, Moronidae) and western Baltic cod (Gadus morhua, Gadidae) stocks, MRF represented 27% of the total removals. This study highlights the importance of MRF and the need for bespoke, regular and statistically sound data collection to underpin European fisheries management. Solutions are proposed for future MRF data collection in Europe and other regions to support sustainable fisheries management.</t>
  </si>
  <si>
    <t>[Hyder, Kieran; Armstrong, Mike; Townhill, Bryony; Cambie, Giulia; Martinez, Roi; Radford, Zachary; Scougal, Callum] Ctr Environm Fisheries &amp; Aquaculture Sci, Lowestoft, Suffolk, England; [Weltersbach, Marc Simon; Strehlow, Harry V.] Thunen Inst Balt Sea Fisheries, Rostock, Germany; [Ferter, Keno; Volstad, Jon-Helge] Inst Marine Res, Bergen, Norway; [Ahvonen, Anssi; Moilanen, Pentti] Nat Resources Inst Finland Luke, Helsinki, Finland; [Arlinghaus, Robert] Leibniz Inst Freshwater Ecol &amp; Inland Fisheries, Dept Biol &amp; Ecol Fishes, Berlin, Germany; [Arlinghaus, Robert] Humboldt Univ, Albrecht Daniel Thaer Inst Agr &amp; Hort, Fac Life Sci, Div Integrat Fisheries Management, Berlin, Germany; [Baikov, Andrei] Minist Environm, Fisheries Resources Dept, Tallinn, Estonia; [Bellanger, Manuel] Ifremer, UMR AMURE, Unite Econ Maritime, Plouzane, France; [Birzaks, Janis] Inst Food Safety Anim Hlth &amp; Environm, Riga, Latvia; [Borch, Trude] Akvaplan Niva AS, Fram Ctr, Tromso, Norway; [Cambie, Giulia; Monkman, Graham] Bangor Univ, Sch Ocean Sci, Menai Bridge, Anglesey, Wales; [de Graaf, Martin; van der Hammen, Tessa] Wageningen Marine Res, Ijmuiden, Netherlands; [Diogo, Hugo M. C.] Univ Acores, Dept Oceanog &amp; Pescas, Marine &amp; Environm Sci Ctr, Horta, Acores, Portugal; [Dziemian, Lukasz; Grzebielec, Ryszard; Lejk, Adam M.; Radtke, Krzysztof] NMFRI, Gdynia, Poland; [Gordoa, Ana] CEAB CSIC, Dept Marine Ecol, Blanes, Spain; [Hartill, Bruce] NIWA, Auckland, New Zealand; [Kagervall, Anders] Swedish Univ Agr Sci, Inst Freshwater Res, Drottningholm, Sweden; [Kapiris, Kostas] Inst Marine Biol Resources &amp; Inland Waters, Hellen Ctr Marine Res, Anavissos, Greece; [Karlsson, Martin] Inst Coastal Res, Dept Aquat Resources, Oregrund, Sweden; [Kleiven, Alf Ring] Flodevigen Marine Res Stn, Inst Marine Res, Hls, Norway; [Levrel, Harold] UMR CIRED, Paris, France; [Levrel, Harold; van Voorhees, David] NOAA Fisheries, Silver Spring, MD USA; [Lyle, Jeremy] Univ Tasmania, Inst Marine &amp; Antarctic Studies, Hobart, Tas, Australia; [Morales-Nin, Beatriz] CSIC UIB, Mediterranean Inst Adv Studies, Mallorca, Iles Balears, Spain; [Mugerza, Estanis; Ruiz, Jon] AZTI Tecnalia, Sukarrieta, Bizkaia, Spain; [O'Reilly, Paul; Roche, William] Inland Fisheries Ireland, Dublin, Ireland; [Olesen, Hans Jakob] Tech Univ Denmark, Natl Inst Aquat Resources DTU Aqua, Lyngby, Denmark; [Papadopoulos, Anastasios] Fisheries Res Inst, Nea Peramos, Greece; [Pita, Pablo] Univ Santiago de Compostela, Fac Econ &amp; Business Adm, Dept Appl Econ, Santiago De Compostela, Spain; [Rocklin, Delphine] Mem Univ Newfoundland, Dept Geog, St John, NF, Canada; [Silvestri, Roberto] Ctr Interuniv Biol Marina Ecol Applicata, CIBM, Livorno, Italy; [Skov, Christian] Tech Univ Denmark, Sect Inland Fisheries &amp; Ecol, DTU AQUA, Silkeborg, Denmark; [Steinback, Scott] NOAA Fisheries, Woods Hole, MA USA; [Sundelof, Andreas] Swedish Univ Agr Sci, Inst Marine Res, Lysekil, Sweden; [Svagzdys, Arvydas; Zolubas, Tomas] Minist Agr, Fisheries Serv, Klaipeda, Lithuania; [Turnbull, David] Scottish Govt, Marine Scotland, Edinburgh, Midlothian, Scotland; [van Winsen, Frankwin] Inst Agr &amp; Fisheries Res ILVO, Oostende, Belgium; [Verleye, Thomas] Flanders Marine Inst, Vlaams Inst Zee VLIZ, Oostende, Belgium; [Veiga, Pedro] Univ Algarve, Ctr Marine Sci CCMAR, FCT 7, Faro, Portugal</t>
  </si>
  <si>
    <t>Centre for Environment Fisheries &amp; Aquaculture Science; Johann Heinrich von Thunen Institute; Institute of Marine Research - Norway; Natural Resources Institute Finland (Luke); Leibniz Institut fur Gewasserokologie und Binnenfischerei (IGB); Humboldt University of Berlin; Ifremer; Universite de Bretagne Occidentale; Institute of Food Safety, Animal Health &amp; Environment BIOR; Akvaplan-niva; Bangor University; Wageningen University &amp; Research; Universidade dos Acores; Consejo Superior de Investigaciones Cientificas (CSIC); CSIC - Centre d'Estudis Avancats de Blanes (CEAB); National Institute of Water &amp; Atmospheric Research (NIWA) - New Zealand; Swedish University of Agricultural Sciences; Hellenic Centre for Marine Research; Institute of Marine Research - Norway; AgroParisTech; Ecole des Ponts ParisTech; National Oceanic Atmospheric Admin (NOAA) - USA; University of Tasmania; University of Barcelona; Consejo Superior de Investigaciones Cientificas (CSIC); ATTITUS Educacao; Universitat de les Illes Balears; AZTI; Technical University of Denmark; Universidade de Santiago de Compostela; Memorial University Newfoundland; Consorzio per il Centro Interuniversitario di Biologia Marina ed Ecologia Applicata G. Bacci; Technical University of Denmark; National Oceanic Atmospheric Admin (NOAA) - USA; Swedish University of Agricultural Sciences; Institute For Agricultural &amp; Fisheries Research; Universidade do Algarve</t>
  </si>
  <si>
    <t>Hyder, K (corresponding author), Lowestoft Lab, Ctr Environm Fisheries &amp; Aquaculture Sci Cefas, Lowestoft, Suffolk, England.</t>
  </si>
  <si>
    <t>kieran.hyder@cefas.co.uk</t>
  </si>
  <si>
    <t>Skov, Christian/X-6511-2019; Vølstad, Jon Helge/V-2992-2019; Lejk, Adam M/J-1500-2016; Arlinghaus, Robert/J-6171-2019; Levrel, Harold/JPY-3527-2023; Lyle, Jeremy M/J-7170-2014; Arlinghaus, Robert/E-3340-2010; Mugerza, Estanis/JHT-5141-2023; Borch, Thomas/A-2288-2008; Veiga, Pedro/D-5056-2009; Pita, Pablo/AAA-5228-2019; Kagervall, Anders/P-7588-2017; Kleiven, Alf Ring/ABK-6111-2022; Volstad, Jon Helge/B-7451-2014</t>
  </si>
  <si>
    <t>Skov, Christian/0000-0002-8547-6520; Arlinghaus, Robert/0000-0003-2861-527X; Mugerza, Estanis/0000-0003-4175-8750; Veiga, Pedro/0000-0002-5256-6263; Pita, Pablo/0000-0001-9273-1481; Diogo, Hugo/0000-0002-9269-3339; Ruiz, Jon/0000-0003-0717-0136; Kleiven, Alf Ring/0000-0002-9330-8340; Zarauz, Lucia/0000-0002-2785-2727; Hyder, Kieran/0000-0003-1428-5679; Weltersbach, Marc Simon/0000-0001-9173-5157; Strehlow, Harry/0000-0001-8765-3845; Roche, William/0000-0003-2299-6059; Olesen, Hans Jakob/0000-0002-3829-584X; Lejk, Adam/0000-0002-1648-4308; Radtke, Krzysztof/0000-0003-4736-8390; Levrel, Harold/0000-0002-4611-3639; Volstad, Jon Helge/0000-0001-8738-8543</t>
  </si>
  <si>
    <t>Institut Francais de Recherche pour l'Exploitation de la Mer; French Ministry of Fisheries Management; Greek National Data Collection Programme; European Commission, Data Collection Framework; Department for Environment, Food and Rural Affairs [MF1221, MF1230, MI001]; Norges Forskningsrad [267808]; State Department of Agriculture, Food Security and Fisheries Mecklenburg-Western Pomerania; Interreg IVa 2 Seas; Dutch Ministry of Economic Affairs; European Fishery Fund; Government of Galicia [ED481B2014/034-0]</t>
  </si>
  <si>
    <t>Institut Francais de Recherche pour l'Exploitation de la Mer; French Ministry of Fisheries Management; Greek National Data Collection Programme(Greek Ministry of Development-GSRT); European Commission, Data Collection Framework; Department for Environment, Food and Rural Affairs(Department for Environment, Food &amp; Rural Affairs (DEFRA)); Norges Forskningsrad(Research Council of Norway); State Department of Agriculture, Food Security and Fisheries Mecklenburg-Western Pomerania; Interreg IVa 2 Seas; Dutch Ministry of Economic Affairs(Ministry of Economic Affairs, Netherlands); European Fishery Fund; Government of Galicia</t>
  </si>
  <si>
    <t>Institut Francais de Recherche pour l'Exploitation de la Mer; French Ministry of Fisheries Management; Greek National Data Collection Programme; European Commission, Data Collection Framework; Department for Environment, Food and Rural Affairs, Grant/Award Number: MF1221, MF1230 and MI001; Norges Forskningsrad, Grant/Award Number: A framework for science-based management of marine recreational fisheries in Norway (267808); State Department of Agriculture, Food Security and Fisheries Mecklenburg-Western Pomerania; Interreg IVa 2 Seas, Grant/Award Number: GIFS project; Dutch Ministry of Economic Affairs, Grant/Award Number: WOT (Wettelijke Onderzoekstaken) programme; European Fishery Fund - Axis 4, approved by FLAG; Department of Environment, Planning, Agriculture and Fisheries from the Basque Government; Government of Galicia, Grant/Award Number: RECREGES project (ED481B2014/034-0)</t>
  </si>
  <si>
    <t>1467-2960</t>
  </si>
  <si>
    <t>1467-2979</t>
  </si>
  <si>
    <t>FISH FISH</t>
  </si>
  <si>
    <t>Fish. Fish.</t>
  </si>
  <si>
    <t>10.1111/faf.12251</t>
  </si>
  <si>
    <t>FY0LO</t>
  </si>
  <si>
    <t>Green Published, Green Accepted, Green Submitted, hybrid</t>
  </si>
  <si>
    <t>WOS:000426503000003</t>
  </si>
  <si>
    <t>Martínez, D; Pontigo, JP; Morera, FJ; Yañéz, A; Vargas-Chacoff, L</t>
  </si>
  <si>
    <t>Martinez, Danixa; Pablo Pontigo, Juan; Morera, Francisco J.; Yanez, Alejandro; Vargas-Chacoff, Luis</t>
  </si>
  <si>
    <t>Head Kidney Transcriptome Analysis and Characterization for the Sub-Antarctic Notothenioid Fish Eleginops maclovinus</t>
  </si>
  <si>
    <t>FISHES</t>
  </si>
  <si>
    <t>Eleginops maclovinus; transcriptome; notothenioid; immunity; head kidney</t>
  </si>
  <si>
    <t>This study describes de novo transcriptome sequencing and annotation analyses for the head kidney of the sub-Antarctic notothenioid fish Eleginops maclovinus, a sister group of the Antarctic notothenioid fish clade. Moreover, E. maclovinus is one of the most eurythermal and euryhaline representatives of the Notothenioidei suborder. RNA-seq data were generated by the 454 GS Junior system, resulting in 11,207 contigs that were then assembled by the Genomic Workbench CLC software. The transcriptome was annotated by BLASTing each sequence against the universal, non-redundant NCBI database (National Center for Biotechnology Information) using the AUSTRAL-omics computer cluster. A significant number of transcripts related to innate and adaptive immunity were found in the sequences, which could be used as references in future immunological studies in E. maclovinus.</t>
  </si>
  <si>
    <t>[Martinez, Danixa; Pablo Pontigo, Juan; Vargas-Chacoff, Luis] Univ Austral Chile, Inst Ciencias Marinas &amp; Limnol, Valdivia 5090000, Chile; [Martinez, Danixa] Univ Austral Chile, Programa Doctorado Ciencias Acuicultura, Escuela Graduados, Av Los Pinos S-N Balneario Pelluco, Puerto Montt 5480000, Chile; [Martinez, Danixa; Vargas-Chacoff, Luis] Univ Austral Chile, Ctr Fondap Invest Altas Latitudes IDEAL, Valdivia 5090000, Chile; [Morera, Francisco J.] Univ Austral Chile, Inst Farmacol &amp; Morfofisiol, Valdivia 5090000, Chile; [Yanez, Alejandro] Univ Austral Chile, Inst Bioquim &amp; Microbiol, Valdivia 5090000, Chile; [Yanez, Alejandro] Interdisciplinary Ctr Aquaculture Res INCAR, Concepcion 4030000, Chile</t>
  </si>
  <si>
    <t>Universidad Austral de Chile; Universidad Austral de Chile; Universidad Austral de Chile; Universidad Austral de Chile; Universidad Austral de Chile</t>
  </si>
  <si>
    <t>Martínez, D; Pontigo, JP; Vargas-Chacoff, L (corresponding author), Univ Austral Chile, Inst Ciencias Marinas &amp; Limnol, Valdivia 5090000, Chile.;Martínez, D (corresponding author), Univ Austral Chile, Programa Doctorado Ciencias Acuicultura, Escuela Graduados, Av Los Pinos S-N Balneario Pelluco, Puerto Montt 5480000, Chile.;Martínez, D; Vargas-Chacoff, L (corresponding author), Univ Austral Chile, Ctr Fondap Invest Altas Latitudes IDEAL, Valdivia 5090000, Chile.</t>
  </si>
  <si>
    <t>danixapamela@gmail.com; jppontigo@gmail.com; fjmorera@gmail.com; ayanez@uach.cl; luis.vargas@uach.cl</t>
  </si>
  <si>
    <t>Pontigo, Juan Pablo/AAS-2367-2021; Vargas-Chacoff, Luis LVCh/A-5855-2012</t>
  </si>
  <si>
    <t>Pontigo, Juan Pablo/0000-0003-0084-0862; MARTINEZ GONZALEZ, DANIXA PAMELA/0000-0002-7363-419X; Vargas-Chacoff, Luis/0000-0002-0497-2582</t>
  </si>
  <si>
    <t>Fondap-Ideal Grant [15150003]; Fondecyt [1160877]; Direccion de Investigacion-Desarrollo (DID, Universidad Austral de Chile); Comision Nacional de Investigacion Cientifica y Tecnologica (CONICYT)</t>
  </si>
  <si>
    <t>Fondap-Ideal Grant; Fondecyt(Comision Nacional de Investigacion Cientifica y Tecnologica (CONICYT)CONICYT FONDECYT); Direccion de Investigacion-Desarrollo (DID, Universidad Austral de Chile); Comision Nacional de Investigacion Cientifica y Tecnologica (CONICYT)(Comision Nacional de Investigacion Cientifica y Tecnologica (CONICYT))</t>
  </si>
  <si>
    <t>This work was financed by the Fondap-Ideal Grant No. 15150003, Fondecyt Regular Grant No. 1160877, and the Direccion de Investigacion-Desarrollo (DID, Universidad Austral de Chile). We acknowledge Carlos Loncoman (University of Melbourne) for his help handling the sequences and submission process to GenBank. Danixa Martinez was funded by the Comision Nacional de Investigacion Cientifica y Tecnologica (CONICYT) through a national doctoral scholarship.</t>
  </si>
  <si>
    <t>2410-3888</t>
  </si>
  <si>
    <t>FISHES-BASEL</t>
  </si>
  <si>
    <t>Fishes</t>
  </si>
  <si>
    <t>10.3390/fishes3010008</t>
  </si>
  <si>
    <t>VJ6UI</t>
  </si>
  <si>
    <t>WOS:000617401200007</t>
  </si>
  <si>
    <t>Colesie, C; Büdel, B; Hurry, V; Green, TGA</t>
  </si>
  <si>
    <t>Colesie, Claudia; Buedel, Burkhard; Hurry, Vaughan; Green, Thomas George Allan</t>
  </si>
  <si>
    <t>Can Antarctic lichens acclimatize to changes in temperature?</t>
  </si>
  <si>
    <t>Antarctica; biological soil crusts; climate warming; lichen; net photosynthesis; thermal acclimation; Usnea aurantiaco-atra</t>
  </si>
  <si>
    <t>SOUTH SHETLAND ISLANDS; CO2 GAS-EXCHANGE; SOIL RESPIRATION; THERMAL-ACCLIMATION; CLIMATE-CHANGE; LIVINGSTON ISLAND; PLANT RESPIRATION; LEAF RESPIRATION; SEASONAL-CHANGES; BYERS PENINSULA</t>
  </si>
  <si>
    <t>The Antarctic Peninsula, a tundra biome dominated by lichens and bryophytes, is an ecozone undergoing rapid temperature shifts. Such changes may demand a high physiological plasticity of the local lichen species to maintain their role as key drivers in this pristine habitat. This study examines the response of net photosynthesis and respiration to increasing temperatures for three Antarctic lichen species with different ecological response amplitudes. We hypothesize that negative effects caused by increased temperatures can be mitigated by thermal acclimation of respiration and/or photosynthesis. The fully controlled growth chamber experiment simulated intermediate and extreme temperature increases over the time course of 6 weeks. Results showed that, in contrast to our hypothesis, none of the species was able to down-regulate temperature-driven respiratory losses through thermal acclimation of respiration. Instead, severe effects on photobiont vitality demonstrated that temperatures around 15 degrees C mark the upper limit for the two species restricted to the Antarctic, and when mycobiont demands exceeded the photobiont capacity they could not survive within the lichen thallus. In contrast, the widespread lichen species was able to recover its homoeostasis by rapidly increasing net photosynthesis. We conclude that to understand the complete lichen response, acclimation processes of both symbionts, the photo- and the mycobiont, have to be evaluated separately. As a result, we postulate that any acclimation processes in lichen are species-specific. This, together with the high degree of response variability and sensitivity to temperature in different species that co-occur spatially close, complicates any predictions regarding future community composition in the Antarctic. Nevertheless, our results suggest that species with a broad ecological amplitude may be favoured with on-going changes in temperature.</t>
  </si>
  <si>
    <t>[Colesie, Claudia; Hurry, Vaughan] Swedish Univ Agr Sci, Dept Forest Genet &amp; Plant Physiol, Umea, Sweden; [Buedel, Burkhard] Univ Kaiserslautern, Dept Plant Ecol &amp; Systemat, Kaiserslautern, Germany; [Green, Thomas George Allan] Univ Complutense, Fac Farm, Dept Biol Vegetal 2, Madrid, Spain; [Green, Thomas George Allan] Univ Waikato, Dept Biol Sci, Hamilton, New Zealand</t>
  </si>
  <si>
    <t>Swedish University of Agricultural Sciences; University of Kaiserslautern; Complutense University of Madrid; University of Waikato</t>
  </si>
  <si>
    <t>Colesie, C (corresponding author), Swedish Univ Agr Sci, Dept Forest Genet &amp; Plant Physiol, Umea, Sweden.</t>
  </si>
  <si>
    <t>Claudia.colesie@googlemail.com</t>
  </si>
  <si>
    <t>Hurry, Vaughan/A-8331-2008; Colesie, Claudia/H-4258-2015</t>
  </si>
  <si>
    <t>Hurry, Vaughan/0000-0001-5151-5184; Colesie, Claudia/0000-0003-1136-0290</t>
  </si>
  <si>
    <t>German Research Foundation [1158]; DFG [BU666/17-1]; Alexander von Humboldt Foundation; Feodor Lynen Research Fellowship</t>
  </si>
  <si>
    <t>German Research Foundation(German Research Foundation (DFG)); DFG(German Research Foundation (DFG)); Alexander von Humboldt Foundation(Alexander von Humboldt Foundation); Feodor Lynen Research Fellowship</t>
  </si>
  <si>
    <t>German Research Foundation in the framework of the Priority Programme Antarctic Research 1158; DFG, Grant/Award Number: BU666/17-1; Alexander von Humboldt Foundation; Feodor Lynen Research Fellowship</t>
  </si>
  <si>
    <t>10.1111/gcb.13984</t>
  </si>
  <si>
    <t>FW5YZ</t>
  </si>
  <si>
    <t>WOS:000425396700022</t>
  </si>
  <si>
    <t>Warwick-Evans, V; Atkinson, PW; Walkington, I; Green, JA</t>
  </si>
  <si>
    <t>Warwick-Evans, Victoria; Atkinson, Phil W.; Walkington, Ian; Green, Jonathan A.</t>
  </si>
  <si>
    <t>Predicting the impacts of wind farms on seabirds: An individual-based model</t>
  </si>
  <si>
    <t>collision risk; evidence-based decision making; individual based models; Morus bassanus; Northern gannets; offshore development; predictive modelling; seabirds; wind farms</t>
  </si>
  <si>
    <t>GANNETS MORUS-BASSANUS; NORTHERN GANNETS; RENEWABLE ENERGY; HABITAT LOSS; VULNERABILITY; POPULATIONS; BENEFITS; TRACKING; SEA; STRATEGIES</t>
  </si>
  <si>
    <t>1. Individual-based models (IBMs) are a powerful tool in predicting the consequences of environmental change on animal populations and supporting evidence-based decision making for conservation planning. 2. There are increasing proposals for wind farms in UK waters and seabirds are a vulnerable group, which may be at risk from these developments. 3. We developed a spatially explicit IBM to investigate the potential impacts of the installation of wind farms in the English Channel and North Sea on body mass, productivity and mortality of a breeding population of Northern gannets for which we have tracking data. 4. A baseline model with no wind farms accurately represented the status of a sample of tracked gannets at the end of the 90-day chick-rearing period, and the behaviour-time budget was similar to that of tracked gannets. 5. Model simulations in the presence of wind farms indicated that installations should have little impact on the gannet population, when either avoidance behaviour or collision risk scenarios were simulated. Furthermore, wind farms would need to be ten times larger or in more highly used areas in order to have population-level impacts on Alderney's gannets. 6. Synthesis and applications. Our spatially explicit individual-based models (IBM) highlight that it is vital to know the colony-specific foraging grounds of seabirds that may be impacted, when identifying potential wind farm sites, in order to account for cumulative impacts from multiple sites. Avoiding areas highly used for foraging and commuting, and avoiding large-scale developments should be effective in limiting gannet mortality as a result of collision, competition and energy expenditure. Our IBM provides a robust approach which can be adapted for other seabird populations or to predict the impacts from other types of spatial change in the marine environment.</t>
  </si>
  <si>
    <t>[Warwick-Evans, Victoria; Green, Jonathan A.] Univ Liverpool, Sch Environm Sci, Liverpool, Merseyside, England; [Atkinson, Phil W.] British Trust Ornithol, Norfolk, VA USA; [Walkington, Ian] Univ Liverpool, Ctr Engn Sustainabil, Liverpool, Merseyside, England; British Antarctic Survey, Cambridge, England</t>
  </si>
  <si>
    <t>University of Liverpool; University of Liverpool; UK Research &amp; Innovation (UKRI); Natural Environment Research Council (NERC); NERC British Antarctic Survey</t>
  </si>
  <si>
    <t>Warwick-Evans, V (corresponding author), Univ Liverpool, Sch Environm Sci, Liverpool, Merseyside, England.</t>
  </si>
  <si>
    <t>vicrwi@bas.ac.uk</t>
  </si>
  <si>
    <t>Green, Jonathan A/B-8799-2011; Atkinson, Philip W/B-8975-2009</t>
  </si>
  <si>
    <t>Green, Jonathan A/0000-0001-8692-0163; Atkinson, Philip/0000-0002-0838-557X; Warwick-Evans, Victoria/0000-0002-0583-5504; Walkington, Ian/0000-0002-5757-8730</t>
  </si>
  <si>
    <t>Natural Environment Research Council; Alderney Commission for Renewable Energy</t>
  </si>
  <si>
    <t>Natural Environment Research Council(UK Research &amp; Innovation (UKRI)Natural Environment Research Council (NERC)); Alderney Commission for Renewable Energy</t>
  </si>
  <si>
    <t>10.1111/1365-2664.12996</t>
  </si>
  <si>
    <t>FV9BN</t>
  </si>
  <si>
    <t>WOS:000424881800005</t>
  </si>
  <si>
    <t>Thomas, Z; Turney, C; Allan, R; Colwell, S; Kelly, G; Lister, D; Jones, P; Beswick, M; Alexander, L; Lippmann, T; Herold, N; Jones, R</t>
  </si>
  <si>
    <t>Thomas, Zoe; Turney, Chris; Allan, Rob; Colwell, Steve; Kelly, Gail; Lister, David; Jones, Philip; Beswick, Mark; Alexander, Lisa; Lippmann, Tanya; Herold, Nicholas; Jones, Richard</t>
  </si>
  <si>
    <t>A New Daily Observational Record from Grytviken, South Georgia: Exploring Twentieth-Century Extremes in the South Atlantic</t>
  </si>
  <si>
    <t>ANNULAR MODE; CLIMATE-CHANGE; OCEAN; TRENDS; PRECIPITATION; TEMPERATURE; LATITUDES; WINDS</t>
  </si>
  <si>
    <t>The sparse nature of observational records across the mid-to high latitudes of the Southern Hemisphere limits the ability to place late-twentieth-century environmental changes in the context of long-term (multi-decadal and centennial) variability. Historical records from subantarctic islands offer considerable potential for developing highly resolved records of change. In 1905, a whaling and meteorological station was established at Grytviken on subantarctic South Georgia in the South Atlantic (54 degrees S, 36 degrees W), providing near-continuous daily observations through to present day. This paper reports a new, daily observational record of temperature and precipitation from Grytviken, which is compared to regional datasets and historical reanalysis. The authors find a shift toward increasingly warmer daytime extremes commencing from the mid-twentieth century and accompanied by warmer nighttime temperatures, with an average rate of temperature rise of 0.13 degrees C decade 21 over the period 1907-2016 (p &lt; 0.0001). Analysis of these data and reanalysis products suggest a change of pervasive synoptic conditions across the mid-to high latitudes since the mid-twentieth century, characterized by stronger westerly airflow and associated warm fohn winds across South Georgia. This rapid rate of warming and associated declining habitat suitability has important negative implications for biodiversity, including the survival of key marine biota in the region.</t>
  </si>
  <si>
    <t>[Thomas, Zoe; Turney, Chris] Univ New South Wales, Palaeontol Geobiol &amp; Earth Arch Res Ctr, Sch Biol Earth &amp; Environm Sci, Sydney, NSW, Australia; [Thomas, Zoe; Turney, Chris; Alexander, Lisa; Herold, Nicholas] Univ New South Wales, Climate Change Res Ctr, Sch Biol Earth &amp; Environm Sci, Sydney, NSW, Australia; [Allan, Rob; Kelly, Gail] Met Off Hadley Ctr ACRE, Exeter, Devon, England; [Colwell, Steve] British Antarctic Survey, Cambridge, England; [Lister, David; Jones, Philip] Univ East Anglia, Sch Environm Sci, Climat Res Unit, Norwich, Norfolk, England; [Jones, Philip] King Abdulaziz Univ, Dept Meteorol, Ctr Excellence Climate Change Res, Jeddah, Saudi Arabia; [Beswick, Mark] Met Off, Natl Meteorol Lib &amp; Arch, Exeter, Devon, England; [Alexander, Lisa; Herold, Nicholas] Univ New South Wales, ARC Ctr Excellence Climate Syst Sci, Sydney, NSW, Australia; [Lippmann, Tanya] Vrije Univ Amsterdam, Fac Earth &amp; Life Sci, Amsterdam, Netherlands; [Jones, Richard] Exeter Univ, Dept Geog, Exeter, Devon, England</t>
  </si>
  <si>
    <t>University of New South Wales Sydney; University of New South Wales Sydney; Met Office - UK; Hadley Centre; UK Research &amp; Innovation (UKRI); Natural Environment Research Council (NERC); NERC British Antarctic Survey; University of East Anglia; King Abdulaziz University; Met Office - UK; ARC Centre of Excellence for Climate System Science; University of New South Wales Sydney; Vrije Universiteit Amsterdam; University of Exeter</t>
  </si>
  <si>
    <t>Thomas, Z (corresponding author), Univ New South Wales, Palaeontol Geobiol &amp; Earth Arch Res Ctr, Sch Biol Earth &amp; Environm Sci, Sydney, NSW, Australia.;Thomas, Z (corresponding author), Univ New South Wales, Climate Change Res Ctr, Sch Biol Earth &amp; Environm Sci, Sydney, NSW, Australia.</t>
  </si>
  <si>
    <t>z.thomas@unsw.edu.au</t>
  </si>
  <si>
    <t>Lippmann, Tanya J.R./AAY-1480-2020; Jones, Philip Douglas/C-8718-2009; Thomas, Zoe/D-1656-2016; Turney, Chris/P-8701-2018; Alexander, Lisa/A-8477-2011</t>
  </si>
  <si>
    <t>Lippmann, Tanya J.R./0000-0002-8723-4920; Jones, Philip Douglas/0000-0001-5032-5493; Thomas, Zoe/0000-0002-2323-4366; Turney, Chris/0000-0001-6733-0993; Alexander, Lisa/0000-0002-5635-2457</t>
  </si>
  <si>
    <t>Australian Research Council [FL100100195]; Joint UK BEIS/Defra Met Office Hadley Centre Climate Programme [GA01101]; U.S. Department of Energy Office of Science-Biological and Environmental Research (BER); National Oceanic and Atmospheric Administration Climate Program Office; NERC [bas0100032, NE/N006348/1, NE/N006038/1] Funding Source: UKRI</t>
  </si>
  <si>
    <t>Australian Research Council(Australian Research Council); Joint UK BEIS/Defra Met Office Hadley Centre Climate Programme; U.S. Department of Energy Office of Science-Biological and Environmental Research (BER)(United States Department of Energy (DOE)); National Oceanic and Atmospheric Administration Climate Program Office(National Oceanic Atmospheric Admin (NOAA) - USA); NERC(UK Research &amp; Innovation (UKRI)Natural Environment Research Council (NERC))</t>
  </si>
  <si>
    <t>CT and ZT acknowledge the support of the Australian Research Council (FL100100195). This study is a contribution to the Atmospheric Circulation Reconstructions over the Earth (ACRE) initiative. RA is supported by funding from the Joint UK BEIS/Defra Met Office Hadley Centre Climate Programme (GA01101) and acknowledges the University of Southern Queensland, Toowoomba, Australia, where he is an adjunct professor. Support for the Twentieth Century Re-analysis project version 2c dataset is provided by the U.S. Department of Energy Office of Science-Biological and Environmental Research (BER) and by the National Oceanic and Atmospheric Administration Climate Program Office. We thank Gil Compo for valuable comments on the manuscript.</t>
  </si>
  <si>
    <t>10.1175/JCLI-D-17-0353.1</t>
  </si>
  <si>
    <t>FZ2UD</t>
  </si>
  <si>
    <t>WOS:000427438100004</t>
  </si>
  <si>
    <t>Wongpan, P; Meiners, KM; Langhorne, PJ; Heil, P; Smith, IJ; Leonard, GH; Massom, RA; Clementson, LA; Haskell, TG</t>
  </si>
  <si>
    <t>Wongpan, P.; Meiners, K. M.; Langhorne, P. J.; Heil, P.; Smith, I. J.; Leonard, G. H.; Massom, R. A.; Clementson, L. A.; Haskell, T. G.</t>
  </si>
  <si>
    <t>Estimation of Antarctic Land-Fast Sea Ice Algal Biomass and Snow Thickness From Under-Ice Radiance Spectra in Two Contrasting Areas</t>
  </si>
  <si>
    <t>DENSE MICROALGAL BLOOM; MCMURDO SOUND; PLATELET ICE; HIGH-RESOLUTION; OPTICAL-PROPERTIES; BIOOPTICAL MODEL; LIGHT-ABSORPTION; VARIABILITY; COMMUNITY; GROWTH</t>
  </si>
  <si>
    <t>Fast ice is an important component of Antarctic coastal marine ecosystems, providing a prolific habitat for ice algal communities. This work examines the relationships between normalized difference indices (NDI) calculated from under-ice radiance measurements and sea ice algal biomass and snow thickness for Antarctic fast ice. While this technique has been calibrated to assess biomass in Arctic fast ice and pack ice, as well as Antarctic pack ice, relationships are currently lacking for Antarctic fast ice characterized by bottom ice algae communities with high algal biomass. We analyze measurements along transects at two contrasting Antarctic fast ice sites in terms of platelet ice presence: near and distant from an ice shelf, i.e., in McMurdo Sound and off Davis Station, respectively. Snow and ice thickness, and ice salinity and temperature measurements support our paired in situ optical and biological measurements. Analyses show that NDI wavelength pairs near the first chlorophyll a (chl a) absorption peak (approximate to 440 nm) explain up to 70% of the total variability in algal biomass. Eighty-eight percent of snow thickness variability is explained using an NDI with a wavelength pair of 648 and 567 nm. Accounting for pigment packaging effects by including the ratio of chl a-specific absorption coefficients improved the NDI-based algal biomass estimation only slightly. Our new observation-based algorithms can be used to estimate Antarctic fast ice algal biomass and snow thickness noninvasively, for example, by using moored sensors (time series) or mapping their spatial distributions using underwater vehicles.</t>
  </si>
  <si>
    <t>[Wongpan, P.; Langhorne, P. J.; Smith, I. J.] Univ Otago, Dept Phys, Dunedin, New Zealand; [Meiners, K. M.; Heil, P.; Massom, R. A.] Australian Antarctic Div, Dept Environm &amp; Energy, Kingston, Tas, Australia; [Meiners, K. M.; Heil, P.; Massom, R. A.] Univ Tasmania, Antarctic Climate &amp; Ecosyst Cooperat Res Ctr, Hobart, Tas, Australia; [Leonard, G. H.] Univ Otago, Natl Sch Surveying, Dunedin, New Zealand; [Clementson, L. A.] CSIRO Oceans &amp; Atmosphere, Hobart, Tas, Australia; [Haskell, T. G.] Callaghan Innovat, Wellington, New Zealand</t>
  </si>
  <si>
    <t>University of Otago; Australian Antarctic Division; University of Tasmania; Antarctic Climate &amp; Ecosystems Cooperative Research Centre (ACE CRC); University of Otago; Commonwealth Scientific &amp; Industrial Research Organisation (CSIRO)</t>
  </si>
  <si>
    <t>Wongpan, P (corresponding author), Univ Otago, Dept Phys, Dunedin, New Zealand.</t>
  </si>
  <si>
    <t>pat.wongpan@postgrad.otago.ac.nz</t>
  </si>
  <si>
    <t>Wongpan, Pat/AAX-6946-2020; Clementson, Lesley A/M-6905-2013; Leonard, Greg/F-7157-2010; Langhorne, Pat/C-3539-2018</t>
  </si>
  <si>
    <t>Wongpan, Pat/0000-0002-7113-8221; Massom, Robert/0000-0003-1533-5084; Heil, Petra/0000-0003-2078-0342; Clementson, Lesley/0000-0003-4415-993X; Leonard, Greg/0000-0001-7679-9486; Langhorne, Pat/0000-0003-0239-7657</t>
  </si>
  <si>
    <t>University of Otago Postgraduate Scholarship; Australian Government through Australian Antarctic Science project [4298]; Australian Government through Cooperative Research Centre Programme through the Antarctic Climate and Ecosystems Cooperative Research Centre (ACE CRC); Australian Government through University of Otago research grants [110282, 112061]; Australian Government through New Zealand Deep South National Science Challenge; EPSRC [EP/K032208/1]; Hanse-Wissenschaftskolleg (Delmenhorst, Germany); Australian Government through subcontract Antarctic and High Latitude Climate; EPSRC [EP/K032208/1, EP/R014604/1] Funding Source: UKRI</t>
  </si>
  <si>
    <t>University of Otago Postgraduate Scholarship; Australian Government through Australian Antarctic Science project; Australian Government through Cooperative Research Centre Programme through the Antarctic Climate and Ecosystems Cooperative Research Centre (ACE CRC); Australian Government through University of Otago research grants; Australian Government through New Zealand Deep South National Science Challenge; EPSRC(UK Research &amp; Innovation (UKRI)Engineering &amp; Physical Sciences Research Council (EPSRC)); Hanse-Wissenschaftskolleg (Delmenhorst, Germany); Australian Government through subcontract Antarctic and High Latitude Climate; EPSRC(UK Research &amp; Innovation (UKRI)Engineering &amp; Physical Sciences Research Council (EPSRC))</t>
  </si>
  <si>
    <t>We gratefully acknowledge logistic support by the Australian Antarctic Division and Antarctica New Zealand, and the crews of Davis Station and Scott Base. P.W. was supported by University of Otago Postgraduate Scholarship. This study was supported by the Australian Government through (i) Australian Antarctic Science project #4298 and (ii) the Cooperative Research Centre Programme through the Antarctic Climate and Ecosystems Cooperative Research Centre (ACE CRC); and (iii) University of Otago research grants 110282 and 112061, (iv) a subcontract Antarctic and High Latitude Climate to NIWA, and (iv) the New Zealand Deep South National Science Challenge. P.W. and P.J.L. are very grateful to the Institute for Marine and Antarctic Studies where data were analyzed. Work on this paper was undertaken while P.J.L. enjoyed the support and hospitality of the Alfred Wegener Institute, Germany, and of the Isaac Newton Institute for Mathematical Sciences, Cambridge, during the Mathematics of Sea Ice Phenomena (supported by EPSRC grant EP/K032208/1). K.M.'s contribution was supported through a fellowship at the Hanse-Wissenschaftskolleg (Delmenhorst, Germany). We are very grateful for the field support of Mark Milnes (AAD). Data availability. All data used in this study are available through the Australian Antarctic Data Centre (AADC) at https://data.aad.gov.au.</t>
  </si>
  <si>
    <t>10.1002/2017JC013711</t>
  </si>
  <si>
    <t>WOS:000430918500019</t>
  </si>
  <si>
    <t>Royston, S; Watson, CS; Legrésy, B; King, MA; Church, JA; Bos, MS</t>
  </si>
  <si>
    <t>Royston, Sam; Watson, Christopher S.; Legresy, Benoit; King, Matt A.; Church, John A.; Bos, Machiel S.</t>
  </si>
  <si>
    <t>Sea-Level Trend Uncertainty With Pacific Climatic Variability and Temporally-Correlated Noise</t>
  </si>
  <si>
    <t>sea level; trend error; uncertainty; climate variability; temporal correlation; noise</t>
  </si>
  <si>
    <t>FAST ERROR ANALYSIS; RISE; PATTERNS; TIME; ACCELERATION</t>
  </si>
  <si>
    <t>Recent studies have identified climatic drivers of the east-west see-saw of Pacific Ocean satellite altimetry era sea level trends and a number of sea-level trend and acceleration assessments attempt to account for this. We investigate the effect of Pacific climate variability, together with temporally-correlated noise, on linear trend error estimates and determine new time-of-emergence (ToE) estimates across the Indian and Pacific Oceans. Sea-level trend studies often advocate the use of auto-regressive (AR) noise models to adequately assess formal uncertainties, yet sea level often exhibits colored but non-AR(1) noise. Standard error estimates are over- or under-estimated by an AR(1) model for much of the Indo-Pacific sea level. Allowing for PDO and ENSO variability in the trend estimate only reduces standard errors across the tropics and we find noise characteristics are largely unaffected. Of importance for trend and acceleration detection studies, formal error estimates remain on average up to 1.6 times those from an AR(1) model for long-duration tide gauge data. There is an even chance that the observed trend from the satellite altimetry era exceeds the noise in patches of the tropical Pacific and Indian Oceans and the south-west and north-east Pacific gyres. By including climate indices in the trend analysis, the time it takes for the observed linear sea-level trend to emerge from the noise reduces by up to 2 decades.</t>
  </si>
  <si>
    <t>[Royston, Sam; Watson, Christopher S.; King, Matt A.] Univ Tasmania, Discipline Geog &amp; Spatial Sci, Hobart, Tas, Australia; [Legresy, Benoit] CSIRO Oceans &amp; Atmosphere, Hobart, Tas, Australia; [Legresy, Benoit] Antarctic Climate &amp; Ecosyst Cooperat Res Ctr, Hobart, Tas, Australia; [Church, John A.] Univ New South Wales, Climate Change Res Ctr, Sydney, NSW, Australia; [Bos, Machiel S.] Univ Beira Interior, Space &amp; Earth Geodet Anal Lab, Covilha, Portugal</t>
  </si>
  <si>
    <t>University of Tasmania; Commonwealth Scientific &amp; Industrial Research Organisation (CSIRO); Antarctic Climate &amp; Ecosystems Cooperative Research Centre (ACE CRC); University of New South Wales Sydney; Universidade da Beira Interior</t>
  </si>
  <si>
    <t>Royston, S (corresponding author), Univ Tasmania, Discipline Geog &amp; Spatial Sci, Hobart, Tas, Australia.</t>
  </si>
  <si>
    <t>sam.royston@utas.edu.au</t>
  </si>
  <si>
    <t>Bos, Machiel S/C-5486-2012; Watson, Christopher S/D-4707-2013; King, Matt/B-4622-2008; Church, John A/A-1541-2012; legresy, benoit/K-6673-2018</t>
  </si>
  <si>
    <t>Bos, Machiel S/0000-0002-1946-8637; King, Matt/0000-0001-5611-9498; Church, John A/0000-0002-7037-8194; Watson, Christopher/0000-0002-7464-4592; Royston, Samantha/0000-0002-7685-5043; legresy, benoit/0000-0002-1909-1630</t>
  </si>
  <si>
    <t>Australian Research Council Discovery Project [DP150100615]; Australian Research Council [FT110100207]; NESP Earth System and Climate Change Hub; FCT [IDL-FCT-UID/GEO/50019/2013, SFRH/BPD/89923/2012]; Fundação para a Ciência e a Tecnologia [SFRH/BPD/89923/2012] Funding Source: FCT</t>
  </si>
  <si>
    <t>Australian Research Council Discovery Project(Australian Research Council); Australian Research Council(Australian Research Council); NESP Earth System and Climate Change Hub; FCT(Fundacao para a Ciencia e a Tecnologia (FCT)); Fundação para a Ciência e a Tecnologia(Fundacao para a Ciencia e a Tecnologia (FCT))</t>
  </si>
  <si>
    <t>Appreciation is given to Nate Mantua and the University of Washington for hosting the Pacific Decadal Oscillation (PDO) time series; to Klaus Wolter and NOAA ESRL for hosting the Multivariate ENSO Index (MEI) time series; to AVISO and the CMEMS for providing DUACS altimeter data; and, the Permanent Service for Mean Sea Level (PSMSL) for hosting monthly mean tide gauge time series. Hector v1.6 is available to download from Universidade da Beira Interior at http://segal.ubi.pt/hector/. The parameter estimation for the noise models and trend estimation presented in this paper are provided in the supporting information Datasets. Alternative data formats can be requested from the corresponding author. We acknowledge the use of GMT in a number of figures (Wessel et al., 2013). This work was supported by an Australian Research Council Discovery Project (ID DP150100615). MAK was additionally supported by an Australian Research Council Future Fellowship (FT110100207). BL was supported by the NESP Earth System and Climate Change Hub. MB was sponsored by National Portuguese funds through FCT in the scope of the project IDL-FCT-UID/GEO/50019/2013 and grant SFRH/BPD/89923/2012.</t>
  </si>
  <si>
    <t>10.1002/2017JC013655</t>
  </si>
  <si>
    <t>WOS:000430918500023</t>
  </si>
  <si>
    <t>Cavieres, LA; Vivas, M; Mihoc, MAK; Osses, DA; Ortiz-Gutiérrez, JM; Saéz, PL; Bravo, LA</t>
  </si>
  <si>
    <t>Cavieres, Lohengrin A.; Vivas, Mercedes; Mihoc, Maritza A. K.; Osses, Diana A.; Ortiz-Gutierrez, Jose M.; Saez, Patricia L.; Bravo, Leon A.</t>
  </si>
  <si>
    <t>The importance of facilitative interactions on the performance of Colobanthus quitensis in an Antarctic tundra</t>
  </si>
  <si>
    <t>JOURNAL OF VEGETATION SCIENCE</t>
  </si>
  <si>
    <t>Antarctic plants; Facilitation; positive interactions; tundra</t>
  </si>
  <si>
    <t>STRESS-GRADIENT HYPOTHESIS; KING-GEORGE-ISLAND; VASCULAR PLANTS; DESCHAMPSIA-ANTARCTICA; VEGETATION; TEMPERATURE; PENINSULA; RADIATION; RESPONSES; COLLAPSE</t>
  </si>
  <si>
    <t>Aims: The sign of interactions among plants in very harsh environments is under debate. The Antarctic tundra is one of the harshest environments on Earth and only two vascular plants (Deschampsia antarctica and Colobanthus quitensis) have successfully established natural populations. D.antarctica mostly establishes facilitative interactions with other species (mosses), but there is no information about the inter-specific interactions established by C.quitensis. We assessed whether C.quitensis grows frequently associated with D.antarctica, and if D.antarctica neighbours have a positive effect on the survival, growth and photochemical efficiency of C.quitensis individuals. Location: King George Island, Antarctic Peninsula. Methods: To assess the spatial association among the two Antarctic vascular plants fifty 50mx50cm quadrats were sampled on each of four different substrates: moss carpet areas; dead moss carpet areas dominated by D. antarctica; a transition zone between dead moss carpets and fellfields; and fellfields characterized by very poor vegetation cover. Infrared thermal images were taken to estimate whether growth associated with D. antarctica affected the foliar temperature of C. quitensis. The importance of D.antarctica neighbours on the growth, survival and photochemical efficiency of C.quitensis was evaluated with a neighbour removal experiment. Results: The number of C. quitensis individuals associated with D. antarctica was significantly higher than when growing alone in the moss carpet and the dead moss carpet, while in the transition zone there was a trend in that direction. C. quitensis individuals growing associated with D. antarctica were bigger than those growing alone in these three substrate types. In the fellfield site there were no significant differences, neither in the number nor the size of individuals when growing alone or associated with D. antarctica. Foliar temperature of C. quitensis individuals associated with D. antarctica was slightly (1.1 degrees C) but significantly higher than in those growing alone. The growth, survival and photochemical efficiency of C. quitensis individuals with neighbours were higher than in individuals with neighbours removed. Conclusions: Our results indicate that D. antarctica has a facilitative effect on the growth, survival and photochemical efficiency of C. quitensis. Thus, facilitative interactions are present and are important in one of the harshest environments on Earth, although results from the fellfield site indicate that further research is needed.</t>
  </si>
  <si>
    <t>[Cavieres, Lohengrin A.; Vivas, Mercedes; Mihoc, Maritza A. K.; Osses, Diana A.; Ortiz-Gutierrez, Jose M.] Univ Concepcion, Fac Ciencias Nat &amp; Oceanog, Dept Bot, Concepcion, Chile; [Cavieres, Lohengrin A.; Mihoc, Maritza A. K.; Osses, Diana A.; Ortiz-Gutierrez, Jose M.] IEB, Santiago, Chile; [Vivas, Mercedes; Bravo, Leon A.] Univ La Frontera, Inst Agroind,Dept Ciencias Agron &amp; Recursos Nat, Lab Fisiol &amp; Biol Mol Vegetal,Fac Ciencias Agr &amp;, Ctr Plant Soil Interact &amp; Nat Resources Biotechno, Temuco, Chile; [Saez, Patricia L.] Univ Concepcion, Fac Ciencias Forestales, Dept Silvicultura, Lab Cultivo Tejidos Vegetales,Ctr Biotecnol, Concepcion, Chile</t>
  </si>
  <si>
    <t>Universidad de Concepcion; Universidad de La Frontera; Universidad de Concepcion</t>
  </si>
  <si>
    <t>Cavieres, LA (corresponding author), Univ Concepcion, Fac Ciencias Nat &amp; Oceanog, Dept Bot, Concepcion, Chile.</t>
  </si>
  <si>
    <t>lcaviere@udec.cl</t>
  </si>
  <si>
    <t>Cavieres, Lohengrin A./A-9542-2010; Bravo, León/AAO-8437-2020</t>
  </si>
  <si>
    <t>Cavieres, Lohengrin A./0000-0001-9122-3020; Bravo, León/0000-0003-4705-4842; Ortiz Gutierrez, Jose/0000-0001-7464-3867</t>
  </si>
  <si>
    <t>CONICYT [PIA-ART 11-02]; Institute of Ecology and Biodiversity (IEB)</t>
  </si>
  <si>
    <t>CONICYT(Comision Nacional de Investigacion Cientifica y Tecnologica (CONICYT)); Institute of Ecology and Biodiversity (IEB)</t>
  </si>
  <si>
    <t>CONICYT, Grant/Award Number: PIA-ART 11-02; Institute of Ecology and Biodiversity (IEB)</t>
  </si>
  <si>
    <t>1100-9233</t>
  </si>
  <si>
    <t>1654-1103</t>
  </si>
  <si>
    <t>J VEG SCI</t>
  </si>
  <si>
    <t>J. Veg. Sci.</t>
  </si>
  <si>
    <t>10.1111/jvs.12616</t>
  </si>
  <si>
    <t>Plant Sciences; Ecology; Forestry</t>
  </si>
  <si>
    <t>Plant Sciences; Environmental Sciences &amp; Ecology; Forestry</t>
  </si>
  <si>
    <t>GE8TB</t>
  </si>
  <si>
    <t>WOS:000431503000011</t>
  </si>
  <si>
    <t>Passo, A; Rodríguez, JM; Chiapella, JO; Messuti, MI</t>
  </si>
  <si>
    <t>Passo, A.; Rodriguez, J. M.; Chiapella, J. O.; Messuti, M. I.</t>
  </si>
  <si>
    <t>The Antarctic lichen Cetraria subscutata is a synonym of Nephromopsis chlorophylla</t>
  </si>
  <si>
    <t>LICHENOLOGIST</t>
  </si>
  <si>
    <t>PARMELIACEAE; ASCOMYCOTA; PHYLOGENY; SOFTWARE</t>
  </si>
  <si>
    <t>[Passo, A.; Messuti, M. I.] Consejo Nacl Invest Cient &amp; Tecn, INIBIOMA UNComahue, Quintral 1250, RA-8400 San Carlos De Bariloche, Rio Negro, Argentina; [Rodriguez, J. M.] Consejo Nacl Invest Cient &amp; Tecn, CERNAR UNCo, Av Velez Sarsfield 299, Cordoba, Argentina; [Chiapella, J. O.] Consejo Nacl Invest Cient &amp; Tecn, IMBIV UNCo, Av Velez Sarsfield 299, Cordoba, Argentina</t>
  </si>
  <si>
    <t>Consejo Nacional de Investigaciones Cientificas y Tecnicas (CONICET); Consejo Nacional de Investigaciones Cientificas y Tecnicas (CONICET); Consejo Nacional de Investigaciones Cientificas y Tecnicas (CONICET)</t>
  </si>
  <si>
    <t>Passo, A (corresponding author), Consejo Nacl Invest Cient &amp; Tecn, INIBIOMA UNComahue, Quintral 1250, RA-8400 San Carlos De Bariloche, Rio Negro, Argentina.</t>
  </si>
  <si>
    <t>alfredo.passo@gmail.com</t>
  </si>
  <si>
    <t>Chiapella, Jorge O./AAI-2433-2021</t>
  </si>
  <si>
    <t>Chiapella, Jorge O./0000-0003-1686-1211</t>
  </si>
  <si>
    <t>CONICET [PIP 11220120100564]; UNComahue [B 207]; ANPCyT-DNA [PICTO2010-0095]</t>
  </si>
  <si>
    <t>CONICET(Consejo Nacional de Investigaciones Cientificas y Tecnicas (CONICET)); UNComahue; ANPCyT-DNA</t>
  </si>
  <si>
    <t>We thank the staff of the Primavera Station, the DNA (Direccion Nacional del Antartico) and IAA (Instituto Antartico Argentino) for providing logistics during fieldwork. This contribution was supported by CONICET (PIP 11220120100564), UNComahue (B 207) and ANPCyT-DNA (PICTO2010-0095). We are grateful to H. Peat and E. Timdal for kindly providing the photographs of material in AAS and O, respectively. We thank two anonymous reviewers for comments and suggestions, and A. W. Archer for a critical review of the English style.</t>
  </si>
  <si>
    <t>0024-2829</t>
  </si>
  <si>
    <t>1096-1135</t>
  </si>
  <si>
    <t>Lichenologist</t>
  </si>
  <si>
    <t>10.1017/S0024282918000063</t>
  </si>
  <si>
    <t>Plant Sciences; Mycology</t>
  </si>
  <si>
    <t>FZ6UJ</t>
  </si>
  <si>
    <t>WOS:000427734900007</t>
  </si>
  <si>
    <t>Pereira, JM; Paiva, VH; Phillips, RA; Xavier, JC</t>
  </si>
  <si>
    <t>Pereira, Jorge M.; Paiva, Vitor H.; Phillips, Richard A.; Xavier, Jose C.</t>
  </si>
  <si>
    <t>The devil is in the detail: small-scale sexual segregation despite large-scale spatial overlap in the wandering albatross</t>
  </si>
  <si>
    <t>AREA-RESTRICTED SEARCH; FORAGING STRATEGIES; ENERGY-EXPENDITURE; SEASONAL-CHANGES; MARINE PREDATOR; HABITAT USE; SCOTIA SEA; SEABIRDS; BEHAVIOR; KRILL</t>
  </si>
  <si>
    <t>Sexual segregation in foraging habitat occurs in many marine predators and is usually attributed to competitive exclusion, different parental roles of each sex or niche specialisation associated with sexual size dimorphism. However, relatively few studies have attempted to understand the patterns and underlying drivers of local-scale sexual segregation in marine predators. We studied habitat use, diet and feeding ecology of female and male wandering albatrosses Diomedea exulans, fitted with GPS and stomach-temperature loggers during the chick-rearing period( austral winter) at South Georgia in 2009. During this period, when oceanographic conditions were anomalous and prey availability was low in waters near the breeding colony, the tracked wandering albatrosses showed high consistency in their foraging areas at a large spatial scale, and both males and females targeted sub-Antarctic and subtropical waters. Despite consistency in large-scale habitat use, males and females showed different foraging behaviours in response to oceanographic conditions at a smaller scale. Males appeared to be more opportunistic, scavenging for offal or non-target fish discarded by fishing vessels in less productive, oceanic waters. They exhibited sinuous movements, feeding mostly on large prey and consuming similar amounts of food during the outbound and return parts of the foraging trip. In contrast, females targeted natural productivity hotspots, and fed on a wide variety of fish and cephalopods. They commuted directly to these areas; most prey were ingested on the outbound part of the trip, and they often started their return after ingesting large prey at the farthest point from the colony. Together, these results indicate that sexual segregation in core foraging areas of wandering albatrosses is driven by sex-specific habitat selection due to the low availability of prey in local Antarctic waters. This segregation results in different feeding behaviour at local scales which may be explained by differing breeding roles and degree of parental investment by each sex, with females investing more than males in reproduction. Further investigations are necessary to confirm the existence of this pattern through time under contrasting environmental conditions and to identify the drivers responsible for local-scale sexual segregation in wandering albatrosses.</t>
  </si>
  <si>
    <t>[Pereira, Jorge M.; Paiva, Vitor H.; Xavier, Jose C.] Univ Coimbra, Dept Life Sci, MARE Marine &amp; Environm Sci Ctr, P-3004517 Coimbra, Portugal; [Phillips, Richard A.; Xavier, Jose C.] British Antarctic Survey, Nat Environm Res Council, Madingley Rd, Cambridge CB3 0ET, England</t>
  </si>
  <si>
    <t>Universidade de Coimbra; UK Research &amp; Innovation (UKRI); Natural Environment Research Council (NERC); NERC British Antarctic Survey</t>
  </si>
  <si>
    <t>Pereira, JM (corresponding author), Univ Coimbra, Dept Life Sci, MARE Marine &amp; Environm Sci Ctr, P-3004517 Coimbra, Portugal.</t>
  </si>
  <si>
    <t>jpereira.ecotop.uc@gmail.com</t>
  </si>
  <si>
    <t>Paiva, Vitor Hugo/GRX-9179-2022; Pereira, Jorge Miguel/I-5814-2016; Paiva, Vitor H./J-1092-2019; Xavier, José/KFB-6739-2024</t>
  </si>
  <si>
    <t>Pereira, Jorge Miguel/0000-0002-7594-3535; Paiva, Vitor H./0000-0001-6368-9579; /0000-0002-9621-6660</t>
  </si>
  <si>
    <t>Investigator FCT program [SFRH/BPD/85024/2012, IF/00616/2013]; FCT [MARE-UID/MAR/04292/2013]; NERC [bas0100035] Funding Source: UKRI</t>
  </si>
  <si>
    <t>Investigator FCT program(Fundacao para a Ciencia e a Tecnologia (FCT)); FCT(Fundacao para a Ciencia e a Tecnologia (FCT)); NERC(UK Research &amp; Innovation (UKRI)Natural Environment Research Council (NERC))</t>
  </si>
  <si>
    <t>We thank Jaime Ramos for very useful comments on earlier drafts of the manuscript. This study is a contribution to SCAR AnT-ERA (Antarctic Thresholds-Ecosystem Resilience and Adaptation) program, ICED (Integrating climate and Ecosystem Dynamics), BAS-CEPH program and to the PROPOLAR (Programa Polar Portugues). This study benefited from the strategic program of MARE, financed by FCT (MARE-UID/MAR/04292/2013). JCX was supported by the Investigator FCT program (IF/00616/2013) and VHP by a FCT fellowship (SFRH/BPD/85024/2012).</t>
  </si>
  <si>
    <t>10.1007/s00227-018-3316-0</t>
  </si>
  <si>
    <t>FY4BE</t>
  </si>
  <si>
    <t>WOS:000426765000002</t>
  </si>
  <si>
    <t>Ronconi, RA; Schoombie, S; Westgate, AJ; Wong, SNP; Koopman, HN; Ryan, PG</t>
  </si>
  <si>
    <t>Ronconi, Robert A.; Schoombie, Stefan; Westgate, Andrew J.; Wong, Sarah N. P.; Koopman, Heather N.; Ryan, Peter G.</t>
  </si>
  <si>
    <t>Effects of age, sex, colony and breeding phase on marine space use by Great Shearwaters Ardenna gravis in the South Atlantic</t>
  </si>
  <si>
    <t>INTRA-SPECIFIC COMPETITION; PELAGIC LONGLINE FISHERY; PUFFINUS-GRAVIS; SEABIRD BYCATCH; DIVING SEABIRDS; FORAGING SPACE; PETRELS; ALBATROSSES; TRACKING; SEGREGATION</t>
  </si>
  <si>
    <t>Shearwaters are among the most abundant seabirds globally and breeding birds often travel thousands of kilometres during foraging trips to productive marine areas. Great Shearwaters Ardenna gravis are endemic breeders of the Tristan da Cunha Archipelago with a population of 5-6 million breeding pairs making them key top predators within the South Atlantic Ocean. We deployed satellite transmitters on 42 breeding and non-breeding shearwaters at two nesting islands and one foraging site in the northern hemisphere to quantify their movements and space use with respect to age, sex, colonies and breeding phases. During the pre-laying period, birds from Gough Island made trips of 2400 km to the Benguela upwelling region off South Africa, or &gt; 4000 km to the Patagonian Shelf; patterns which overlapped with immature birds from the Bay of Fundy, Canada. During the incubation period, males and females from Inaccessible Island showed differences in trip durations, but no difference in foraging ranges: both sexes made trips of 1500-2000 km to the Sub-Antarctic Front or 4000 km to the Patagonian Shelf, among the furthest foraging trips of breeding seabirds observed to date. Although the colonies are separated by only 400 km, during the incubation period, the at-sea distribution of non-breeding birds from Gough Island was spatially segregated from breeding and failed birds from Inaccessible Island, whereas immature birds from Fundy overlapped with birds from both colonies. During the post-breeding period, all tagged populations overlapped on the Patagonian Shelf. Argentina's Exclusive Economic Zone was used extensively during pre-laying, incubation, and post-breeding periods, highlighting the global importance of the Patagonian Shelf for this species.</t>
  </si>
  <si>
    <t>[Ronconi, Robert A.; Westgate, Andrew J.; Wong, Sarah N. P.; Koopman, Heather N.] Grand Manan Whale &amp; Seabird Res Stn, 24 Rte 776, Grand Manan, NB, Canada; [Ronconi, Robert A.] Dalhousie Univ, Dept Biol, Halifax, NS, Canada; [Ronconi, Robert A.] Environm &amp; Climate Change Canada, Canadian Wildlife Serv, Dartmouth, NS, Canada; [Schoombie, Stefan; Ryan, Peter G.] Univ Cape Town, FitzPatrick Inst African Ornithol, ZA-7701 Rondebosch, South Africa; [Westgate, Andrew J.; Koopman, Heather N.] Univ N Carolina, Dept Biol &amp; Marine Biol, Wilmington, NC 28401 USA; [Wong, Sarah N. P.] Acadia Univ, Dept Biol, Wolfville, NS, Canada</t>
  </si>
  <si>
    <t>Dalhousie University; Environment &amp; Climate Change Canada; Canadian Wildlife Service; University of Cape Town; University of North Carolina; University of North Carolina Wilmington; Acadia University</t>
  </si>
  <si>
    <t>Ronconi, RA (corresponding author), Grand Manan Whale &amp; Seabird Res Stn, 24 Rte 776, Grand Manan, NB, Canada.;Ronconi, RA (corresponding author), Dalhousie Univ, Dept Biol, Halifax, NS, Canada.;Ronconi, RA (corresponding author), Environm &amp; Climate Change Canada, Canadian Wildlife Serv, Dartmouth, NS, Canada.</t>
  </si>
  <si>
    <t>robert.ronconi@canada.ca</t>
  </si>
  <si>
    <t>Environmental Damages Fund (Environment Canada); New Brunswick Wildlife Trust Fund; National Geographic Society; Ocean Fund; Canadian Wildlife Service; James L. Baillie Memorial Fund (Bird Studies Canada); US Fish and Wildlife Service; BirdLife International; North Star Science Technology; GMWSRS; Natural Sciences and Engineering Research Council of Canada (NSERC); Killam Trusts, Dalhousie University</t>
  </si>
  <si>
    <t>Environmental Damages Fund (Environment Canada); New Brunswick Wildlife Trust Fund; National Geographic Society(National Geographic Society); Ocean Fund; Canadian Wildlife Service; James L. Baillie Memorial Fund (Bird Studies Canada); US Fish and Wildlife Service(US Fish &amp; Wildlife Service); BirdLife International; North Star Science Technology; GMWSRS; Natural Sciences and Engineering Research Council of Canada (NSERC)(Natural Sciences and Engineering Research Council of Canada (NSERC)); Killam Trusts, Dalhousie University</t>
  </si>
  <si>
    <t>Provided by the Environmental Damages Fund (Environment Canada), New Brunswick Wildlife Trust Fund, National Geographic Society, Ocean Fund, Canadian Wildlife Service, James L. Baillie Memorial Fund (Bird Studies Canada), US Fish and Wildlife Service, BirdLife International, North Star Science &amp; Technology, and the GMWSRS. RAR was supported by a scholarship from the Natural Sciences and Engineering Research Council of Canada (NSERC) and the Killam Trusts, Dalhousie University.</t>
  </si>
  <si>
    <t>10.1007/s00227-018-3299-x</t>
  </si>
  <si>
    <t>WOS:000426765000015</t>
  </si>
  <si>
    <t>Farias, DR; Hurd, CL; Eriksen, RS; Macleod, CK</t>
  </si>
  <si>
    <t>Farias, D. R.; Hurd, C. L.; Eriksen, R. S.; Macleod, C. K.</t>
  </si>
  <si>
    <t>Macrophytes as bioindicators of heavy metal pollution in estuarine and coastal environments</t>
  </si>
  <si>
    <t>Biological indicator; Metal pollution; Seaweed; Seagrasses</t>
  </si>
  <si>
    <t>TRACE-METALS; ULVA-RIGIDA; SENTINEL ACCUMULATOR; POSIDONIA-OCEANICA; ECKLONIA-RADIATA; DERWENT ESTUARY; ANTIKYRA-GULF; SEAGRASS; COPPER; SEAWEEDS</t>
  </si>
  <si>
    <t>The Derwent estuary, in Tasmania (Australia), is highly contaminated with heavy metals with significant levels in both sediments and benthic fauna. However, little is known about metal content in benthic primary producers. We characterized metal content (Arsenic, Cadmium, Copper, Lead, Selenium and Zinc) in twelve species of macrophyte, including red, green, and brown algae, and seagrasses, from the Derwent. The metals, arsenic, copper, lead, and Zinc were detected in all of the macrophytes assessed, but the levels differed between species. Seagrasses accumulated the highest concentrations of all metals; with Zn levels being particularly high in the seagrass Ruppia megacarpa (from the upper Estuary) and Pb was detected in Zostera muelleri (from the middle estuary). Ulva australis was ubiquitous throughout the middle-lower estuary and accumulated Zn in relatively high concentrations. The findings suggest that analysis of multiple species may be necessary for a comprehensive understanding of estuary-wide metal pollution.</t>
  </si>
  <si>
    <t>[Farias, D. R.; Macleod, C. K.] Univ Tasmania, IMAS, FAC, Taroona, Tas 7053, Australia; [Hurd, C. L.] Univ Tasmania, IMAS, 20 Castray Esplanade, Hobart, Tas 7004, Australia; [Eriksen, R. S.] UTAS, Antarctic Climate &amp; Ecosyst, CRC Private Bag 80, Hobart, Tas 7001, Australia; [Eriksen, R. S.] CSIRO Oceans &amp; Atmosphere, Hobart, Tas 7004, Australia</t>
  </si>
  <si>
    <t>Farias, DR (corresponding author), Univ Tasmania, IMAS, FAC, Taroona, Tas 7053, Australia.</t>
  </si>
  <si>
    <t>D.FariasAqueveque@utas.edu.au</t>
  </si>
  <si>
    <t>Farias, Daniela R/HOF-3829-2023; Macleod, Catriona/J-7176-2014; Hurd, Catriona/J-2411-2013; Eriksen, Ruth/J-7760-2014</t>
  </si>
  <si>
    <t>Macleod, Catriona/0000-0002-0539-6361; Hurd, Catriona/0000-0001-9965-4917; Eriksen, Ruth/0000-0002-5184-2465</t>
  </si>
  <si>
    <t>Derwent Estuary Program (DEP); Holsworth Wildlife Research Endowment; Holsworth Wildlife Research Endowment [M0021673 HWRE]; BECAS CHILE, CONICYT</t>
  </si>
  <si>
    <t>Derwent Estuary Program (DEP); Holsworth Wildlife Research Endowment; Holsworth Wildlife Research Endowment; BECAS CHILE, CONICYT</t>
  </si>
  <si>
    <t>The authors acknowledge Sam Whitehead and Christine Coughanowr from the Derwent Estuary Program (DEP) for providing funding and access to historical data. We thank Matt Barrenger from Tassal Group Ltd., for his help providing samples. Special thanks to Tania Mendo and Malinda Auluck for their valuable support on the field. This research was partially funded from Holsworth Wildlife Research Endowment. This research was partially funded from Holsworth Wildlife Research Endowment M0021673 HWRE, and BECAS CHILE, CONICYT.</t>
  </si>
  <si>
    <t>10.1016/j.marpolbul.2018.01.023</t>
  </si>
  <si>
    <t>GD6VC</t>
  </si>
  <si>
    <t>WOS:000430645600020</t>
  </si>
  <si>
    <t>Bay, S; Ferrari, B; Greening, C</t>
  </si>
  <si>
    <t>Bay, Sean; Ferrari, Belinda; Greening, Chris</t>
  </si>
  <si>
    <t>Life without water: how do bacteria generate biomass in desert ecosystems?</t>
  </si>
  <si>
    <t>MICROBIOLOGY AUSTRALIA</t>
  </si>
  <si>
    <t>HIGH-AFFINITY; SOIL UPTAKE; DIVERSITY; ECOLOGY; ACIDOBACTERIA</t>
  </si>
  <si>
    <t>Many of the world's most arid deserts harbour surprisingly diverse communities of heterotrophic bacteria. These organisms persist in surface soils under extreme climatic conditions, despite lacking obvious energy inputs from phototrophic primary producers. A longstanding conundrum has been how these communities sustain enough energy to maintain their diversity and biomass. We recently helped to resolve this conundrum by demonstrating that some desert communities are structured by a minimalistic mode of chemosynthetic primary production, where atmospheric trace gases, not sunlight, serve as the main energy sources. These findings are supported by pure culture studies that suggest atmospheric trace gases are dependable energy sources for the long-term survival of dormant soil bacteria. We predict that atmospheric trace gases may be a major energy source for desert ecosystems worldwide.</t>
  </si>
  <si>
    <t>[Bay, Sean; Greening, Chris] Monash Univ, Ctr Geometr Biol, Sch Biol Sci, 25 Rainforest Walk, Clayton, Vic 3800, Australia; [Ferrari, Belinda] UNSW Sydney, Sch Biotechnol &amp; Biomol Sci, Biosci South E26, Kensington, NSW 2052, Australia</t>
  </si>
  <si>
    <t>Monash University; University of New South Wales Sydney</t>
  </si>
  <si>
    <t>Bay, S (corresponding author), Monash Univ, Ctr Geometr Biol, Sch Biol Sci, 25 Rainforest Walk, Clayton, Vic 3800, Australia.</t>
  </si>
  <si>
    <t>sean.bay@monash.edu; b.ferrari@unsw.edu.au; chris.greening@monash.edu</t>
  </si>
  <si>
    <t>Bay, Sean/ABC-8400-2020; Ferrari, Belinda/AAI-3022-2020; Greening, Chris/J-4408-2019</t>
  </si>
  <si>
    <t>Bay, Sean/0000-0003-4833-3106; Ferrari, Belinda/0000-0001-5043-3726; Greening, Chris/0000-0001-7616-0594</t>
  </si>
  <si>
    <t>Monash University PhD Scholarship; ARC Future Fellowship [FT170100341]; ARC DECRA Fellowship [DE170100310]; Australian Antarctic Science project grant [4406]; Australian Research Council [FT170100341] Funding Source: Australian Research Council</t>
  </si>
  <si>
    <t>Monash University PhD Scholarship; ARC Future Fellowship(Australian Research Council); ARC DECRA Fellowship(Australian Research Council); Australian Antarctic Science project grant; Australian Research Council(Australian Research Council)</t>
  </si>
  <si>
    <t>This work was supported by a Monash University PhD Scholarship (awarded to SB), ARC Future Fellowship (FT170100341; awarded to BF), ARC DECRA Fellowship (DE170100310; awarded to CG), and Australian Antarctic Science project grant (4406; awarded to BF and CG). We thank Steven Chown, Melodie McGeoch, Osnat Gillor, Mukan Ji, Don Cowan, Philip Hugenholtz, Paul Sunnucks, Dustin Marshall, Linda Blackall, and members of the Greening and Ferrari laboratories for helpful discussions.</t>
  </si>
  <si>
    <t>CSIRO PUBLISHING</t>
  </si>
  <si>
    <t>CLAYTON</t>
  </si>
  <si>
    <t>UNIPARK, BLDG 1, LEVEL 1, 195 WELLINGTON RD, LOCKED BAG 10, CLAYTON, VIC 3168, AUSTRALIA</t>
  </si>
  <si>
    <t>1324-4272</t>
  </si>
  <si>
    <t>2201-9189</t>
  </si>
  <si>
    <t>MICROBIOL AUST</t>
  </si>
  <si>
    <t>Microbiol. Aust.</t>
  </si>
  <si>
    <t>10.1071/MA18008</t>
  </si>
  <si>
    <t>FY7GE</t>
  </si>
  <si>
    <t>WOS:000427028900008</t>
  </si>
  <si>
    <t>Hoppe, CJM; Schuback, N; Semeniuk, D; Giesbrecht, K; Mol, J; Thomas, H; Maldonado, MT; Rost, B; Varela, DE; Tortell, PD</t>
  </si>
  <si>
    <t>Hoppe, C. J. M.; Schuback, N.; Semeniuk, D.; Giesbrecht, K.; Mol, J.; Thomas, H.; Maldonado, M. T.; Rost, B.; Varela, D. E.; Tortell, P. D.</t>
  </si>
  <si>
    <t>Resistance of Arctic phytoplankton to ocean acidification and enhanced irradiance</t>
  </si>
  <si>
    <t>Multiple stressors; Climate change; Arctic Ocean; Diatoms; Primary production; Ocean acidification; Irradiances</t>
  </si>
  <si>
    <t>PHOTOSYNTHETIC ELECTRON-TRANSPORT; DISSOCIATION-CONSTANTS; MARINE-PHYTOPLANKTON; PRIMARY PRODUCTIVITY; SILICA PRODUCTION; ANTARCTIC DIATOM; CARBON FIXATION; CLIMATE-CHANGE; CO2; LIGHT</t>
  </si>
  <si>
    <t>The Arctic Ocean is a region particularly prone to ongoing ocean acidification (OA) and climate-driven changes. The influence of these changes on Arctic phytoplankton assemblages, however, remains poorly understood. In order to understand how OA and enhanced irradiances (e.g., resulting from sea-ice retreat) will alter the species composition, primary production, and eco-physiology of Arctic phytoplankton, we conducted an incubation experiment with an assemblage from Baffin Bay (71A degrees N, 68A degrees W) under different carbonate chemistry and irradiance regimes. Seawater was collected from just below the deep Chl a maximum, and the resident phytoplankton were exposed to 380 and 1000 A mu atm pCO(2) at both 15 and 35% incident irradiance. On-deck incubations, in which temperatures were 6 A degrees C above in situ conditions, were monitored for phytoplankton growth, biomass stoichiometry, net primary production, photo-physiology, and taxonomic composition. During the 8-day experiment, taxonomic diversity decreased and the diatom Chaetoceros socialis became increasingly dominant irrespective of light or CO2 levels. We found no statistically significant effects from either higher CO2 or light on physiological properties of phytoplankton during the experiment. We did, however, observe an initial 2-day stress response in all treatments, and slight photo-physiological responses to higher CO2 and light during the first five days of the incubation. Our results thus indicate high resistance of Arctic phytoplankton to OA and enhanced irradiance levels, challenging the commonly predicted stimulatory effects of enhanced CO2 and light availability for primary production.</t>
  </si>
  <si>
    <t>[Hoppe, C. J. M.; Schuback, N.; Semeniuk, D.; Maldonado, M. T.; Tortell, P. D.] Univ British Columbia, Dept Earth Ocean &amp; Atmospher Sci, Vancouver, BC, Canada; [Hoppe, C. J. M.; Rost, B.] Helmholtz Ctr Polar &amp; Marine Res, Marine Biogeosci, Alfred Wegener Inst, Handelshafen 12, D-27570 Bremerhaven, Germany; [Schuback, N.] Curtin Univ, Dept Phys &amp; Astron, Perth, WA, Australia; [Giesbrecht, K.; Varela, D. E.] Univ Victoria, Sch Earth &amp; Ocean Sci, Victoria, BC, Canada; [Mol, J.; Thomas, H.] Dalhousie Univ, Dept Oceanog, Halifax, NS, Canada; [Varela, D. E.] Univ Victoria, Dept Biol, Victoria, BC, Canada; [Tortell, P. D.] Univ British Columbia, Dept Bot, Victoria, BC, Canada; [Tortell, P. D.] Univ British Columbia, Peter Wall Inst Adv Studies, Vancouver, BC, Canada</t>
  </si>
  <si>
    <t>University of British Columbia; Helmholtz Association; Alfred Wegener Institute, Helmholtz Centre for Polar &amp; Marine Research; Curtin University; University of Victoria; Dalhousie University; University of Victoria; University of British Columbia; University of British Columbia</t>
  </si>
  <si>
    <t>Hoppe, CJM (corresponding author), Univ British Columbia, Dept Earth Ocean &amp; Atmospher Sci, Vancouver, BC, Canada.;Hoppe, CJM (corresponding author), Helmholtz Ctr Polar &amp; Marine Res, Marine Biogeosci, Alfred Wegener Inst, Handelshafen 12, D-27570 Bremerhaven, Germany.</t>
  </si>
  <si>
    <t>Clara.Hoppe@awi.de</t>
  </si>
  <si>
    <t>Giesbrecht, Karina/B-1405-2013; Hoppe, Clara Jule Marie/AFT-1558-2022; Giesbrecht, Karina/P-4943-2019; Rost, Bjoern/B-4447-2015</t>
  </si>
  <si>
    <t>Giesbrecht, Karina/0000-0003-2698-3773; Hoppe, Clara Jule Marie/0000-0002-2509-0546; Giesbrecht, Karina/0000-0003-2698-3773; Rost, Bjoern/0000-0001-5452-5505; Tortell, Philippe/0000-0003-0212-2151</t>
  </si>
  <si>
    <t>Natural Sciences and Engineering Research Council of Canada; Alexander von Humboldt foundation</t>
  </si>
  <si>
    <t>Natural Sciences and Engineering Research Council of Canada(Natural Sciences and Engineering Research Council of Canada (NSERC)CGIAR); Alexander von Humboldt foundation(Alexander von Humboldt Foundation)</t>
  </si>
  <si>
    <t>We wish to acknowledge the assistance of the crew and captain of the GCCS Amundsen during our research expedition. We thank Jay Cullen and David Janssen for helping with the operation of the trace-metal sampling rosette. We are grateful for nutrient measurements run by Isabelle Courchesne and Gabriele Deslongchamps, POC and PON measurements by Maureen Soon, and the PAR profile by Marjolaine Blais and Michel Gosselin. Julie LaRoche and Ian Luddington are acknowledged for their help with the flow cytometric measurements. Furthermore, we would like to thank Tereza Jarnikova, Nadine Lehmann, Jingxuan Li, and Manuel Colombo for their help during set-up and sampling of the experiment. Special thanks go to Martine Lizotte for her support at various stages of the project. Funding for this work was provided from the Climate Change and Atmospheric Research program of the Natural Sciences and Engineering Research Council of Canada. C. Hoppe received funding through a Feodor Lynen Research Fellowship granted by the Alexander von Humboldt foundation.</t>
  </si>
  <si>
    <t>10.1007/s00300-017-2186-0</t>
  </si>
  <si>
    <t>WOS:000425956700002</t>
  </si>
  <si>
    <t>Fraser, CI; Connell, L; Lee, CK; Cary, SC</t>
  </si>
  <si>
    <t>Fraser, Ceridwen I.; Connell, Laurie; Lee, Charles K.; Cary, S. Craig</t>
  </si>
  <si>
    <t>Evidence of plant and animal communities at exposed and subglacial (cave) geothermal sites in Antarctica</t>
  </si>
  <si>
    <t>Volcano; Polar; Environmental DNA eDNA; Refugia; Subglacial</t>
  </si>
  <si>
    <t>VICTORIA-LAND; MOUNT EREBUS; ICE CAVES; BIODIVERSITY; DIVERSITY; ICELAND; HISTORY; SOILS; SHEET; LIFE</t>
  </si>
  <si>
    <t>Geothermal areas, such as volcanoes, might have acted as glacial microrefugia for a wide range of species. The heavily glaciated but volcanically active Antarctic continent presents an ideal system for assessing this hypothesis. Ice-free terrain around volcanoes in Antarctica is, however, often restricted to small patches, whereas subglacial cave systems, formed by vented volcanic steam, can be extensive and interconnected. No observations of macrobiota have yet been made for subglacial geothermal environments in Antarctica, but these organisms are often patchily distributed and can be difficult to find. We carried out metabarcoding (eDNA) analyses of soil samples taken from exposed areas on three volcanoes in Victoria Land, and subglacial caves on Mount Erebus. We found evidence of numerous eukaryotic groups, including mosses, algae, arthropods, oligochaetes and nematodes, at both exposed and subglacial sites. Our findings support the notion that geothermal areas-including subglacial environments-can nurture biodiversity in glaciated regions.</t>
  </si>
  <si>
    <t>[Fraser, Ceridwen I.] Australian Natl Univ, Fenner Sch Environm &amp; Soc, Acton, ACT 2601, Australia; [Connell, Laurie] Univ Maine, Dept Mol &amp; Biomed Sci, 5735 Hitchner Hall, Orono, ME USA; [Lee, Charles K.; Cary, S. Craig] Univ Waikato, Int Ctr Terr Antarctic Res, Hamilton 3240, New Zealand</t>
  </si>
  <si>
    <t>Australian National University; University of Maine System; University of Maine Orono; University of Waikato</t>
  </si>
  <si>
    <t>Fraser, CI (corresponding author), Australian Natl Univ, Fenner Sch Environm &amp; Soc, Acton, ACT 2601, Australia.</t>
  </si>
  <si>
    <t>ceridwen.fraser@gmail.com</t>
  </si>
  <si>
    <t>lee, charles/AAW-6627-2021; Lee, Charles/AAC-9417-2019</t>
  </si>
  <si>
    <t>lee, charles/0000-0001-6906-4895; Lee, Charles/0000-0002-6562-4733; Fraser, Ceridwen/0000-0002-6918-8959; Cary, Stephen/0000-0002-2876-2387; Connell, Laurie/0009-0001-3892-8643</t>
  </si>
  <si>
    <t>ARC DECRA [DE140101715]; New Zealand Marsden Fund [UOW0802, UOW1003]; National Science Foundation [ANT 0739648]; New Zealand Ministry of Business, Innovation, and Employment [UOWX1401]; Australian Research Council [DE140101715] Funding Source: Australian Research Council; New Zealand Ministry of Business, Innovation &amp; Employment (MBIE) [UOWX1401] Funding Source: New Zealand Ministry of Business, Innovation &amp; Employment (MBIE)</t>
  </si>
  <si>
    <t>ARC DECRA(Australian Research Council); New Zealand Marsden Fund(Royal Society of New ZealandMarsden Fund (NZ)); National Science Foundation(National Science Foundation (NSF)); New Zealand Ministry of Business, Innovation, and Employment(New Zealand Ministry of Business, Innovation and Employment (MBIE)); Australian Research Council(Australian Research Council); New Zealand Ministry of Business, Innovation &amp; Employment (MBIE)(New Zealand Ministry of Business, Innovation and Employment (MBIE))</t>
  </si>
  <si>
    <t>Thanks to Jeroen Nederlof, Roanna Richards-Babbage, Leslie Astbury and Georgia Wakerley for laboratory assistance and advice, and Antarctica New Zealand for logistical support. CIF was funded by an ARC DECRA (DE140101715). CKL and SCC were supported by the New Zealand Marsden Fund (UOW0802 &amp; UOW1003), the National Science Foundation (ANT 0739648) and the New Zealand Ministry of Business, Innovation, and Employment (UOWX1401).</t>
  </si>
  <si>
    <t>10.1007/s00300-017-2198-9</t>
  </si>
  <si>
    <t>WOS:000425956700004</t>
  </si>
  <si>
    <t>Lewis-Smith, RI</t>
  </si>
  <si>
    <t>Lewis-Smith, Ronald I.</t>
  </si>
  <si>
    <t>Norman Erlend Mooney, Shackleton's other Boy Scout</t>
  </si>
  <si>
    <t>In 1921, when Sir Ernest Shackleton was planning his circum-Antarctic expedition on the R.Y.S. Quest, he was eager to appoint a suitably qualified young person as a cabin boy or deck hand. He expressed great admiration for the Boy Scout Movement and its founder, Sir Robert Baden-Powell. Discussions between them led to Shackleton advertising for a Boy Scout to accompany him on the expedition, believing that the experience would greatly benefit the youngster's character, as well as providing much positive publicity for the expedition. He selected two young Scouts but, while much has been written about James Marr, no account has been written about the younger boy, Norman Mooney. This is because he was unable to cope with continuous seasickness and had to return home after only four weeks at sea. This account provides some little-known detail about Mooney and why he was selected, and about Shackleton's sensitive recruiting procedure.</t>
  </si>
  <si>
    <t>[Lewis-Smith, Ronald I.] Torr Lodge, Alton Rd, Moffat DG10 9LB, Dumfries, Scotland</t>
  </si>
  <si>
    <t>Lewis-Smith, RI (corresponding author), Torr Lodge, Alton Rd, Moffat DG10 9LB, Dumfries, Scotland.</t>
  </si>
  <si>
    <t>ronaldlewissmith@gmail.com</t>
  </si>
  <si>
    <t>10.1017/S003224741800030X</t>
  </si>
  <si>
    <t>WOS:000440667400005</t>
  </si>
  <si>
    <t>Roy, K; Peltier, WR</t>
  </si>
  <si>
    <t>Roy, Keven; Peltier, W. R.</t>
  </si>
  <si>
    <t>Relative sea level in the Western Mediterranean basin: A regional test of the ICE-7G_NA (VM7) model and a constraint on late Holocene Antarctic deglaciation</t>
  </si>
  <si>
    <t>Glacial isostatic adjustment; Sea level changes; Holocene; Mediterranean sea; Coastal geomorphology; Glaciation; Western Europe; Antarctica; Pacific Ocean</t>
  </si>
  <si>
    <t>LAST GLACIAL MAXIMUM; ISOSTATIC-ADJUSTMENT; ATLANTIC COAST; UNITED-STATES; ROMAN TIMES; VARIABILITY; SARDINIA; DATABASE; CLIMATE; RISE</t>
  </si>
  <si>
    <t>The Mediterranean Basin is a region of special interest in the study of past and present relative sea level evolution, given its location south of the ice sheets that covered large fractions of Northern Europe during the last glaciation, the large number of biological, geological and archaeological sea level indicators that have been retrieved from its coastal regions, as well as its high density of modern coastal infrastructure. Models of the Glacial Isostatic Adjustment (GIA) process provide reconstructions of past relative sea level evolution, and can be tested for validity against past sea level indicators from the region. It is demonstrated herein that the latest ICE-7G_NA (VM7) model of the GIA process, the North American component of which was refined using a full suite of geophysical observables, is able to reconcile the vast majority of uniformly analyzed relative sea level constraints available for the Western part of the Mediterranean basin, a region to which it was not tuned. We also revisit herein the previously published interpretations of relative sea level information obtained from Roman-era coastal Mediterranean fish tanks, analyze the far-field influence of the rate of late Holocene Antarctic ice sheet melting history on the exceptionally detailed relative sea level history available from southern Tunisia, and extend the analysis to complementary constraints on the history of Antarctic ice-sheet melting available from islands in the equatorial Pacific Ocean. The analyses reported herein provide strong support for the global exportability of the ICE-7G_NA (VM7) model, a result that speaks directly to the ability of spherically symmetric models of the internal viscoelastic structure to explain globally distributed observations, while also identifying isolated regions of remaining misfit which will benefit from further study. (C) 2017 Published by Elsevier Ltd.</t>
  </si>
  <si>
    <t>[Roy, Keven] Nanyang Technol Univ, Asian Sch Environm, 50 Nanyang Ave, Singapore 639798, Singapore; [Roy, Keven; Peltier, W. R.] Univ Toronto, Dept Phys, 60 St George St, Toronto, ON M5S 1A7, Canada</t>
  </si>
  <si>
    <t>Nanyang Technological University; University of Toronto</t>
  </si>
  <si>
    <t>Roy, K (corresponding author), Nanyang Technol Univ, Asian Sch Environm, 50 Nanyang Ave, Singapore 639798, Singapore.</t>
  </si>
  <si>
    <t>kroy@ntu.edu.sg; peltier@atmosp.physics.utoronto.ca</t>
  </si>
  <si>
    <t>Peltier, William R./A-1102-2008</t>
  </si>
  <si>
    <t>NSERC Alexander Graham Bell Canada Graduate Scholarship (CGS); NSERC Alexander Graham Bell Canada Ontario Graduate Scholarship (OGS); NSERC [A9627]</t>
  </si>
  <si>
    <t>NSERC Alexander Graham Bell Canada Graduate Scholarship (CGS)(Natural Sciences and Engineering Research Council of Canada (NSERC)); NSERC Alexander Graham Bell Canada Ontario Graduate Scholarship (OGS); NSERC(Natural Sciences and Engineering Research Council of Canada (NSERC))</t>
  </si>
  <si>
    <t>The authors would like to thank the two anonymous referees for their helpful suggestions and comments, which have helped us improving the manuscript. K.R.'s research in Toronto was supported by an NSERC Alexander Graham Bell Canada Graduate Scholarship (CGS) and an Ontario Graduate Scholarship (OGS). The research of W.R.P. at the University of Toronto is supported by NSERC Discovery Grant A9627. The computations for the analyses presented herein were performed on the SciNet facility for High Performance Computing at the University of Toronto, a part of the Compute Canada HPC platform.</t>
  </si>
  <si>
    <t>10.1016/j.quascirev.2017.12.021</t>
  </si>
  <si>
    <t>WOS:000427101000005</t>
  </si>
  <si>
    <t>de Wet, GA; Balascio, NL; D'Andrea, WJ; Bakke, J; Bradley, RS; Perren, B</t>
  </si>
  <si>
    <t>de Wet, Gregory A.; Balascio, Nicholas L.; D'Andrea, William J.; Bakke, Jostein; Bradley, Raymond S.; Perren, Bianca</t>
  </si>
  <si>
    <t>Holocene glacier activity reconstructed from proglacial lake Gjoavatnet on Amsterdamoya, NW Svalbard</t>
  </si>
  <si>
    <t>Holocene paleoclimate; Svalbard; Lake sediments; Glaciers; Fram strait; Freshwater forcing</t>
  </si>
  <si>
    <t>NORTH-ATLANTIC CLIMATE; SEA-ICE; ARCTIC FJORD; VARIABILITY; SPITSBERGEN; TEMPERATURE; SEDIMENTS; HISTORY; RECORDS; EVENT</t>
  </si>
  <si>
    <t>Well-dated and highly resolved paleoclimate records from high latitudes allow for a better understanding of past climate change. Lake sediments are excellent archives of environmental change, and can record processes occurring within the catchment, such as the growth or demise of an upstream glacier. Here we present a Holocene-length, multi-proxy lake sediment record from proglacial lake Gjoavatnet on the island of Amsterdamoya, northwest Svalbard. Today, Gjoavatnet receives meltwater from the Annabreen glacier and contains a record of changes in glacier activity linked to regional climate conditions. We measured changes in organic matter content, dry bulk density, bulk carbon isotopes, elemental concentrations via Itrax core-scanning, and diatom community composition to reconstruct variability in glacier extent back through time. Our reconstruction indicates that glacially derived sedimentation in the lake decreased markedly at similar to 11.1 cal kyr BP, although a glacier likely persisted in the catchment until similar to 8.4 cal kyr BR During the mid-Holocene (similar to 8.4-1.0 cal kyr BP) there was significantly limited glacial influence in the catchment and enhanced deposition of organic-rich sediment in the lake. The deposition of organic rich sediments during this time was interrupted by at least three multi-centennial intervals of reduced organic matter accumulation (similar to 5.9-5.0, 2.7-2.0, and 1.7-1.5 cal kyr BP). Considering our chronological information and a sedimentological comparison with intervals of enhanced glacier input, we interpret these intervals not as glacial advances, but rather as cold/dry episodes that inhibited organic matter production in the lake and surrounding catchment. At similar to 1.0 cal kyr BP, input of glacially derived sediment to Gjoavatnet abruptly increased, representing the rapid expansion of the Annabreen glacier. (C) 2017 Elsevier Ltd. All rights reserved.</t>
  </si>
  <si>
    <t>[de Wet, Gregory A.; Bradley, Raymond S.] Univ Massachusetts, Dept Geosci, Amherst, MA 01003 USA; [Balascio, Nicholas L.] Coll William &amp; Mary, Dept Geol, Williamsburg, VA 23187 USA; [D'Andrea, William J.] Columbia Univ, Lamont Doherty Earth Observ, Palisades, NY 10964 USA; [Bakke, Jostein] Univ Bergen, Dept Earth Sci, N-5007 Bergen, Norway; [Perren, Bianca] British Antarctic Survey, Cambridge CB3 0ET, England</t>
  </si>
  <si>
    <t>University of Massachusetts System; University of Massachusetts Amherst; William &amp; Mary; Columbia University; University of Bergen; UK Research &amp; Innovation (UKRI); Natural Environment Research Council (NERC); NERC British Antarctic Survey</t>
  </si>
  <si>
    <t>de Wet, GA (corresponding author), Univ Massachusetts, Dept Geosci, Amherst, MA 01003 USA.</t>
  </si>
  <si>
    <t>gdewet@geo.umass.edu</t>
  </si>
  <si>
    <t>AL, Ramanathan -/E-7217-2012; Bradley, Raymond S/P-9358-2015; Bakke, Jostein/AAI-1145-2020</t>
  </si>
  <si>
    <t>AL, Ramanathan -/0000-0002-3491-2273; Bradley, Raymond S/0000-0002-4032-9519; de Wet, Gregory/0000-0001-8942-8801; Balascio, Nicholas/0000-0001-7106-3541; Perren, Bianca/0000-0001-6089-6468; D'Andrea, William/0000-0003-0182-8857</t>
  </si>
  <si>
    <t>Permission to perform field work in this region of Svalbard was granted by the Governor of Svalbard (RIS ID 5155, ref: 2012/00753-11 a.512). We thank Marthe Gjerde, Willem van der Bilt, Torgeir Rothe, and Saedis Olafsdottir for assistance with field work and Marthe and Willem for discussions on the manuscript. We also thank two anonymous reviewers for their constructive comments. Funding was provided by the Svalbard Science Forum (AFG project no. 235919) as well as the Norwegian Research Council via the SHIFTS (210004) project. We thank Eivind Storen and Jordan Donn Holl for laboratory assistance at the University of Bergen, and Nicole DeRoberts for laboratory assistance at Lamont Doherty Earth Observatory.</t>
  </si>
  <si>
    <t>10.1016/j.quascirev.2017.03.018</t>
  </si>
  <si>
    <t>WOS:000427101000013</t>
  </si>
  <si>
    <t>Padman, L; Siegfried, MR; Fricker, HA</t>
  </si>
  <si>
    <t>Padman, Laurie; Siegfried, Matthew R.; Fricker, Helen A.</t>
  </si>
  <si>
    <t>Ocean Tide Influences on the Antarctic and Greenland Ice Sheets</t>
  </si>
  <si>
    <t>Antarctic ice sheet; Greenland ice sheet; tides; ice shelves</t>
  </si>
  <si>
    <t>PINE ISLAND GLACIER; STICK-SLIP MOTION; SATELLITE-RADAR INTERFEROMETRY; SOUTHERN WEDDELL SEA; AUTONOMOUS UNDERWATER VEHICLE; GROUNDING-LINE MIGRATION; SYNTHETIC-APERTURE RADAR; WEST ANTARCTICA; FILCHNER-RONNE; ROSS SEA</t>
  </si>
  <si>
    <t>Ocean tides are the main source of high-frequency variability in the vertical and horizontal motion of ice sheets near their marine margins. Floating ice shelves, which occupy about three quarters of the perimeter of Antarctica and the termini of four outlet glaciers in northern Greenland, rise and fall in synchrony with the ocean tide. Lateral motion of floating and grounded portions of ice sheets near their marine margins can also include a tidal component. These tide-induced signals provide insight into the processes by which the oceans can affect ice sheet mass balance and dynamics. In this review, we summarize in situ and satellite-based measurements of the tidal response of ice shelves and grounded ice, and spatial variability of ocean tide heights and currents around the ice sheets. We review sensitivity of tide heights and currents as ocean geometry responds to variations in sea level, ice shelf thickness, and ice sheet mass and extent. We then describe coupled ice-ocean models and analytical glacier models that quantify the effect of ocean tides on lower-frequency ice sheet mass loss and motion. We suggest new observations and model developments to improve the representation of tides in coupled models that are used to predict future ice sheet mass loss and the associated contribution to sea level change. The most critical need is for new data to improve maps of bathymetry, ice shelf draft, spatial variability of the drag coefficient at the ice-ocean interface, and higher-resolution models with improved representation of tidal energy sinks.</t>
  </si>
  <si>
    <t>[Padman, Laurie] Earth &amp; Space Res, Corvallis, OR 97333 USA; [Siegfried, Matthew R.; Fricker, Helen A.] Univ Calif San Diego, Scripps Inst Oceanog, La Jolla, CA 92093 USA; [Siegfried, Matthew R.] Stanford Univ, Dept Geophys, Stanford, CA 94305 USA</t>
  </si>
  <si>
    <t>University of California System; University of California San Diego; Scripps Institution of Oceanography; Stanford University</t>
  </si>
  <si>
    <t>Padman, L (corresponding author), Earth &amp; Space Res, Corvallis, OR 97333 USA.</t>
  </si>
  <si>
    <t>padman@esr.org</t>
  </si>
  <si>
    <t>Padman, Laurence/AAH-3808-2021</t>
  </si>
  <si>
    <t>Fricker, Helen Amanda/0000-0002-0921-1432; Padman, Laurence/0000-0003-2010-642X</t>
  </si>
  <si>
    <t>NASA [NNX14AH87G, NNX13AP60G]; U.S. National Science Foundation [1108205, 1249182]; George Thompson Postdoctoral Fellowship at Stanford University; NASA [NNX14AH87G, NNX13AP60G, 682919, 466837] Funding Source: Federal RePORTER</t>
  </si>
  <si>
    <t>NASA(National Aeronautics &amp; Space Administration (NASA)); U.S. National Science Foundation(National Science Foundation (NSF)); George Thompson Postdoctoral Fellowship at Stanford University; NASA(National Aeronautics &amp; Space Administration (NASA))</t>
  </si>
  <si>
    <t>We thank Lana Erofeeva and Gary Egbert (Oregon State University) for their contributions to polar tide modeling over the last two decades, Andreas Munchow (University of Delaware) for insight into nineteenth century investigations of Petermann Gletscher tidal motion, Susan Howard (Earth &amp; Space Research) for developing the new highresolution Greenland and Antarctic Peninsula tide models, Richard Ray for comments on the use of GRACE data for tide modeling, Eric Rignot for advice on InSAR accuracy, Andy Smith for providing the ice draft and water depth points for Figure 8, and Sophie-Berenice Wilmes and Mattias Green (Bangor University) for discussions about tide modeling with past and future ice sheet extent and sea level variations. We also thank NASA and NSIDC for ICESat laser altimetry used in Figure 4, and Tavi Murray (Swansea University), Matt King (University of Tasmania), and Sridhar Anandakrishnan (Pennsylvania State University) for providing GPS data used in Figure 13. Two reviewers provide detailed and valuable feedback on the original manuscript. This study was supported by NASA grants NNX14AH87G and NNX13AP60G, the U.S. National Science Foundation awards 1108205 and 1249182, and the George Thompson Postdoctoral Fellowship at Stanford University. This is ESR contribution 158. No original data were used in this paper.</t>
  </si>
  <si>
    <t>10.1002/2016RG000546</t>
  </si>
  <si>
    <t>GC9PO</t>
  </si>
  <si>
    <t>WOS:000430130800005</t>
  </si>
  <si>
    <t>Rebelein, A; Pörtner, HO; Bock, C</t>
  </si>
  <si>
    <t>Rebelein, Anja; Poertner, Hans-Otto; Bock, Christian</t>
  </si>
  <si>
    <t>Untargeted metabolic profiling reveals distinct patterns of thermal sensitivity in two related notothenioids</t>
  </si>
  <si>
    <t>COMPARATIVE BIOCHEMISTRY AND PHYSIOLOGY A-MOLECULAR &amp; INTEGRATIVE PHYSIOLOGY</t>
  </si>
  <si>
    <t>H-1 NMR spectroscopy; Antarctic fish; HR-MAS; metabolomics; multivariate statistics</t>
  </si>
  <si>
    <t>ANTARCTIC FISH; ORGANIC OSMOLYTES; CLIMATE-CHANGE; TRIMETHYLAMINE OXIDE; OXYGEN-CONSUMPTION; QUALITY ASSESSMENT; ENERGY-METABOLISM; STRESS-RESPONSE; NMR; TEMPERATURE</t>
  </si>
  <si>
    <t>Antarctic marine ectothermal animals may be affected more than temperate species by rising temperatures due to ongoing climate change. Their specialisation on stable cold temperatures makes them vulnerable to even small degrees of warming. Thus, addressing the impacts of warming on Antarctic organisms and identifying their potentially limited capacities to respond is of interest. The objective of the study was to determine changes in metabolite profiles related to temperature acclimation. In a long-term experiment adult fish of two Antarctic sister species Notothenia rossii and Notothenia coriiceps were acclimated to 0 degrees C and 5 degrees C for three months. Impacts and indicators of acclimation at the cellular level were determined from metabolite profiles quantified in gill tissue extracts using nuclear magnetic resonance (NMR) spectroscopy. Furthermore, the metabolite profiles of the two con -generic species were compared. NMR spectroscopy identified 37 metabolites that were present in each sample, but varied in their absolute concentration between species and between treatments. A decrease in amino acid levels indicated an increased amino acid catabolism after incubation to 5 degrees C. In addition, long term warming initiated shifts in organic osmolyte concentrations and modified membrane structure observed by altered levels of phospholipid compounds. Differences in the metabolite profile between the two notothenioid species can be related to their divergent lifestyles, especially their different rates of motor activity. Increased levels of the Krebs cycle intermediate succinate and a higher reduction of amino acid concentrations in warm-acclimated N. rossii showed that N. rossii is more affected by warming than N. coriiceps.</t>
  </si>
  <si>
    <t>[Rebelein, Anja; Poertner, Hans-Otto; Bock, Christian] Helmholtz Ctr Polar &amp; Marine Res, Alfred Wegener Inst, Integrat Ecophysiol, Handelshafen 12, D-27570 Bremerhaven, Germany; [Poertner, Hans-Otto] Univ Bremen, D-28359 Bremen, Germany</t>
  </si>
  <si>
    <t>Helmholtz Association; Alfred Wegener Institute, Helmholtz Centre for Polar &amp; Marine Research; University of Bremen</t>
  </si>
  <si>
    <t>Bock, C (corresponding author), Helmholtz Ctr Polar &amp; Marine Res, Alfred Wegener Inst, Integrat Ecophysiol, Handelshafen 12, D-27570 Bremerhaven, Germany.</t>
  </si>
  <si>
    <t>Christian.Bock@awi.de</t>
  </si>
  <si>
    <t>Pörtner, Hans-O./K-9429-2016; Bock, Christian/B-4421-2017; Pörtner, Hans-O./ISU-9397-2023</t>
  </si>
  <si>
    <t>Pörtner, Hans-O./0000-0001-6535-6575; Bock, Christian/0000-0003-0052-3090; Bunge (nee Rebelein), Anja/0000-0001-5062-0038</t>
  </si>
  <si>
    <t>1095-6433</t>
  </si>
  <si>
    <t>1531-4332</t>
  </si>
  <si>
    <t>COMP BIOCHEM PHYS A</t>
  </si>
  <si>
    <t>Comp. Biochem. Physiol. A-Mol. Integr. Physiol.</t>
  </si>
  <si>
    <t>10.1016/j.cbpa.2017.12.012</t>
  </si>
  <si>
    <t>Biochemistry &amp; Molecular Biology; Physiology; Zoology</t>
  </si>
  <si>
    <t>FW3KH</t>
  </si>
  <si>
    <t>WOS:000425204800006</t>
  </si>
  <si>
    <t>Bierlich, KC; Miller, C; DeForce, E; Friedlaender, AS; Johnston, DW; Apprill, A</t>
  </si>
  <si>
    <t>Bierlich, K. C.; Miller, Carolyn; DeForce, Emelia; Friedlaender, Ari S.; Johnston, David W.; Apprill, Amy</t>
  </si>
  <si>
    <t>Temporal and Regional Variability in the Skin Microbiome of Humpback Whales along the Western Antarctic Peninsula</t>
  </si>
  <si>
    <t>APPLIED AND ENVIRONMENTAL MICROBIOLOGY</t>
  </si>
  <si>
    <t>Antarctica; SSU rRNA gene; bacteria; humpback whale; skin; temporal</t>
  </si>
  <si>
    <t>CLIMATE-CHANGE; MEGAPTERA-NOVAEANGLIAE; EUBALAENA-GLACIALIS; MARINE ECOSYSTEM; WATERS; ABUNDANCE; HARBOR; GROWTH; ICE</t>
  </si>
  <si>
    <t>The skin is the first line of defense between an animal and its environment, and disruptions in skin-associated microorganisms can be linked to an animal's health and nutritional state. To better understand the skin microbiome of large whales, high-throughput sequencing of partial small subunit rRNA genes was used to study the skin-associated bacteria of 89 seemingly healthy humpback whales (Megaptera novaeangliae) sampled along the Western Antarctic Peninsula (WAP) during early (2010) and late (2013) austral summers. Six core groups of bacteria were present in 93% or more of all humpback skin samples. A shift was observed in the average relative abundances of these core bacteria over time, with the emergence of four additional core groups of bacteria that corresponded to a decrease in water temperature, possibly caused by season-or foraging-related changes in skin biochemistry that influenced microbial growth, or other temporal factors. The skin microbiome differed between whales sampled at several regional locations along the WAP, suggesting that environmental factors or population may also influence the whale skin microbiome. Overall, the skin microbiome of humpback whales appears to provide insight into animal-and environment-related factors and may serve as a useful indicator for animal health or ecosystem alterations. IMPORTANCE The microbiomes of wild animals are currently understudied but may provide information about animal health and/or animal-environment interactions. In the largest sampling of any marine mammal microbiome, this study demonstrates conservation in the skin microbiome of 89 seemingly healthy humpback whales sampled in the Western Antarctic Peninsula, with shifts in the bacterial community composition related to temporal and regional variability. This study is important because it suggests that the skin microbiome of humpback whales could provide insight into animal nutritional or seasonal/environment-related factors, which are becoming increasingly important to recognize due to unprecedented rates of climate change and anthropogenic impact on ocean ecosystems.</t>
  </si>
  <si>
    <t>[Bierlich, K. C.; Miller, Carolyn; DeForce, Emelia; Apprill, Amy] Woods Hole Oceanog Inst, Dept Marine Chem &amp; Geochem, Woods Hole, MA 02543 USA; [Bierlich, K. C.; Johnston, David W.] Duke Univ, Marine Lab, Div Marine Sci &amp; Conservat, Nicholas Sch Environm, Beaufort, NC 28516 USA; [Friedlaender, Ari S.] Oregon State Univ, Marine Mammal Inst, Newport, OR USA; [Friedlaender, Ari S.] Univ Calif Santa Cruz, Inst Marine Sci, Dept Ecol &amp; Evolutionary Biol, Santa Cruz, CA 95064 USA</t>
  </si>
  <si>
    <t>Woods Hole Oceanographic Institution; Duke University; Oregon State University; University of California System; University of California Santa Cruz</t>
  </si>
  <si>
    <t>Apprill, A (corresponding author), Woods Hole Oceanog Inst, Dept Marine Chem &amp; Geochem, Woods Hole, MA 02543 USA.</t>
  </si>
  <si>
    <t>aapprill@whoi.edu</t>
  </si>
  <si>
    <t>Bierlich, KC/0000-0001-9724-6055; Johnston, David/0000-0003-2424-036X</t>
  </si>
  <si>
    <t>NSF OPP awards [ANT-07-39483, 1250208]; WHOI; Edna Bailey Sussman Fund; Michael K. Orbach Enrichment Fund</t>
  </si>
  <si>
    <t>NSF OPP awards; WHOI; Edna Bailey Sussman Fund; Michael K. Orbach Enrichment Fund</t>
  </si>
  <si>
    <t>Humpback whale skin biopsy samples were collected under NOAA permit 808-735 and ACA permit 2009-14 as part of NSF OPP awards ANT-07-39483 and 1250208.r This project was supported by 67 donors to the Whale Bacterial Buddies crowd-funded project supported by WHOI, the Edna Bailey Sussman Fund, and the Michael K. Orbach Enrichment Fund awarded to K. C. Bierlich.</t>
  </si>
  <si>
    <t>0099-2240</t>
  </si>
  <si>
    <t>1098-5336</t>
  </si>
  <si>
    <t>APPL ENVIRON MICROB</t>
  </si>
  <si>
    <t>Appl. Environ. Microbiol.</t>
  </si>
  <si>
    <t>e02574-17</t>
  </si>
  <si>
    <t>10.1128/AEM.02574-17</t>
  </si>
  <si>
    <t>FW0UV</t>
  </si>
  <si>
    <t>WOS:000425012100023</t>
  </si>
  <si>
    <t>Koutavas, A</t>
  </si>
  <si>
    <t>Koutavas, Athanasios</t>
  </si>
  <si>
    <t>Temperature correlations between the eastern equatorial Pacific and Antarctica over the past 230,000 years</t>
  </si>
  <si>
    <t>Eastern equatorial Pacific; sea surface temperature; Antarctica; glacial inception; CO2; NADW</t>
  </si>
  <si>
    <t>SEA-SURFACE TEMPERATURE; MERIDIONAL OVERTURNING CIRCULATION; ATLANTIC DEEP-WATER; LAST GLACIAL CYCLE; TROPICAL PACIFIC; ATMOSPHERIC CO2; ICE-CORE; NORTH-ATLANTIC; SOUTHERN-HEMISPHERE; CLIMATE SENSITIVITY</t>
  </si>
  <si>
    <t>Tropical sea surface temperatures (SSTs) warmed and cooled in step with the Pleistocene ice age cycles, but the mechanisms are not known. It is assumed that the answer must involve radiative forcing by CO2 but SST reconstructions have been too sparse for a conclusive test. Here I present a 230,000-yr tropical SST stack from the eastern equatorial Pacific (EEP) using two new Mg/Ca reconstructions combined with three earlier ones. The EEP stack shows persistent covariation with Antarctic temperature on orbital and millennial timescales indicating tight coupling between the two regions. This coupling however cannot be explained solely by CO2 forcing because in at least one important case, the Marine Isotope Stage (MIS) 5e-5d glacial inception, both regions cooled 5-6.5 thousand years before CO2 decreased. More likely, their covariation was due to advection of Antarctic climate signals to the EEP by the ocean. To explain the MIS 5e-5d event and glacial inception in general the hypothesis is advanced that the cooling signal spreads globally from the Northern Hemisphere with an active ocean circulation - first from the North Atlantic to the Southern Ocean with a colder North Atlantic Deep Water, and then to the Indian and Pacific Oceans with cooler Antarctic deep and intermediate waters. (C) 2018 Elsevier B.V. All rights reserved.</t>
  </si>
  <si>
    <t>[Koutavas, Athanasios] CUNY Coll Staten Isl, Dept Engn Sci &amp; Phys, 2800 Victory Blvd, Staten Isl, NY 10314 USA; [Koutavas, Athanasios] CUNY, Doctoral Program Earth &amp; Environm Sci, Grad Ctr, 365 Fifth Ave, New York, NY 10016 USA; [Koutavas, Athanasios] Columbia Univ, Lamont Doherty Earth Observ, 61 Rt 9W, Palisades, NY 10964 USA</t>
  </si>
  <si>
    <t>City University of New York (CUNY) System; College of Staten Island (CUNY); City University of New York (CUNY) System; Columbia University</t>
  </si>
  <si>
    <t>Koutavas, A (corresponding author), CUNY Coll Staten Isl, Dept Engn Sci &amp; Phys, 2800 Victory Blvd, Staten Isl, NY 10314 USA.</t>
  </si>
  <si>
    <t>Athanasios.Koutavas@csi.cuny.edu</t>
  </si>
  <si>
    <t>US National Science Foundation [OCE 0402478]</t>
  </si>
  <si>
    <t>US National Science Foundation(National Science Foundation (NSF))</t>
  </si>
  <si>
    <t>This work was supported by the US National Science Foundation (grant number OCE 0402478).</t>
  </si>
  <si>
    <t>10.1016/j.epsl.2017.12.041</t>
  </si>
  <si>
    <t>FW1OV</t>
  </si>
  <si>
    <t>WOS:000425070200005</t>
  </si>
  <si>
    <t>Gao, G; Shi, Q; Xu, ZG; Xu, JT; Campbell, DA; Wu, HY</t>
  </si>
  <si>
    <t>Gao, Guang; Shi, Qi; Xu, Zhiguang; Xu, Juntian; Campbell, Douglas A.; Wu, Hongyan</t>
  </si>
  <si>
    <t>Global warming interacts with ocean acidification to alter PSII function and protection in the diatom Thalassiosira weissflogii</t>
  </si>
  <si>
    <t>ENVIRONMENTAL AND EXPERIMENTAL BOTANY</t>
  </si>
  <si>
    <t>Diatom; Nonphotochemical quenching; Ocean acidification; Warming; Photoprotection; Photoinactivation</t>
  </si>
  <si>
    <t>PHOTOSYSTEM-II PHOTOINACTIVATION; A/C-BINDING-PROTEIN; PLANKTONIC DIATOMS; ANTARCTIC DIATOM; UV-RADIATION; LIGHT; PHOTOSYNTHESIS; PHOTOINHIBITION; RESPONSES; PHYTOPLANKTON</t>
  </si>
  <si>
    <t>Diatoms, as important contributors to aquatic primary production, are critical to the global carbon cycle. They tend to dominate phytoplankton communities experiencing rapid changes of underwater light. However, little is known regarding how climate change impacts diatoms' capacity in coping with variable light environments. Here we grew a globally abundant diatom T. weissflogii, under two levels of temperature (18, 24 degrees C) and pCO(2) (400, 1000 mu atm), and then treated it with a light challenge to understand the combined effects of ocean warming and acidification on its exploitation of variable light environments. The higher temperature increased the photoinactivation rate at 400 mu atm pCO(2) and the higher pCO(2) alleviated the negative effect of the higher temperature on PSII photoinactivation. Temperature did not affect the PsbA removal rate, but higher pCO(2) stimulated PsbA removal. Photoinactivation outran repair, leading to decreased maximum photochemical yield in PSII. The higher pCO(2) induced high sustained phase of nonphotochemical quenching when cells were less photoinhibited. The high light exposure induced the activity of both superoxide dismutase (SOD) and catalase (CAT) and the higher temperature stimulated them further, with insignificant effect of pCO(2). Our findings suggest that ocean warming, ocean acidification and high light exposure would interact on PSII function and protection, and combination of these three environmental factors would lead to a reduced PSII activity in T. weissflogii. This study provides helpful insight into how climate change variables combined with local stressor impact diatoms' photosynthetic physiology.</t>
  </si>
  <si>
    <t>[Gao, Guang; Xu, Zhiguang; Wu, Hongyan] Ludong Univ, Coll Life Sci, Yantai 264025, Peoples R China; [Shi, Qi; Wu, Hongyan] Hubei Univ Technol, Hubei Prov Cooperat Innovat Ctr Ind Fermentat, Wuhan 430068, Hubei, Peoples R China; [Gao, Guang; Xu, Juntian] Huaihai Inst Technol, Marine Resources Dev Inst Jiangsu, Lianyungang 222005, Peoples R China; [Campbell, Douglas A.] Mt Allison Univ, Biol Dept, Sackville, NB E4L 1G7, Canada</t>
  </si>
  <si>
    <t>Ludong University; Hubei University of Technology; Jiangsu Ocean University; Mount Allison University</t>
  </si>
  <si>
    <t>Wu, HY (corresponding author), Ludong Univ, Coll Life Sci, Yantai 264025, Peoples R China.;Wu, HY (corresponding author), Hubei Univ Technol, Hubei Prov Cooperat Innovat Ctr Ind Fermentat, Wuhan 430068, Hubei, Peoples R China.</t>
  </si>
  <si>
    <t>why-z-z@hotmail.com</t>
  </si>
  <si>
    <t>Campbell, Douglas A./B-3768-2010; Gao, Guang/AAJ-8676-2021; Xu, juntian/ABB-8233-2021; Xu, Juntian/AAW-4084-2021; Gao, Guang/N-9131-2019</t>
  </si>
  <si>
    <t>Campbell, Douglas A./0000-0001-8996-5463; Gao, Guang/0000-0002-9011-9640;</t>
  </si>
  <si>
    <t>National Natural Science Foundation of China [31270452, 91647207, 41376129, 41476097]; Chinese Ministry of Education [213026A]; Natural Science Foundation of Hubei Province [2014CFB607]; Jiangsu Planned Projects for Postdoctoral Research Funds [1701003A]; Science and Technology Bureau of Lianyungang [SH1606]; Science Foundation of Huaihai Institute of Technology [Z2016007]; Priority Academic Program Development of Jiangsu Higher Education Institutions of China; Canada Research Chairs</t>
  </si>
  <si>
    <t>National Natural Science Foundation of China(National Natural Science Foundation of China (NSFC)); Chinese Ministry of Education(Ministry of Education, China); Natural Science Foundation of Hubei Province(Natural Science Foundation of Hubei Province); Jiangsu Planned Projects for Postdoctoral Research Funds; Science and Technology Bureau of Lianyungang; Science Foundation of Huaihai Institute of Technology; Priority Academic Program Development of Jiangsu Higher Education Institutions of China; Canada Research Chairs(Canada Research ChairsCGIAR)</t>
  </si>
  <si>
    <t>This research was supported by the National Natural Science Foundation of China (Nos. 31270452; 91647207; 41376129 and 41476097), the Research Project of Chinese Ministry of Education (No. 213026A), the Natural Science Foundation of Hubei Province (2014CFB607), the Jiangsu Planned Projects for Postdoctoral Research Funds (1701003A), the Science and Technology Bureau of Lianyungang (SH1606), the Science Foundation of Huaihai Institute of Technology (Z2016007), the Priority Academic Program Development of Jiangsu Higher Education Institutions of China, and the Canada Research Chairs (DC).</t>
  </si>
  <si>
    <t>0098-8472</t>
  </si>
  <si>
    <t>1873-7307</t>
  </si>
  <si>
    <t>ENVIRON EXP BOT</t>
  </si>
  <si>
    <t>Environ. Exp. Bot.</t>
  </si>
  <si>
    <t>10.1016/j.envexpbot.2017.11.014</t>
  </si>
  <si>
    <t>Plant Sciences; Environmental Sciences</t>
  </si>
  <si>
    <t>Plant Sciences; Environmental Sciences &amp; Ecology</t>
  </si>
  <si>
    <t>FU9MZ</t>
  </si>
  <si>
    <t>WOS:000424181300010</t>
  </si>
  <si>
    <t>Velasco, H; Astorga, RT; Joseph, D; Antoine, JS; Mabit, L; Toloza, A; Dercon, G; Walling, DE</t>
  </si>
  <si>
    <t>Velasco, H.; Torres Astorga, R.; Joseph, D.; Antoine, J. S.; Mabit, L.; Toloza, A.; Dercon, G.; Walling, Des E.</t>
  </si>
  <si>
    <t>Adapting the Caesium-137 technique to document soil redistribution rates associated with traditional cultivation practices in Haiti</t>
  </si>
  <si>
    <t>JOURNAL OF ENVIRONMENTAL RADIOACTIVITY</t>
  </si>
  <si>
    <t>Haiti; Cs-137; Radionuclide technique; Soil erosion; Conversion model</t>
  </si>
  <si>
    <t>CS-137; EROSION; MODELS; PB-210</t>
  </si>
  <si>
    <t>Large-scale deforestation, intensive land use and unfavourable rainfall conditions are responsible for significant continuous degradation of the Haitian uplands. To develop soil conservation strategies, simple and cost-effective methods are needed to assess rates of soil loss from farmland in Haiti. The fallout radionuclide caesium-137 (Cs-137) provides one such means of documenting medium-term soil redistribution rates. In this contribution, the authors report the first use in Haiti of Cs-137 measurements to document soil redistribution rates and the associated pattern of erosion/sedimentation rates along typical hillslopes within a traditional upland Haitian farming area. The local Cs-137 reference inventory, measured at an adjacent undisturbed fiat area, was 670 Bq m(-2) (SD = 100 Bq m(-2), CV = 15%, n = 7). Within the study area, where cultivation commenced in 1992 after deforestation, three representative downslope transects were sampled. These were characterized by Cs-137 inventories ranging from 190 to 2200 Bq m(-2). Although, the study area was cultivated by the local farmers, the Cs-137 depth distributions obtained from the area differed markedly from those expected from a cultivated area. They showed little evidence of tillage mixing within the upper part of the soil or, more particularly, of the near uniform activities normally associated with the plough layer or cultivation horizon. They were very similar to that found at the reference site and were characterized by high Cs-137 activities at the surface and much lower activities at greater depths. This situation is thought to reflect the traditional manual tillage practices which cause limited disturbance and mixing of the upper part of the soil. It precluded the use of the conversion models normally used to estimate soil redistribution rates from Cs-137 measurements on cultivated soils and the Diffusion and Migration conversion model frequently used for uncultivated soils was modified for application to the cultivated soils of the study area, in order to take account of the unusual local conditions. The model was also modified to take account of the fact that cultivation in the study area commenced in 1992, rather than predating the period of weapons test fallout which extended from the mid 1950s to the 1970s. Erosion rates on the upper parts of the hillside involved in the study were found to be relatively high and ca. -23 t ha(-1) y(-1) with low spatial variability. In the lower, flatter areas at the bottom of the slope, deposition occurred. Deposition rates were characterized by high spatial variability, ranging from 6.0 to 71 t ha(-1) y(-1). Soil redistribution rates of this magnitude are a cause for concern and there is an urgent need to implement soil conservation measures to ensure the longer-term sustainability of the local agricultural practices.</t>
  </si>
  <si>
    <t>[Velasco, H.; Torres Astorga, R.] Univ Nacl San Luis, Consejo Nacl Invest Cient &amp; Tecn, IMASL, GEA,CCT San Luis, San Luis, Argentina; [Joseph, D.; Antoine, J. S.] Minist Agr Ressources Nat &amp; Dev Rural, Direct Ressources Forestieres &amp; Sols DRFS, Port Au Prince, Haiti; [Joseph, D.; Antoine, J. S.] FAMV, Port Au Prince, Haiti; [Mabit, L.; Toloza, A.; Dercon, G.] IAEA, Joint Div Nucl Tech Food &amp; Agr, Soil &amp; Water Management &amp; Crop Nutr Lab, Vienna, Austria; [Walling, Des E.] Univ Exeter, Coll Life &amp; Environm Sci, Geog, Exeter EX4 4RJ, Devon, England</t>
  </si>
  <si>
    <t>Consejo Nacional de Investigaciones Cientificas y Tecnicas (CONICET); Universidad Nacional de San Luis; International Atomic Energy Agency; University of Exeter</t>
  </si>
  <si>
    <t>Velasco, H (corresponding author), Univ Nacl San Luis, Consejo Nacl Invest Cient &amp; Tecn, IMASL, GEA,CCT San Luis, San Luis, Argentina.</t>
  </si>
  <si>
    <t>rh.velasco@gmail.com</t>
  </si>
  <si>
    <t>Torres Astorga, Romina/JOZ-2718-2023; MABIT, Lionel/P-2247-2018</t>
  </si>
  <si>
    <t>Torres Astorga, Romina/0000-0001-7132-4481; Velasco, Hugo/0000-0002-3850-4621; MABIT, Lionel/0000-0001-9346-3845</t>
  </si>
  <si>
    <t>IAEA [RLA5051]</t>
  </si>
  <si>
    <t>IAEA(International Atomic Energy Agency)</t>
  </si>
  <si>
    <t>This work has been performed in the framework of the IAEA funded regional Latin American Technical Cooperation Project RLA5051 i.e. Using Environmental Radionuclides as Indicators of Land Degradation in Latin American, Caribbean and Antarctic Ecosystems.</t>
  </si>
  <si>
    <t>0265-931X</t>
  </si>
  <si>
    <t>1879-1700</t>
  </si>
  <si>
    <t>J ENVIRON RADIOACTIV</t>
  </si>
  <si>
    <t>J. Environ. Radioact.</t>
  </si>
  <si>
    <t>10.1016/j.jenvrad.2017.12.008</t>
  </si>
  <si>
    <t>FU9NG</t>
  </si>
  <si>
    <t>WOS:000424182000002</t>
  </si>
  <si>
    <t>Errington, I; King, CK; Wilkins, D; Spedding, T; Hose, GC</t>
  </si>
  <si>
    <t>Errington, Ingrid; King, Catherine K.; Wilkins, Daniel; Spedding, Tim; Hose, Grant C.</t>
  </si>
  <si>
    <t>Ecosystem effects and the management of petroleum-contaminated soils on subantarctic islands</t>
  </si>
  <si>
    <t>Ecotoxicology; Macquarie Island; Crozet; Kerguelen; Marion; Collembola; Cold climate</t>
  </si>
  <si>
    <t>PERMEABLE REACTIVE BARRIER; SOUTHERN-OCEAN ISLANDS; DIESEL FUEL; HYDROCARBON BIODEGRADATION; MICROBIAL-DEGRADATION; AROMATIC-HYDROCARBONS; BIOLOGICAL INVASIONS; SITE REMEDIATION; CASEY STATION; BIOREMEDIATION</t>
  </si>
  <si>
    <t>Human activity in the Polar Regions has resulted in petroleum contamination of soils. In this context, subantarctic islands are a unique management challenge for climatic, biological and logistical reasons. In this review we identify the main abiotic factors affecting petroleum-contaminated soils in the subantarctic environment, the primary effects of such contamination on biota, and lessons learned with regards to remediation techniques in this region. The sensitivity of biota to contamination depends on organism life stage, on soil properties, and on the degree of contaminant weathering. Initial studies using species endemic to subantarctic islands suggest that for fresh diesel fuel, sensitivities may range between 103 and 20 000 mg total petroleum hydrocarbons (TPH) kg(-1) soil. Diesel that has undergone a short period of weathering is generally more toxic, with sensitivities ranging between 52 and 13 000 mg TPH kg(-1) soil for an earthworm and a grass respectively (based on EC20 and IC50 values). A sufficient body of data from which to develop remediation targets for existing spills in the region does not yet exist for the region, but there has been a recent increase in research attention to address this data gap. A range of remediation methods have also now been trialled, and techniques such as in-ground aeration and nutrient addition have achieved some success. Passive management techniques such as permeable reactive barriers and phytoremediation are in preliminary stages of investigation for the region and show promise, not least because they cause less collateral disturbance than other methods. Crown Copyright (C) 2017 Published by Elsevier Ltd. All rights reserved.</t>
  </si>
  <si>
    <t>[Errington, Ingrid; Hose, Grant C.] Macquarie Univ, Dept Biol Sci, Sydney, NSW, Australia; [King, Catherine K.; Wilkins, Daniel; Spedding, Tim] Australian Antarctic Div, Antarctic Conservat &amp; Management, Kingston, Tas, Australia</t>
  </si>
  <si>
    <t>Macquarie University; Australian Antarctic Division</t>
  </si>
  <si>
    <t>Wilkins, Daniel/AAF-3959-2020; King, Catherine K/G-7059-2017</t>
  </si>
  <si>
    <t>King, Catherine K/0000-0003-3356-0381; Wilkins, Daniel/0000-0003-2081-483X; Hose, Grant/0000-0003-2106-5543; Spedding, Tim/0000-0002-4023-2469</t>
  </si>
  <si>
    <t>Australian Antarctic Science Grant (AAS) [4135, 4036]; Macquarie University Research Excellence Scholarship</t>
  </si>
  <si>
    <t>Australian Antarctic Science Grant (AAS); Macquarie University Research Excellence Scholarship</t>
  </si>
  <si>
    <t>This work was supported through Australian Antarctic Science Grant to G. Hose (AAS project 4135) and to I. Snape (AAS project 4036). Ingrid Errington was supported by a Macquarie University Research Excellence Scholarship.</t>
  </si>
  <si>
    <t>10.1016/j.chemosphere.2017.11.157</t>
  </si>
  <si>
    <t>FU5KD</t>
  </si>
  <si>
    <t>WOS:000423890700023</t>
  </si>
  <si>
    <t>Glatstein, DA; Bruna, N; Gallardo-Benavente, C; Bravo, D; Carro Pérez, ME; Francisca, FM; Pérez-Donoso, JM</t>
  </si>
  <si>
    <t>Glatstein, Daniel A.; Bruna, Nicolas; Gallardo-Benavente, Carla; Bravo, Denisse; Carro Perez, Magali E.; Francisca, Franco M.; Perez-Donoso, Jose M.</t>
  </si>
  <si>
    <t>Arsenic and Cadmium Bioremediation by Antarctic Bacteria Capable of Biosynthesizing CdS Fluorescent Nanoparticles</t>
  </si>
  <si>
    <t>JOURNAL OF ENVIRONMENTAL ENGINEERING</t>
  </si>
  <si>
    <t>Quantum dots; Antarctic bacteria; Bioremediation; Heavy metals; Metalloids; Biosynthesis</t>
  </si>
  <si>
    <t>BIOLOGICAL SYNTHESIS; QUANTUM DOTS; HEAVY-METALS; WASTE-WATER; REMOVAL; CDTE; PH</t>
  </si>
  <si>
    <t>Use of microorganisms in contaminated water remediation is one of the most studied processes of recent years. The recovery of metal contaminants by converting them into high-value nanomaterials represents a scarcely explored topic with high potential economic impact. In this work, the authors determine the capacity to remove As and Cd from aqueous solutions by Antarctic bacteria previously reported as capable of biosynthesizing CdS fluorescent nanoparticles (NPs) at low temperatures. Bacterial characteristics favoring metal bioremediation, such as As and Cd resistance as well as high biofilm formation and metal removal (kinetic/sorption tests), were determined in Antarctic strains. In addition, the effect of As on the biosynthesis of CdS fluorescent NPs [quantum dots (QDs)] was evaluated. The presence of As inhibits the biosynthesis of CdS QDs by Antarctic bacteria. Arsenic inhibition does not involve the disruption of the Cd nanostructure or a decrease in H2S levels produced by cells, suggesting that As inhibits CdS biosynthesis by avoiding the interaction of Cd2+ with S2- required to produce the nanocrystal. Obtained results have significant consequences for the development of metal bioremediation strategies aimed at removing environmental heavy metals through the generation of NPs. (c) 2017 American Society of Civil Engineers.</t>
  </si>
  <si>
    <t>[Glatstein, Daniel A.; Carro Perez, Magali E.; Francisca, Franco M.] Univ Nacl Cordoba, Fac Ciencias Exactas Fis &amp; Nat, Cordoba, Argentina; [Glatstein, Daniel A.; Carro Perez, Magali E.; Francisca, Franco M.] Univ Nacl Cordoba, CONICET, Inst Estudios Avanzados Ingn &amp; Tecnol, Ave Velez Sarsfield 1611,Ciudad Univ, RA-5016 Cordoba, Argentina; [Bruna, Nicolas; Gallardo-Benavente, Carla; Perez-Donoso, Jose M.] Univ Andres Bello, Fac Ciencias Biol, BioNanotechnol &amp; Microbiol Lab, Ctr Bioinformat &amp; Integrat Biol, Ave Republ 239, Santiago 8370146, Chile; [Bravo, Denisse] Univ Chile, Fac Dent, Oral Microbiol Lab, Sergio Livingstone Pohlhammer 943, Santiago 8380492, Chile</t>
  </si>
  <si>
    <t>National University of Cordoba; Consejo Nacional de Investigaciones Cientificas y Tecnicas (CONICET); National University of Cordoba; Universidad Andres Bello; Universidad de Chile</t>
  </si>
  <si>
    <t>Francisca, FM (corresponding author), Univ Nacl Cordoba, Fac Ciencias Exactas Fis &amp; Nat, Cordoba, Argentina.;Francisca, FM (corresponding author), Univ Nacl Cordoba, CONICET, Inst Estudios Avanzados Ingn &amp; Tecnol, Ave Velez Sarsfield 1611,Ciudad Univ, RA-5016 Cordoba, Argentina.</t>
  </si>
  <si>
    <t>dglatstein@unc.edu.ar; n.brunarivera@gmail.com; carlagallardo6@gmail.com; denisseb@gmail.com; mcarroperez@unc.edu.ar; franco.francisca@unc.edu.ar; jose.perez@unab.cl</t>
  </si>
  <si>
    <t>Pérez-Donoso, José M./G-3668-2013; Bruna, Nicolas/J-4984-2016</t>
  </si>
  <si>
    <t>Pérez-Donoso, José M./0000-0002-9506-1716; Gallardo Benavente, Carla/0000-0001-7293-517X; Francisca, Franco M/0000-0002-6965-9036; Bruna, Nicolas/0000-0002-9716-361X</t>
  </si>
  <si>
    <t>Programa Binacional de Apoyo a Jovenes Investigadores Argentina-Chile [ARG-CH 005]; Erika Elcira Donoso Lopez; FONCyT [PIP 3101]; SECyT-UNC [05/M265]; CONICET [11220100100390CO]; Fondecyt [1151255]; INACH [RT-25_16]; CINV Millenium Initiative [09-022-F]; Nucleo UNAB [DI-816-15/N]; AFOSR [FA9550-15-1-0140]</t>
  </si>
  <si>
    <t>Programa Binacional de Apoyo a Jovenes Investigadores Argentina-Chile; Erika Elcira Donoso Lopez; FONCyT(FONCyT); SECyT-UNC(Secretaria de Ciencia y Tecnologia (SECYT)); CONICET(Consejo Nacional de Investigaciones Cientificas y Tecnicas (CONICET)); Fondecyt(Comision Nacional de Investigacion Cientifica y Tecnologica (CONICYT)CONICYT FONDECYT); INACH; CINV Millenium Initiative; Nucleo UNAB; AFOSR(United States Department of DefenseAir Force Office of Scientific Research (AFOSR))</t>
  </si>
  <si>
    <t>This research was financed by Programa Binacional de Apoyo a Jovenes Investigadores Argentina-Chile-2011 (Project ARG-CH 005) and Erika Elcira Donoso Lopez. The authors thank the support received from FONCyT (PIP 3101), SECyT-UNC (05/M265), CONICET (11220100100390CO), Fondecyt 1151255 (JMP-DB), INACH RT-25_16 (JMP-DB), CINV Millenium Initiative 09-022-F (JMP), Nucleo UNAB No DI-816-15/N (JMP), and AFOSR FA9550-15-1-0140 (JMP). The authors thank ISEA-UNC for the facilities.</t>
  </si>
  <si>
    <t>ASCE-AMER SOC CIVIL ENGINEERS</t>
  </si>
  <si>
    <t>RESTON</t>
  </si>
  <si>
    <t>1801 ALEXANDER BELL DR, RESTON, VA 20191-4400 USA</t>
  </si>
  <si>
    <t>0733-9372</t>
  </si>
  <si>
    <t>1943-7870</t>
  </si>
  <si>
    <t>J ENVIRON ENG</t>
  </si>
  <si>
    <t>J. Environ. Eng.-ASCE</t>
  </si>
  <si>
    <t>10.1061/(ASCE)EE.1943-7870.0001293</t>
  </si>
  <si>
    <t>Engineering, Environmental; Engineering, Civil; Environmental Sciences</t>
  </si>
  <si>
    <t>FT0HG</t>
  </si>
  <si>
    <t>WOS:000422803400002</t>
  </si>
  <si>
    <t>Flanner, MG; Huang, X; Chen, X; Krinner, G</t>
  </si>
  <si>
    <t>Flanner, M. G.; Huang, X.; Chen, X.; Krinner, G.</t>
  </si>
  <si>
    <t>Climate Response to Negative Greenhouse Gas Radiative Forcing in Polar Winter</t>
  </si>
  <si>
    <t>Radiative Forcing; Polar Climate; Inversion Layer</t>
  </si>
  <si>
    <t>ATMOSPHERIC SMOKE; FEEDBACKS; MODEL; SENSITIVITY; INJECTIONS; INVERSION; SURFACE</t>
  </si>
  <si>
    <t>Greenhouse gas (GHG) additions to Earth's atmosphere initially reduce global outgoing longwave radiation, thereby warming the planet. In select environments with temperature inversions, however, increased GHG concentrations can actually increase local outgoing longwave radiation. Negative top of atmosphere and effective radiative forcing (ERF) from this situation give the impression that local surface temperatures could cool in response to GHG increases. Here we consider an extreme scenario in which GHG concentrations are increased only within the warmest layers of winter near-surface inversions of the Arctic and Antarctic. We find, using a fully coupled Earth system model, that the underlying surface warms despite the GHG addition exerting negative ERF and cooling the troposphere in the vicinity of the GHG increase. This unique radiative forcing and thermal response is facilitated by the high stability of the polar winter atmosphere, which inhibit thermal mixing and amplify the impact of surface radiative forcing on surface temperature. These findings also suggest that strategies to exploit negative ERF via injections of short-lived GHGs into inversion layers would likely be unsuccessful in cooling the planetary surface.</t>
  </si>
  <si>
    <t>[Flanner, M. G.; Huang, X.; Chen, X.] Univ Michigan, Dept Climate &amp; Space Sci &amp; Engn, Ann Arbor, MI 48109 USA; [Krinner, G.] Univ Grenoble Alpes, CNRS, Inst Geosci Environm, Grenoble, France</t>
  </si>
  <si>
    <t>University of Michigan System; University of Michigan; Centre National de la Recherche Scientifique (CNRS); Communaute Universite Grenoble Alpes; Universite Grenoble Alpes (UGA)</t>
  </si>
  <si>
    <t>Flanner, MG (corresponding author), Univ Michigan, Dept Climate &amp; Space Sci &amp; Engn, Ann Arbor, MI 48109 USA.</t>
  </si>
  <si>
    <t>flanner@umich.edu</t>
  </si>
  <si>
    <t>Krinner, Gerhard/AAB-8837-2022; Flanner, Mark/C-6139-2011; Huang, Xianglei/E-6273-2018; Krinner, Gerhard/A-6450-2011; Huang, Xianglei/G-6127-2011</t>
  </si>
  <si>
    <t>Krinner, Gerhard/0000-0002-2959-5920; Flanner, Mark/0000-0003-4012-174X; Chen, Xiuhong/0000-0002-6860-3276; Huang, Xianglei/0000-0002-7129-614X</t>
  </si>
  <si>
    <t>U.S. National Science Foundation [ARC-1253154]; Department of Energy [DE-SC0012969]; Directorate For Geosciences [1253154] Funding Source: National Science Foundation; Office of Polar Programs (OPP) [1253154] Funding Source: National Science Foundation; U.S. Department of Energy (DOE) [DE-SC0012969] Funding Source: U.S. Department of Energy (DOE)</t>
  </si>
  <si>
    <t>U.S. National Science Foundation(National Science Foundation (NSF)); Department of Energy(United States Department of Energy (DOE)); Directorate For Geosciences(National Science Foundation (NSF)NSF - Directorate for Geosciences (GEO)); Office of Polar Programs (OPP)(National Science Foundation (NSF)NSF - Directorate for Geosciences (GEO)); U.S. Department of Energy (DOE)(United States Department of Energy (DOE))</t>
  </si>
  <si>
    <t>We thank two anonymous reviewers for providing constructive comments on our manuscript. We acknowledge support from U.S. National Science Foundation grant ARC-1253154 and Department of Energy grant DE-SC0012969. CESM source code can be obtained from http://www.cesm.ucar.edu/. Model output data can be obtained via the public repository at https://doi.org/10.7302/Z27942W2.</t>
  </si>
  <si>
    <t>FEB 28</t>
  </si>
  <si>
    <t>10.1002/2017GL076668</t>
  </si>
  <si>
    <t>FZ4LS</t>
  </si>
  <si>
    <t>Green Published, Bronze, Green Submitted</t>
  </si>
  <si>
    <t>WOS:000427564300035</t>
  </si>
  <si>
    <t>Denton, MH; Kivi, R; Ulich, T; Clilverd, MA; Rodger, CJ; von der Gathen, P</t>
  </si>
  <si>
    <t>Denton, M. H.; Kivi, R.; Ulich, T.; Clilverd, M. A.; Rodger, C. J.; von der Gathen, P.</t>
  </si>
  <si>
    <t>Northern Hemisphere Stratospheric Ozone Depletion Caused by Solar Proton Events: The Role of the Polar Vortex</t>
  </si>
  <si>
    <t>stratospheric ozone; solar proton events; space weather</t>
  </si>
  <si>
    <t>ODD NITROGEN; PARTICLE-PRECIPITATION; ATMOSPHERE; VARIABILITY; TRENDS; MESOSPHERE; CHEMISTRY; CYCLE-21; IMPACT</t>
  </si>
  <si>
    <t>Ozonesonde data from four sites are analyzed in relation to 191 solar proton events from 1989 to 2016. Analysis shows ozone depletion (similar to 10-35km altitude) commencing following the SPEs. Seasonally corrected ozone data demonstrate that depletions occur only in winter/early spring above sites where the northern hemisphere polar vortex (PV) can be present. A rapid reduction in stratospheric ozone is observed with the maximum decrease occurring similar to 10-20days after solar proton events. Ozone levels remain depleted in excess of 30days. No depletion is observed above sites completely outside the PV. No depletion is observed in relation to 191 random epochs at any site at any time of year. Results point to the role of indirect ozone destruction, most likely via the rapid descent of long-lived NOx species in the PV during the polar winter.</t>
  </si>
  <si>
    <t>[Denton, M. H.] New Mexico Consortium, Los Alamos, NM 87544 USA; [Denton, M. H.] Space Sci Inst, Boulder, CO 80301 USA; [Kivi, R.] Finnish Meteorol Inst, Arctic Res Ctr, Sodankyla, Finland; [Ulich, T.] Geophys Observ, Sodankyla, Finland; [Clilverd, M. A.] British Antarctic Survey NERC, Cambridge, England; [Rodger, C. J.] Univ Otago, Dept Phys, Dunedin, New Zealand; [von der Gathen, P.] Helmholtz Ctr Polar &amp; Marine Res, Alfred Wegener Inst, Potsdam, Germany</t>
  </si>
  <si>
    <t>Finnish Meteorological Institute; UK Research &amp; Innovation (UKRI); Natural Environment Research Council (NERC); NERC British Antarctic Survey; University of Otago; Helmholtz Association; Alfred Wegener Institute, Helmholtz Centre for Polar &amp; Marine Research</t>
  </si>
  <si>
    <t>Denton, MH (corresponding author), New Mexico Consortium, Los Alamos, NM 87544 USA.;Denton, MH (corresponding author), Space Sci Inst, Boulder, CO 80301 USA.</t>
  </si>
  <si>
    <t>mdenton@newmexicoconsortium.org</t>
  </si>
  <si>
    <t>Rodger, Craig/A-1501-2011; Ulich, Thomas/G-3727-2018; von der Gathen, Peter/B-8515-2009</t>
  </si>
  <si>
    <t>Ulich, Thomas/0000-0001-8217-022X; von der Gathen, Peter/0000-0001-7409-1556; Rodger, Craig J./0000-0002-6770-2707</t>
  </si>
  <si>
    <t>NASA's prime contract [NAS5-01072]; Academy of Finland [140408]; EU Project GAIA-CLIM; ESA's Climate Change Initiative program; Ozone_cci subproject; NERC [bas0100031] Funding Source: UKRI; Academy of Finland (AKA) [140408] Funding Source: Academy of Finland (AKA)</t>
  </si>
  <si>
    <t>NASA's prime contract; Academy of Finland(Research Council of Finland); EU Project GAIA-CLIM; ESA's Climate Change Initiative program; Ozone_cci subproject; NERC(UK Research &amp; Innovation (UKRI)Natural Environment Research Council (NERC)); Academy of Finland (AKA)</t>
  </si>
  <si>
    <t>This work was supported at New Mexico Consortium by NASA's prime contract NAS5-01072. Ozonesonde work at the FMI was supported by the Academy of Finland (grant 140408), an EU Project GAIA-CLIM, the ESA's Climate Change Initiative program, and the Ozone_cci subproject in particular. The SPE list is available at ftp://ftp.swpc.noaa.gov/pub/indices/SPE.txt. All ozone data used in this study can be obtained from the World Ozone and Ultraviolet Radiation Data Center (http://www.woudc.org) operated by Environment Canada. We thank David Moore (UK Met Office) and Bryan Johnson (NOAA). M.H.D. offers thanks to all at FMI and SGO, to K. Jumisko and family, and to all members of SSC at SOD, for their hospitality during his visit to Finland in the spring of 2017, We also thank J. Denton for assistance in the preparation of Figure 1 and J. Borovsky, B. Larsen, and G. Reeves for useful discussions and support during the preparation of this manuscript.</t>
  </si>
  <si>
    <t>10.1002/2017GL075966</t>
  </si>
  <si>
    <t>Green Published, Green Accepted, Green Submitted</t>
  </si>
  <si>
    <t>WOS:000427564300049</t>
  </si>
  <si>
    <t>Marynets, K</t>
  </si>
  <si>
    <t>Marynets, Kateryna</t>
  </si>
  <si>
    <t>TWO-POINT BOUNDARY PROBLEM FOR MODELING THE JET FLOW OF THE ANTARCTIC CIRCUMPOLAR CURRENT</t>
  </si>
  <si>
    <t>ELECTRONIC JOURNAL OF DIFFERENTIAL EQUATIONS</t>
  </si>
  <si>
    <t>Geophysical flow; boundary-value problem; vorticity</t>
  </si>
  <si>
    <t>WATER-WAVES; STEADY; DEPTH</t>
  </si>
  <si>
    <t>Using a functional-analytic approach for two-point boundary value problems, for a large class of oceanic vorticities, we establish the existence of solutions to a model for the jet flows of the Antarctic circumpolar current with no azimuthal variations. In our approach we rely on the stereographic projection to pass from spherical to planar coordinates.</t>
  </si>
  <si>
    <t>[Marynets, Kateryna] Uzhgorod Natl Univ, Dept Math, Uzhgorod, Ukraine</t>
  </si>
  <si>
    <t>Ministry of Education &amp; Science of Ukraine; Uzhgorod National University</t>
  </si>
  <si>
    <t>Marynets, K (corresponding author), Uzhgorod Natl Univ, Dept Math, Uzhgorod, Ukraine.</t>
  </si>
  <si>
    <t>kateryna.marynets@uzhnu.edu.ua</t>
  </si>
  <si>
    <t>Marynets, Kateryna/S-5816-2019</t>
  </si>
  <si>
    <t>Marynets, Kateryna/0000-0002-0043-6336</t>
  </si>
  <si>
    <t>TEXAS STATE UNIV</t>
  </si>
  <si>
    <t>SAN MARCOS</t>
  </si>
  <si>
    <t>601 UNIVERSTITY DRIVE, SAN MARCOS, TX 78666 USA</t>
  </si>
  <si>
    <t>1072-6691</t>
  </si>
  <si>
    <t>ELECTRON J DIFFER EQ</t>
  </si>
  <si>
    <t>Electron. J. Differ. Equ.</t>
  </si>
  <si>
    <t>FY8ED</t>
  </si>
  <si>
    <t>WOS:000427095300001</t>
  </si>
  <si>
    <t>Coppola, D; Giordano, D; Milazzo, L; Howes, BD; Ascenzi, P; di Prisco, G; Smulevich, G; Poole, RK; Verde, C</t>
  </si>
  <si>
    <t>Coppola, Daniela; Giordano, Daniela; Milazzo, Lisa; Howes, Barry D.; Ascenzi, Paolo; di Prisco, Guido; Smulevich, Giulietta; Poole, Robert K.; Verde, Cinzia</t>
  </si>
  <si>
    <t>Coexistence of multiple globin genes conferring protection against nitrosative stress to the Antarctic bacterium Pseudoalteromonas haloplanktis TAC125</t>
  </si>
  <si>
    <t>NITRIC OXIDE-BIOLOGY AND CHEMISTRY</t>
  </si>
  <si>
    <t>Antarctic cold-adapted bacterium; Truncated globin; Nitrosative/oxidative stress; Resonance Raman spectroscopy</t>
  </si>
  <si>
    <t>LIGAND-BINDING PROPERTIES; NITRIC-OXIDE DIOXYGENASE; TRUNCATED HEMOGLOBINS; THERMOBIFIDA-FUSCA; CYTOCHROME-C; PEROXYNITRITE DETOXIFICATION; MYCOBACTERIUM-LEPRAE; LUCINA-PECTINATA; LOW-TEMPERATURES; HEME</t>
  </si>
  <si>
    <t>Despite the large number of globins recently discovered in bacteria, our knowledge of their physiological functions is restricted to only a few examples. In the microbial world, globins appear to perform multiple roles in addition to the reversible binding of oxygen; all these functions are attributable to the heme pocket that dominates functional properties. Resistance to nitrosative stress and involvement in oxygen chemistry seem to be the most prevalent functions for bacterial globins, although the number of globins for which functional roles have been studied via mutation and genetic complementation is very limited. The acquisition of structural information has considerably outpaced the physiological and molecular characterisation of these proteins. The genome of the Antarctic cold-adapted bacterium Pseudoalteromonas haloplanktis TAC125 (PhTAC125) contains genes encoding three distinct single-chain 2/2 globins, supporting the hypothesis of their crucial involvement in a number of functions, including protection against oxidative and nitrosative stress in the cold and O-2-rich environment. In the genome of PhTAC125, the genes encoding 2/2 globins are constitutively transcribed, thus suggesting that these globins are not functionally redundant in their physiological function in PhTAC125. In the present study, the physiological role of one of the 2/2 globins, Ph-2/2HbO-2217, was investigated by integrating in vivo and in vitro results. This role includes the involvement in the detoxification of reactive nitrogen and 02 species including NO by developing two in vivo and in vitro models to highlight the protective role of Ph-2/2HbO-2217 against reactive nitrogen species. The PSHAa2217 gene was cloned and over-expressed in the flavohemoglobin-deficient mutant of Escherichia coli and the growth properties and O-2 uptake in the presence of NO of the mutant carrying the PSHAa2217 gene were analysed. The ferric form of Ph-2/2HbO-2217 is able to catalyse peroxynitrite isomerisation in vitro, indicating its potential role in the scavenging of reactive nitrogen species. Here we present in vitro evidence for the detoxification of NO by Ph-2/2HbO-2217.</t>
  </si>
  <si>
    <t>[Coppola, Daniela; Giordano, Daniela; di Prisco, Guido; Verde, Cinzia] CNR, Inst Biosci &amp; BioResources IBBR, Via Pietro Castellino 111, I-80131 Naples, Italy; [Giordano, Daniela; Verde, Cinzia] Stn Zool Anton Dohrn, Naples, Italy; [Milazzo, Lisa; Howes, Barry D.; Smulevich, Giulietta] Univ Firenze, Dept Chem Ugo Schiff, Via Lastruccia 3-13, I-50019 Sesto Fiorentino, Fi, Italy; [Ascenzi, Paolo] Roma Tre Univ, Interdept Lab Electron Microscopy, Via Vasca Navale 79, I-00146 Rome, Italy; [Poole, Robert K.] Univ Sheffield, Dept Mol Biol &amp; Biotechnol, Sheffield S10 2TN, S Yorkshire, England; [Verde, Cinzia] Roma Tre Univ, Dept Biol, Viale Marconi 448, I-00146 Rome, Italy</t>
  </si>
  <si>
    <t>Consiglio Nazionale delle Ricerche (CNR); Istituto di Bioscienze e Biorisorse (IBBR-CNR); Stazione Zoologica Anton Dohrn di Napoli; University of Florence; Roma Tre University; University of Sheffield; Roma Tre University</t>
  </si>
  <si>
    <t>Verde, C (corresponding author), CNR, Inst Biosci &amp; BioResources IBBR, Via Pietro Castellino 111, I-80131 Naples, Italy.</t>
  </si>
  <si>
    <t>c.verde@ibp.cnr.it</t>
  </si>
  <si>
    <t>Giordano, Daniela/AFK-7772-2022; Coppola, Daniela/ABG-4430-2020</t>
  </si>
  <si>
    <t>Giordano, Daniela/0000-0002-8891-6245; VERDE, Cinzia/0000-0001-6185-282X; Smulevich, Giulietta/0000-0003-3021-8919; Coppola, Daniela/0000-0001-6699-8967</t>
  </si>
  <si>
    <t>Italian National Programme for Antarctic Research (PNRA) [PdR 2013/AZ1.20]</t>
  </si>
  <si>
    <t>Italian National Programme for Antarctic Research (PNRA)</t>
  </si>
  <si>
    <t>This study is in the framework of the SCAR programme Antarctic Thresholds - Ecosystem Resilience and Adaptation (AnT-ERA). It was financially supported by the Italian National Programme (PdR 2013/AZ1.20) for Antarctic Research (PNRA). We thank Alessandra Di Masi who kindly helped for statistics. We are grateful to two anonymous Reviewers, whose comments and suggestions greatly helped us to improve the quality of this paper.</t>
  </si>
  <si>
    <t>1089-8603</t>
  </si>
  <si>
    <t>1089-8611</t>
  </si>
  <si>
    <t>NITRIC OXIDE-BIOL CH</t>
  </si>
  <si>
    <t>Nitric Oxide-Biol. Chem.</t>
  </si>
  <si>
    <t>10.1016/j.niox.2017.12.006</t>
  </si>
  <si>
    <t>Biochemistry &amp; Molecular Biology; Cell Biology</t>
  </si>
  <si>
    <t>FX0CH</t>
  </si>
  <si>
    <t>WOS:000425706800005</t>
  </si>
  <si>
    <t>Montpellier, EE; Soulé, PT; Knapp, PA; Shelly, JS</t>
  </si>
  <si>
    <t>Montpellier, Evan E.; Soule, Peter T.; Knapp, Paul A.; Shelly, J. Stephen</t>
  </si>
  <si>
    <t>Divergent growth rates of alpine larch trees (Larix lyallii Parl.) in response to microenvironmental variability</t>
  </si>
  <si>
    <t>Alpine larch; aspect; divergence problem; growth divergence; Montana</t>
  </si>
  <si>
    <t>TEMPERATURE SENSITIVITY; SUMMER TEMPERATURE; EUROPEAN ALPS; CLIMATE; FORESTS</t>
  </si>
  <si>
    <t>In this study we explore radial growth rates and climatic responses of alpine larch trees (Larix lyallii Parl.) growing in high elevations of the northern Rocky Mountains of Montana, USA. We examine responses between two stands of alpine larch that are separated by less than one kilometer and are growing at similar elevations, but with different aspects. Radial growth rates from trees sampled on the southern aspect of Trapper Peak (TPS) were largely controlled by January snow-water equivalent, while summer maximum temperature was the principal radial-growth driver for trees sampled on the northern aspect of Trapper Peak (TPN). Following the coldest summer (1993) in the century-long instrumental climate record, the radial growth at TPN became greater than at TPS and was the reverse of what occurred pre-1993. We posit that an upward trend in maximum summer temperature is preferentially benefitting the trees growing on the north-facing TPN site by extending the growing season and causing earlier snowmelt, and this has caused the growth rate divergence during the past two decades. As such, our study illustrates that the growth-divergence phenomenon noted in other high-elevation species, whereby macroenvironmental changes are eliciting responses at the microenvironmental level, occurs within stands of alpine larch growing in western Montana.</t>
  </si>
  <si>
    <t>[Montpellier, Evan E.; Soule, Peter T.] Appalachian State Univ, Dept Geog &amp; Planning, Boone, NC 28608 USA; [Knapp, Paul A.] Univ North Carolina Greensboro, Dept Geog, Greensboro, NC USA; [Shelly, J. Stephen] US Forest Serv, USDA, Renewable Resources Management, Missoula, MT USA</t>
  </si>
  <si>
    <t>University of North Carolina; Appalachian State University; University of North Carolina; University of North Carolina Greensboro; United States Department of Agriculture (USDA); United States Forest Service</t>
  </si>
  <si>
    <t>Montpellier, EE (corresponding author), Appalachian State Univ, Dept Geog &amp; Planning, Boone, NC 28608 USA.</t>
  </si>
  <si>
    <t>montpellieree@appstate.edu</t>
  </si>
  <si>
    <t>Appalachian State University; University of North Carolina-Greensboro; Appalachian State University Undergraduate Research Assistantship</t>
  </si>
  <si>
    <t>This study was supported by internal grants from Appalachian State University and the University of North Carolina-Greensboro and by an Appalachian State University Undergraduate Research Assistantship.</t>
  </si>
  <si>
    <t>FEB 27</t>
  </si>
  <si>
    <t>e1415626</t>
  </si>
  <si>
    <t>10.1080/15230430.2017.1415626</t>
  </si>
  <si>
    <t>GN1ED</t>
  </si>
  <si>
    <t>WOS:000438727400001</t>
  </si>
  <si>
    <t>Li, F; Newman, P; Pawson, S; Perlwitz, J</t>
  </si>
  <si>
    <t>Li, Feng; Newman, Paul; Pawson, Steven; Perlwitz, Judith</t>
  </si>
  <si>
    <t>Effects of Greenhouse Gas Increase and Stratospheric Ozone Depletion on Stratospheric Mean Age of Air in 1960-2010</t>
  </si>
  <si>
    <t>BREWER-DOBSON CIRCULATION; CHEMISTRY-CLIMATE MODEL; 21ST-CENTURY; STRENGTH; TRENDS</t>
  </si>
  <si>
    <t>The relative impacts of greenhouse gas (GHG) increase and stratospheric ozone depletion on stratospheric mean age of air in the 1960-2010 period are quantified using the Goddard Earth Observing System Chemistry-Climate Model. The experiment compares controlled simulations using a coupled atmosphere-ocean version of the Goddard Earth Observing System Chemistry-Climate Model, in which either GHGs or ozone depleting substances, or both factors evolve over time. The model results show that GHGs and ozone depleting substances have about equal contributions to the simulated mean age decrease, but GHG increases account for about two thirds of the enhanced strength of the lower stratospheric residual circulation. It is also found that both the acceleration of the diabatic circulation and the decrease of the mean age difference between downwelling and upwelling regions are mainly caused by GHG forcing. The results show that ozone depletion causes an increase in the mean age of air in the Antarctic summer lower stratosphere through two processes: (1) a seasonal delay in the Antarctic polar vortex breakup that inhibits young midlatitude air from mixing with the older air inside the vortex, and (2) enhanced Antarctic downwelling that brings older air from middle and upper stratosphere into the lower stratosphere.</t>
  </si>
  <si>
    <t>[Li, Feng] Univ Space Res Assoc, Columbia, MD 21046 USA; [Li, Feng; Newman, Paul; Pawson, Steven] NASA, Goddard Space Flight Ctr, Greenbelt, MD 20771 USA; [Perlwitz, Judith] Univ Colorado, Cooperat Inst Res Environm Sci, Boulder, CO 80309 USA; [Perlwitz, Judith] NOAA, Div Phys Sci, Earth Syst Res Lab, Boulder, CO USA</t>
  </si>
  <si>
    <t>Universities Space Research Association (USRA); National Aeronautics &amp; Space Administration (NASA); NASA Goddard Space Flight Center; University of Colorado System; University of Colorado Boulder; National Oceanic Atmospheric Admin (NOAA) - USA</t>
  </si>
  <si>
    <t>Li, F (corresponding author), Univ Space Res Assoc, Columbia, MD 21046 USA.;Li, F (corresponding author), NASA, Goddard Space Flight Ctr, Greenbelt, MD 20771 USA.</t>
  </si>
  <si>
    <t>feng.li@nasa.gov</t>
  </si>
  <si>
    <t>Perlwitz, Judith/B-7201-2008; Li, Feng/H-2241-2012; Pawson, Steven/I-1865-2014; Newman, Paul A./D-6208-2012</t>
  </si>
  <si>
    <t>Perlwitz, Judith/0000-0003-4061-2442; Pawson, Steven/0000-0003-0200-717X; Li, Feng/0000-0002-7928-0775; Newman, Paul A./0000-0003-1139-2508</t>
  </si>
  <si>
    <t>NASA's Modeling, Analysis and Prediction Program (MAP) [NNX13AN98G, NNX13AM24G]; NASA [NNX13AN98G, 466221, NNX13AM24G, 469787] Funding Source: Federal RePORTER</t>
  </si>
  <si>
    <t>NASA's Modeling, Analysis and Prediction Program (MAP); NASA(National Aeronautics &amp; Space Administration (NASA))</t>
  </si>
  <si>
    <t>This work was supported by NASA's Modeling, Analysis and Prediction Program (MAP) under grants NNX13AN98G and NNX13AM24G. NASA Center for Climate Simulation (NCCS) provided computational resources for this work. The simulations used in this study are stored in the data-storage facilities at NCCS and are fully available upon a request to F. L. (feng.li@nasa.gov).</t>
  </si>
  <si>
    <t>10.1002/2017JD027562</t>
  </si>
  <si>
    <t>FZ7IR</t>
  </si>
  <si>
    <t>WOS:000427774500013</t>
  </si>
  <si>
    <t>Giongo, GA; Bageston, JV; Batista, PP; Wrasse, CM; Bittencourt, GD; Paulino, I; Leme, NMP; Fritts, DC; Janches, D; Hocking, W; Schuch, NJ</t>
  </si>
  <si>
    <t>Giongo, Gabriel Augusto; Bageston, Jose Valentin; Batista, Paulo Prado; Wrasse, Cristiano Max; Bittencourt, Gabriela Dornelles; Paulino, Igo; Paes Leme, Neusa Maria; Fritts, David C.; Janches, Diego; Hocking, Wayne; Schuch, Nelson Jorge</t>
  </si>
  <si>
    <t>Mesospheric front observations by the OH airglow imager carried out at Ferraz Station on King George Island, Antarctic Peninsula, in 2011</t>
  </si>
  <si>
    <t>Atmospheric composition and structure (air-glow and aurora); meteorology and atmospheric dynamics (middle atmosphere dynamics waves and tides)</t>
  </si>
  <si>
    <t>KINETIC TEMPERATURE; LIMB EMISSION; BORE EVENT; GRAVITY; REGION; SEA</t>
  </si>
  <si>
    <t>The main goals of this work are to characterize and investigate the potential wave sources of four mesospheric fronts identified in the hydroxyl near-infrared (OH-NIR) air-glow images, obtained with an all-sky airglow imager installed at Comandante Ferraz Antarctic Station (EACF, as per its Portuguese acronym) located on King George Island in the Antarctic Peninsula. We identified and analyzed four mesospheric fronts in 2011 over King George Island. In addition, we investigate the atmospheric background environment between 80 and 100 km altitude and discuss the ducts and propagation conditions for these waves. For that, we used wind data obtained from a meteor radar operated at EACF and temperature data obtained from the TIMED/SABER satellite. The vertical wavenumber squared, m(2), was calculated for each of the four waves. Even though no clearly defined duct (indicated by positive values of m(2) sandwiched between layers above and below with m(2) &lt; 0) was found in any of the events, favorable propagation conditions for horizontal propagation of the fronts were found in three cases. In the fourth case, the wave front did not find any duct support and it appeared to dissipate near the zenith, transferring energy and momentum to the medium and, consequently, accelerating the wind in the wave propagation direction (near to south) above the OH peak (88-92 km). The likely wave sources for these four cases were investigated by using meteorological satellite images and in two cases we could find that strong instabilities were potential sources, i.e., a cyclonic activity and a large convective cloud cell. In the other two cases it was not possible to associate troposphere sources as potential candidates for the generation of such wave fronts observed in the mesosphere and secondary wave sources were attributed to these cases.</t>
  </si>
  <si>
    <t>[Giongo, Gabriel Augusto; Bageston, Jose Valentin; Schuch, Nelson Jorge] Natl Inst Space Res, Southern Reg Space Res Ctr, BR-97105970 Santa Maria, RS, Brazil; [Giongo, Gabriel Augusto; Bittencourt, Gabriela Dornelles] Univ Fed Santa Maria, BR-97195000 Santa Maria, RS, Brazil; [Batista, Paulo Prado; Wrasse, Cristiano Max] Natl Inst Space Res, Aeron Div, BR-12227010 Sao Jose Dos Campos, SP, Brazil; [Paulino, Igo] Univ Fed Campina Grande, BR-5842990 Campina Grande, PB, Brazil; [Paes Leme, Neusa Maria] Natl Inst Space Res, Northern Reg Ctr, BR-59076740 Natal, RN, Brazil; [Fritts, David C.] Boulder GATS Inc, Boulder, CO 80301 USA; [Janches, Diego] NASA, Goddard Space Flight Ctr, Space Weather Lab, Greenbelt, MD 20771 USA; [Hocking, Wayne] Univ Western Ontario, London, ON N6A 3K7, Canada</t>
  </si>
  <si>
    <t>Instituto Nacional de Pesquisas Espaciais (INPE); Universidade Federal de Santa Maria (UFSM); Instituto Nacional de Pesquisas Espaciais (INPE); Universidade Federal de Campina Grande; Instituto Nacional de Pesquisas Espaciais (INPE); National Aeronautics &amp; Space Administration (NASA); NASA Goddard Space Flight Center; Western University (University of Western Ontario)</t>
  </si>
  <si>
    <t>Giongo, GA (corresponding author), Natl Inst Space Res, Southern Reg Space Res Ctr, BR-97105970 Santa Maria, RS, Brazil.;Giongo, GA (corresponding author), Univ Fed Santa Maria, BR-97195000 Santa Maria, RS, Brazil.</t>
  </si>
  <si>
    <t>gabrielgiongo@hotmail.com; bageston@gmail.com; dave@gats-inc.com</t>
  </si>
  <si>
    <t>Paulino, Igo/H-7806-2012; Wrasse, Cristiano Max/U-6351-2017; BATISTA, PAULO PRADO/C-2616-2009; Bageston, Jose Valentin/F-1269-2018; Schuch, Nelson Jorge/K-9730-2015; Wrasse, Cristiano Max/HRA-3982-2023; Janches, Diego/D-4674-2012</t>
  </si>
  <si>
    <t>Paulino, Igo/0000-0001-9560-1842; BATISTA, PAULO PRADO/0000-0002-5448-5803; Wrasse, Cristiano Max/0000-0001-8026-3625; Bageston, Jose V/0000-0003-2931-8488; Giongo, Gabriel Augusto/0000-0003-4434-7359</t>
  </si>
  <si>
    <t>Brazilian Antarctic Program (PROANTAR/MMA, CNPq) [52.0186/06-0]; INCT-APA (CNPq) [574018/2008-5]; INCT-APA (FAPERJ) [E-16/170.023/2008]; NSF [ATM-0634650]; Brazilian Ministry of Science, Technology and Innovation (MCTIC); Brazilian Ministry of Environment (MMA); Inter-Ministry Commission for Sea Resources (CIRM); FAPESP [2010/06608-2, 2014/1037-4/4]; CNPq [461531/2014-3, 303511/2017-6]; Program of Scientific Initiation of the CNPq at CRS/COCRE/INPE (PIBIC/CNPq-INPE) [139638/2017-2]</t>
  </si>
  <si>
    <t>Brazilian Antarctic Program (PROANTAR/MMA, CNPq); INCT-APA (CNPq)(Conselho Nacional de Desenvolvimento Cientifico e Tecnologico (CNPQ)); INCT-APA (FAPERJ)(Fundacao Carlos Chagas Filho de Amparo a Pesquisa do Estado do Rio De Janeiro (FAPERJ)); NSF(National Science Foundation (NSF)); Brazilian Ministry of Science, Technology and Innovation (MCTIC); Brazilian Ministry of Environment (MMA); Inter-Ministry Commission for Sea Resources (CIRM); FAPESP(Fundacao de Amparo a Pesquisa do Estado de Sao Paulo (FAPESP)); CNPq(Conselho Nacional de Desenvolvimento Cientifico e Tecnologico (CNPQ)); Program of Scientific Initiation of the CNPq at CRS/COCRE/INPE (PIBIC/CNPq-INPE)(Conselho Nacional de Desenvolvimento Cientifico e Tecnologico (CNPQ))</t>
  </si>
  <si>
    <t>This work was partially sponsored by the Brazilian Antarctic Program (PROANTAR/MMA, CNPq process no. 52.0186/06-0), and INCT-APA (CNPq process no. 574018/2008-5 and FAPERJ process no. E-16/170.023/2008). The authors thank the NSF for the grant ATM-0634650 that supported the installation and operation of the meteor radar at Ferraz Station. The authors also acknowledge the support of the Brazilian Ministries of Science, Technology and Innovation (MCTIC), of Environment (MMA) and Inter-Ministry Commission for Sea Resources (CIRM). Jose Valentin Bageston thanks the FAPESP grant nos. 2010/06608-2 and 2014/1037-4/4; Jose Valentin Bageston would also like to acknowledge the CNPq for the grant no. 461531/2014-3. Gabriel Augusto Giongo thanks the Program of Scientific Initiation of the CNPq at CRS/COCRE/INPE (PIBIC/CNPq-INPE), under the process no. 139638/2017-2. Igo Paulino acknowledges the CNPq for the financial support under contract no. 303511/2017-6. The authors are grateful to the TIMED/SABER team for the temperature and OH volume emission rate data used in our analyses.</t>
  </si>
  <si>
    <t>10.5194/angeo-36-253-2018</t>
  </si>
  <si>
    <t>FX6QB</t>
  </si>
  <si>
    <t>WOS:000426209600001</t>
  </si>
  <si>
    <t>Hüne, M; Davis, E; Murcia, S; Gutiérrez, D; Haro, D</t>
  </si>
  <si>
    <t>Hune, Mathias; Davis, Ernesto; Murcia, Silvia; Gutierrez, David; Haro, Daniela</t>
  </si>
  <si>
    <t>Trophic relationships of a subtidal fish assemblage in the Francisco Coloane Coastal Marine Protected Area, southern Chilean Patagonia</t>
  </si>
  <si>
    <t>Notothenioidei; exotic salmonid; trophic level; feeding habits; Magellan region; sub-Antarctic</t>
  </si>
  <si>
    <t>SALMON ONCORHYNCHUS-TSHAWYTSCHA; SPATIAL VARIATION; STABLE-ISOTOPES; FEEDING-HABITS; DIEL ACTIVITY; CHANNELS; POSITION; COMMUNITIES; CARBON; ISLAND</t>
  </si>
  <si>
    <t>A combination of stomach content and nitrogen (delta N-15) and carbon (delta C-13) stable-isotope analysis was used to assess the trophic interactions and feeding habits of three notothenioid coastal fish (Champsocephalus esox, Patagonotothen tessellata and Patagonotothen cornucola) and one exotic salmon species (Oncorhynchus tschawytscha) with diverse life habits (benthic and benthopelagic) in the Francisco Coloane Coastal Marine Protected Area, southern Chile. The stomach contents of C. esox were mainly fish; those of P. cornucola and O. tschawytscha were crustacean decapods, Munida gregaria. A cluster analysis on isotope data and stable-isotope Bayesian ellipses detected two different predator groups, one with benthopelagic habits (C. esox and O. tshawytscha) and one with benthic habits (P. cornucola and P. tessellata). These results were supported with similar isotopic trophic level of each group. We suggest that the exotic salmon O. tschawytscha is a generalist predator with a broad trophic niche that may compete with the native notothenioid C. esox, as both have equivalent trophic levels with substantial overlap. This preliminary study is the first on trophic relationships of a subtidal fish assemblage within a remote ecosystem of fjords and channels in Chile's southern Patagonia.</t>
  </si>
  <si>
    <t>[Hune, Mathias] Fdn Ictiol, Santiago, Chile; [Davis, Ernesto] Ctr Estudios Cuaternario Fuego Patagonia &amp; Antart, Punta Arenas, Chile; [Murcia, Silvia] Univ Magallanes, Lab Ecosistemas Marinos Antarticos &amp; Subantartico, Punta Arenas, Chile; [Gutierrez, David] Fdn Integrac Patrimonio Nat &amp; Cultural, Santiago, Chile; [Haro, Daniela] Univ Chile, Lab Ecofisiol &amp; Ecol Isotop, Santiago, Chile</t>
  </si>
  <si>
    <t>Universidad de Magallanes; Universidad de Chile</t>
  </si>
  <si>
    <t>Hüne, M (corresponding author), Pedro Valdivia 2086-406, Santiago 7511284, Chile.</t>
  </si>
  <si>
    <t>mhune@fundacionictiologica.org</t>
  </si>
  <si>
    <t>Haro, Daniela/AAO-5242-2020; Hüne, Mathias/ABE-6000-2020</t>
  </si>
  <si>
    <t>Haro, Daniela/0000-0002-9391-1262</t>
  </si>
  <si>
    <t>Chile's National Commission for Scientific and Technological Research (CONICYT) Regional Program (Programa Regional) and Linking Science; Enterprise Project (Proyecto de Vinculacion Ciencia-Empresa) [CONICYT-VCE 5N000003]</t>
  </si>
  <si>
    <t>Chile's National Commission for Scientific and Technological Research (CONICYT) Regional Program (Programa Regional) and Linking Science; Enterprise Project (Proyecto de Vinculacion Ciencia-Empresa)</t>
  </si>
  <si>
    <t>This study was funded by Chile's National Commission for Scientific and Technological Research (CONICYT) Regional Program (Programa Regional) and Linking Science and the Enterprise Project (Proyecto de Vinculacion Ciencia-Empresa), project number CONICYT-VCE 5N000003.</t>
  </si>
  <si>
    <t>10.1080/17518369.2018.1435107</t>
  </si>
  <si>
    <t>FX5VC</t>
  </si>
  <si>
    <t>WOS:000426148800001</t>
  </si>
  <si>
    <t>Shaffer, G; Lambert, F</t>
  </si>
  <si>
    <t>Shaffer, Gary; Lambert, Fabrice</t>
  </si>
  <si>
    <t>In and out of glacial extremes by way of dust-climate feedbacks</t>
  </si>
  <si>
    <t>dust forcing; glacial-interglacial climate cycles; carbon cycling; Earth system modeling</t>
  </si>
  <si>
    <t>ATMOSPHERIC CO2; DOME-C; TEMPERATURE RECONSTRUCTIONS; IRON FERTILIZATION; MINERAL AEROSOLS; SOUTHERN-OCEAN; ANTARCTIC ICE; AEOLIAN DUST; MULTI-PROXY; RECORD</t>
  </si>
  <si>
    <t>Mineral dust aerosols cool Earth directly by scattering incoming solar radiation and indirectly by affecting clouds and biogeochemical cycles. Recent Earth history has featured quasi-100,000-y, glacial-interglacial climate cycles with lower/higher temperatures and greenhouse gas concentrations during glacials/interglacials. Global average, glacial maxima dust levels were more than 3 times higher than during interglacials, thereby contributing to glacial cooling. However, the timing, strength, and overall role of dust-climate feedbacks over these cycles remain unclear. Here we use dust deposition data and temperature reconstructions from ice sheet, ocean sediment, and land archives to construct dust-climate relationships. Although absolute dust deposition rates vary greatly among these archives, they all exhibit striking, nonlinear increases toward coldest glacial conditions. From these relationships and reconstructed temperature time series, we diagnose glacial-interglacial time series of dust radiative forcing and iron fertilization of ocean biota, and use these time series to force Earth system model simulations. The results of these simulations show that dust-climate feedbacks, perhaps set off by orbital forcing, push the system in and out of extreme cold conditions such as glacial maxima. Without these dust effects, glacial temperature and atmospheric CO2 concentrations would have been much more stable at higher, intermediate glacial levels. The structure of residual anomalies over the glacial-interglacial climate cycles after subtraction of dust effects provides constraints for the strength and timing of other processes governing these cycles.</t>
  </si>
  <si>
    <t>[Shaffer, Gary] Univ Magallanes, GAIA Antartica Res Ctr, Punta Arenas, Chile; [Shaffer, Gary] Univ Copenhagen, Niels Bohr Inst, DK-2100 Copenhagen OE, Denmark; [Lambert, Fabrice] Pontificia Univ Catolica Chile, Dept Phys Geog, Santiago, Chile; [Lambert, Fabrice] Univ Chile, Ctr Climate &amp; Resilience Res, Santiago, Chile</t>
  </si>
  <si>
    <t>Universidad de Magallanes; University of Copenhagen; Niels Bohr Institute; Pontificia Universidad Catolica de Chile; Universidad de Chile</t>
  </si>
  <si>
    <t>Shaffer, G (corresponding author), Univ Magallanes, GAIA Antartica Res Ctr, Punta Arenas, Chile.;Shaffer, G (corresponding author), Univ Copenhagen, Niels Bohr Inst, DK-2100 Copenhagen OE, Denmark.</t>
  </si>
  <si>
    <t>gary.shaffer.chile@gmail.com</t>
  </si>
  <si>
    <t>Lambert, Fabrice/M-2003-2014; Shaffer, Gary/M-8145-2017</t>
  </si>
  <si>
    <t>Lambert, Fabrice/0000-0002-2192-024X; Shaffer, Gary/0000-0002-2494-3471</t>
  </si>
  <si>
    <t>(Chilean) Millennium Science Initiative [NC120066]; (Chilean) Fondo Nacional de Desarrollo Cientifico y Tecnologico (FONDECYT) [1150913]; FONDECYT [1151427]; (Chilean) Comision Nacional de Investigacion Cientifica y Tecnologia [15110009, ACT1410]</t>
  </si>
  <si>
    <t>(Chilean) Millennium Science Initiative; (Chilean) Fondo Nacional de Desarrollo Cientifico y Tecnologico (FONDECYT)(Comision Nacional de Investigacion Cientifica y Tecnologica (CONICYT)CONICYT FONDECYT); FONDECYT(Comision Nacional de Investigacion Cientifica y Tecnologica (CONICYT)CONICYT FONDECYT); (Chilean) Comision Nacional de Investigacion Cientifica y Tecnologia</t>
  </si>
  <si>
    <t>This research was supported by (Chilean) Millennium Science Initiative Grant NC120066. G.S. acknowledges support by (Chilean) Fondo Nacional de Desarrollo Cientifico y Tecnologico (FONDECYT) Grant 1150913, and F.L. acknowledges support by FONDECYT Grant 1151427 and Grants 15110009 and ACT1410 from (Chilean) Comision Nacional de Investigacion Cientifica y Tecnologia.</t>
  </si>
  <si>
    <t>10.1073/pnas.1708174115</t>
  </si>
  <si>
    <t>FX5WE</t>
  </si>
  <si>
    <t>WOS:000426152500047</t>
  </si>
  <si>
    <t>Bao, T; Zhu, RB; Wang, P; Ye, WJ; Ma, DW; Xu, H</t>
  </si>
  <si>
    <t>Bao, Tao; Zhu, Renbin; Wang, Pei; Ye, Wenjuan; Ma, Dawei; Xu, Hua</t>
  </si>
  <si>
    <t>Potential effects of ultraviolet radiation reduction on tundra nitrous oxide and methane fluxes in maritime Antarctica</t>
  </si>
  <si>
    <t>UV-B-RADIATION; STRATOSPHERIC OZONE; CARBON-DIOXIDE; CH4 EMISSIONS; N2O; SOIL; CO2; ECOSYSTEMS; SPHAGNUM; MICROORGANISMS</t>
  </si>
  <si>
    <t>Stratospheric ozone has begun to recover in Antarctica since the implementation of the Montreal Protocol. However, the effects of ultraviolet (UV) radiation on tundra greenhouse gas fluxes are rarely reported for Polar Regions. In the present study, tundra N2O and CH4 fluxes were measured under the simulated reduction of UV radiation in maritime Antarctica over the last three-year summers. Significantly enhanced N2O and CH4 emissions occurred at tundra sites under the simulated reduction of UV radiation. Compared with the ambient normal UV level, a 20% reduction in UV radiation increased tundra emissions by an average of 8 mu g N2O m(-2) h(-1) and 93 mu g CH4 m(-2) h(-1), whereas a 50% reduction in UV radiation increased their emissions by an average of 17 mu g N2O m(-2) h(-1) and 128 mu g CH4 m(-2) h(-1). No statistically significant correlation (P &gt; 0.05) was found between N2O and CH4 fluxes and soil temperature, soil moisture, total carbon, total nitrogen, NO3--N and NH4+-N contents. Our results confirmed that UV radiation intensity is an important factor affecting tundra N2O and CH4 fluxes in maritime Antarctica. Exclusion of the effects of reduced UV radiation might underestimate their budgets in Polar Regions with the recovery of stratospheric ozone.</t>
  </si>
  <si>
    <t>[Bao, Tao; Zhu, Renbin; Wang, Pei; Ye, Wenjuan; Ma, Dawei] Univ Sci &amp; Technol China, Sch Earth &amp; Space Sci, Anhui Prov Key Lab Polar Environm &amp; Global Change, Hefei 230036, Anhui, Peoples R China; [Xu, Hua] Chinese Acad Sci, Inst Soil Sci, State Key Lab Soil &amp; Sustainable Agr, Nanjing 210008, Jiangsu, Peoples R China</t>
  </si>
  <si>
    <t>Chinese Academy of Sciences; University of Science &amp; Technology of China, CAS; Chinese Academy of Sciences; Nanjing Institute of Soil Science, CAS</t>
  </si>
  <si>
    <t>Zhu, RB (corresponding author), Univ Sci &amp; Technol China, Sch Earth &amp; Space Sci, Anhui Prov Key Lab Polar Environm &amp; Global Change, Hefei 230036, Anhui, Peoples R China.</t>
  </si>
  <si>
    <t>zhurb@ustc.edu.cn</t>
  </si>
  <si>
    <t>Bao, Tao/AAU-4944-2021</t>
  </si>
  <si>
    <t>Bao, Tao/0000-0003-0262-6333</t>
  </si>
  <si>
    <t>National Natural Sciences Foundation of China [41776190, 41576181]</t>
  </si>
  <si>
    <t>National Natural Sciences Foundation of China(National Natural Science Foundation of China (NSFC))</t>
  </si>
  <si>
    <t>This work was funded in part by the National Natural Sciences Foundation of China (Grant No. 41776190; 41576181). We thank Dr. Chuangneng Lou and other members of Chinese Antarctic Research Expedition for field support in gas sampling and also thank Prof. Shaocai Yu and six anonymous reviewers for their comments.</t>
  </si>
  <si>
    <t>10.1038/s41598-018-21881-1</t>
  </si>
  <si>
    <t>FX5VY</t>
  </si>
  <si>
    <t>WOS:000426151800049</t>
  </si>
  <si>
    <t>Price, HC; Baustian, KJ; McQuaid, JB; Blyth, A; Bower, KN; Choularton, T; Cotton, RJ; Cui, Z; Field, PR; Gallagher, M; Hawker, R; Merrington, A; Miltenberger, A; Neely, RR; Parker, ST; Rosenberg, PD; Taylor, JW; Trembath, J; Vergara-Temprado, J; Whale, TF; Wilson, TW; Young, G; Murray, BJ</t>
  </si>
  <si>
    <t>Price, H. C.; Baustian, K. J.; McQuaid, J. B.; Blyth, A.; Bower, K. N.; Choularton, T.; Cotton, R. J.; Cui, Z.; Field, P. R.; Gallagher, M.; Hawker, R.; Merrington, A.; Miltenberger, A.; Neely, R. R., III; Parker, S. T.; Rosenberg, P. D.; Taylor, J. W.; Trembath, J.; Vergara-Temprado, J.; Whale, T. F.; Wilson, T. W.; Young, G.; Murray, B. J.</t>
  </si>
  <si>
    <t>Atmospheric Ice-Nucleating Particles in the Dusty Tropical Atlantic</t>
  </si>
  <si>
    <t>MIXED-PHASE CLOUDS; MINERAL DUST; SAHARAN DUST; CONVECTIVE CLOUDS; IMMERSION MODE; NORTH-ATLANTIC; DESERT DUST; NUCLEI; FELDSPAR; AEROSOL</t>
  </si>
  <si>
    <t>Desert dust is one of the most important atmospheric ice-nucleating aerosol species around the globe. However, there have been very few measurements of ice-nucleating particle (INP) concentrations in dusty air close to desert sources. In this study we report the concentration of INPs in dust laden air over the tropical Atlantic within a few days' transport of one of the world's most important atmospheric sources of desert dust, the Sahara. These measurements were performed as part of the Ice in Clouds Experiment-Dust campaign based in Cape Verde, during August 2015. INP concentrations active in the immersion mode, determined using a droplet-on-filter technique, ranged from around 102 m(-3) at -12 degrees C to around 105 m(-3) at similar to 23 degrees C. There is about 2 orders of magnitude variability in INP concentration for a particular temperature, which is determined largely by the variability in atmospheric dust loading. These measurements were made at altitudes from 30 to 3,500 m in air containing a range of dust loadings. The ice active site density (n(s)) for desert dust dominated aerosol derived from our measurements agrees with several laboratory-based parameterizations for ice nucleation by desert dust within 1 to 2 orders of magnitude. The small variability in n(s) values determined from our measurements (within about 1 order of magnitude) is striking given that the back trajectory analysis suggests that the sources of dust were geographically diverse. This is consistent with previous work, which indicates that desert dust's ice-nucleating activity is only weakly dependent on source.</t>
  </si>
  <si>
    <t>[Price, H. C.; Baustian, K. J.; McQuaid, J. B.; Blyth, A.; Cui, Z.; Field, P. R.; Hawker, R.; Merrington, A.; Miltenberger, A.; Neely, R. R., III; Rosenberg, P. D.; Vergara-Temprado, J.; Whale, T. F.; Wilson, T. W.; Murray, B. J.] Univ Leeds, Sch Earth &amp; Environm, Leeds, W Yorkshire, England; [Price, H. C.; Trembath, J.] Facil Airborne Atmospher Measurements, Cranfield, Beds, England; [Price, H. C.; Blyth, A.; Neely, R. R., III] Univ Leeds, NCAS, Leeds, W Yorkshire, England; [Bower, K. N.; Choularton, T.; Gallagher, M.; Taylor, J. W.; Young, G.] Univ Manchester, Sch Earth &amp; Environm Sci, Ctr Atmospher Sci, Manchester, Lancs, England; [Cotton, R. J.; Field, P. R.] UK Met Off, Exeter, Devon, England; [Parker, S. T.] Def Sci &amp; Technol Lab, Salisbury, Wilts, England; [Young, G.] British Antarctic Survey, Cambridge, England</t>
  </si>
  <si>
    <t>University of Leeds; University of Leeds; UK Research &amp; Innovation (UKRI); Natural Environment Research Council (NERC); NERC National Centre for Atmospheric Science; University of Manchester; Met Office - UK; Defence Science &amp; Technology Laboratory; UK Research &amp; Innovation (UKRI); Natural Environment Research Council (NERC); NERC British Antarctic Survey</t>
  </si>
  <si>
    <t>Price, HC; Murray, BJ (corresponding author), Univ Leeds, Sch Earth &amp; Environm, Leeds, W Yorkshire, England.;Price, HC (corresponding author), Facil Airborne Atmospher Measurements, Cranfield, Beds, England.;Price, HC (corresponding author), Univ Leeds, NCAS, Leeds, W Yorkshire, England.</t>
  </si>
  <si>
    <t>hapr@faam.ac.uk; b.j.murray@leeds.ac.uk</t>
  </si>
  <si>
    <t>Wilson, Theodore W/H-2793-2015; Rosenberg, Phil/C-7724-2013; Cotton, Richard J/K-2175-2012; Whale, Thomas/C-6205-2015; Cui, Zhiqiang/B-4894-2014; Gallagher, Martin/ABH-7381-2020; Murray, Benjamin/C-1219-2010; Taylor, Jonathan/AAD-2004-2022; Trembath, James/AAP-2659-2020; , Simon/J-1812-2019; Miltenberger, Annette/M-8707-2019; Vergara Temprado, Jesus/T-9569-2018; Price, Hannah/G-1059-2015; Neely III, Ryan R./F-8702-2010; Field, Paul/B-1692-2009; McQuaid, Jim/C-7450-2011</t>
  </si>
  <si>
    <t>Whale, Thomas/0000-0002-1062-2685; Cui, Zhiqiang/0000-0002-0769-8937; Murray, Benjamin/0000-0002-8198-8131; Taylor, Jonathan/0000-0002-2120-186X; , Simon/0000-0002-9451-3987; Miltenberger, Annette/0000-0003-3320-4272; McCusker, Gillian Young/0000-0002-8464-7332; Vergara Temprado, Jesus/0000-0002-3105-0946; Price, Hannah/0000-0002-1608-1592; Gallagher, Martin/0000-0002-4968-6088; Neely III, Ryan R./0000-0003-4560-4812; Bower, Keith/0000-0002-9802-3264; Blyth, Alan/0000-0001-7115-2587; Field, Paul/0000-0001-8528-0088; Choularton, Thomas/0000-0002-0409-4329; McQuaid, Jim/0000-0001-8702-0415; Rosenberg, Phil/0000-0002-6920-0559</t>
  </si>
  <si>
    <t>European Research Counci (ERC) [240449 ICE, 648661 MarineIce]; UK's Natural Environment Research Council (NERC) [NE/K004417/1, NE/I013466/1]; European Union's Seventh Framework Programme [603445, FP7/2007-797 2013]; NERC [ncas10008, NE/H019049/1, NE/K004417/1, ncas10007, NE/M00340X/1, NE/R017026/1, ncas10005, ncas10003, bas0100032, NE/I013466/1] Funding Source: UKRI; Natural Environment Research Council [NE/H019049/1, NE/M00340X/1, NE/K004417/1, ncas10005, ncas10009, ncas10008, ncas10003, bas0100032, NE/I013466/1, NE/R017026/1, ncas10007] Funding Source: researchfish; European Research Council (ERC) [240449] Funding Source: European Research Council (ERC)</t>
  </si>
  <si>
    <t>European Research Counci (ERC); UK's Natural Environment Research Council (NERC)(UK Research &amp; Innovation (UKRI)Natural Environment Research Council (NERC)); European Union's Seventh Framework Programme(European Union (EU)); NERC(UK Research &amp; Innovation (UKRI)Natural Environment Research Council (NERC)); Natural Environment Research Council(UK Research &amp; Innovation (UKRI)Natural Environment Research Council (NERC)); European Research Council (ERC)(European Research Council (ERC)Spanish Government)</t>
  </si>
  <si>
    <t>Airborne data were obtained using the BAe-146-301 Atmospheric Research Aircraft operated by Directflight Ltd (now Airtask) and managed by the Facility for Airborne Atmospheric Measurements (FAAM), which is a joint entity of the Natural Environment Research Council (NERC) and the UK Met Office. We thank all the people involved in the ICE-D campaign, and in particular Lindsay Bennett for her support with the logistics of the project. We thank T. Windross (Leeds) for modifying the filter holder. We thank EUMETSAT for providing MSG SEVIRI images. We acknowledge the Williamson Centre, Manchester, for the use of their microscopy facilities. The authors also gratefully acknowledge the NOAA Air Resources Laboratory (ARL) for the provision of the HYSPLIT transport and dispersion model used in this publication. Murray acknowledges fellowships from the European Research Counci (ERC) (240449 ICE and 648661 MarineIce). We acknowledge the UK's Natural Environment Research Council (NERC) (NE/K004417/1 and NE/I013466/1) and the European Union's Seventh Framework Programme (FP7/2007-797 2013) under grant agreement no 603445 (BACCHUS). Data sets associated with this work are provided in Price et al. (2017) (https://doi.org/10.5518/302).</t>
  </si>
  <si>
    <t>10.1002/2017JD027560</t>
  </si>
  <si>
    <t>WOS:000427774500017</t>
  </si>
  <si>
    <t>Llano, DX; McMahon, RA</t>
  </si>
  <si>
    <t>Llano, Danilo Xavier; McMahon, Richard Anthony</t>
  </si>
  <si>
    <t>Modelling, control and sensorless speed estimation of micro-wind turbines for deployment in Antarctica</t>
  </si>
  <si>
    <t>IET RENEWABLE POWER GENERATION</t>
  </si>
  <si>
    <t>wind turbines; power system simulation; power system control; mathematical analysis; Kalman filters; permanent magnet generators; maximum power point trackers; sensorless speed estimation; micro-wind turbines; Antarctica; British Antarctic Survey; mathematical models; Ampair 100; Rutland 913 wind turbines; wind turbine emulator test rig; analogue speed estimator board; Kalman filter; permanent magnet generator; diode rectifier; DC-DC converters; maximum power point tracking algorithms</t>
  </si>
  <si>
    <t>This study presents the modelling, control and sensorless speed estimation of two micro-wind turbines deployed by the British Antarctic Survey (BAS) in Antarctica. Mathematical models for the generators attached to an Ampair 100 and Rutland 913 wind turbines and their experimental validation are given. A model for the wind turbines, particularly taking into account the power coefficient C-p versus tip speed ratio lambda relationship, was proposed and successfully evaluated on a wind turbine emulator test rig. This study describes an analogue speed estimator board and a Kalman filter for estimating the shaft speed. These estimators use only DC-side measurements to match the characteristics of the current version of the turbine control board. The wind turbine control and speed estimators were tested on the emulator test rig using real wind data from BAS research bases in Antarctica. Using only DC-side measurements leads to low computation requirements to execute the algorithms in comparison with commonly used schemes that rely on AC measurements. The estimation algorithms are based on the model of a permanent magnet generator connected to a diode rectifier, as they can be used in a wider range of applications including DC-DC converters with maximum power point tracking algorithms.</t>
  </si>
  <si>
    <t>[Llano, Danilo Xavier] Univ Cambridge, Elect Engn Div, 9 JJ Thomson Ave, Cambridge CB3 0FA, England; [Llano, Danilo Xavier; McMahon, Richard Anthony] Univ Warwick, WMG, Coventry CV4 7AL, W Midlands, England</t>
  </si>
  <si>
    <t>University of Cambridge; University of Warwick</t>
  </si>
  <si>
    <t>Llano, DX (corresponding author), Univ Cambridge, Elect Engn Div, 9 JJ Thomson Ave, Cambridge CB3 0FA, England.;Llano, DX (corresponding author), Univ Warwick, WMG, Coventry CV4 7AL, W Midlands, England.</t>
  </si>
  <si>
    <t>dxl20@cantab.net</t>
  </si>
  <si>
    <t>Llano, Danilo Xavier/0000-0002-0283-2922</t>
  </si>
  <si>
    <t>Semiconductor Research Corporation (SRC); Texas Analog Center of Excellence (TxACE) through Electronic Systems for Small Wind Turbines Award [1836.069]; Texas Analog Center of Excellence (TxACE) through NERC IAA Knowledge Exchange Award [1836.069]; British Antarctic Survey (BAS)</t>
  </si>
  <si>
    <t>Semiconductor Research Corporation (SRC); Texas Analog Center of Excellence (TxACE) through Electronic Systems for Small Wind Turbines Award; Texas Analog Center of Excellence (TxACE) through NERC IAA Knowledge Exchange Award; British Antarctic Survey (BAS)</t>
  </si>
  <si>
    <t>This research was supported by the Semiconductor Research Corporation (SRC) and the Texas Analog Center of Excellence (TxACE) through the Task ID: 1836.069, Electronic Systems for Small Wind Turbines and NERC IAA Knowledge Exchange Awards in collaboration with the British Antarctic Survey (BAS).</t>
  </si>
  <si>
    <t>INST ENGINEERING TECHNOLOGY-IET</t>
  </si>
  <si>
    <t>HERTFORD</t>
  </si>
  <si>
    <t>MICHAEL FARADAY HOUSE SIX HILLS WAY STEVENAGE, HERTFORD SG1 2AY, ENGLAND</t>
  </si>
  <si>
    <t>1752-1416</t>
  </si>
  <si>
    <t>1752-1424</t>
  </si>
  <si>
    <t>IET RENEW POWER GEN</t>
  </si>
  <si>
    <t>IET Renew. Power Gener.</t>
  </si>
  <si>
    <t>FEB 26</t>
  </si>
  <si>
    <t>10.1049/iet-rpg.2016.0528</t>
  </si>
  <si>
    <t>Green &amp; Sustainable Science &amp; Technology; Energy &amp; Fuels; Engineering, Electrical &amp; Electronic</t>
  </si>
  <si>
    <t>FV3WE</t>
  </si>
  <si>
    <t>WOS:000424501400008</t>
  </si>
  <si>
    <t>George, JV; Nuncio, M; Anilkumar, N; Chacko, R; Rajashekhar, D</t>
  </si>
  <si>
    <t>George, Jenson V.; Nuncio, M.; Anilkumar, N.; Chacko, Racheal; Rajashekhar, D.</t>
  </si>
  <si>
    <t>Seasonal surface chlorophyll a variability in the Seychelles-Chagos Thermocline Ridge</t>
  </si>
  <si>
    <t>Buoyancy flux; chlorophyll a; climatology; wind mixing</t>
  </si>
  <si>
    <t>SOUTH INDIAN-OCEAN; ARABIAN SEA; INTERANNUAL VARIATIONS; MASCARENE PLATEAU; INTERNAL WAVES; CIRCULATION; EVENTS; DOME</t>
  </si>
  <si>
    <t>Seychelles-Chagos Thermocline Ridge (SCTR, 5 degrees-10 degrees S, 50 degrees-75 degrees E) in the southwestern tropical Indian Ocean is a unique area that experiences year-round upwelling. This is a response to the upward Ekman pumping prevalent in the region. Satellite data, model data and objectively analysed Argo temperature/salinity data have been used to study the seasonal surface chlorophyll a (chl a) variability in SCTR. Variability of surface chl a concentration in SCTR showed a weak semiannual signature. The western part of SCTR (WSCTR, 50 degrees-62 degrees E) is characterized by higher chl a concentration than the eastern part (ESCTR, 63 degrees-75 degrees E). Average chl a concentration in WSCTR/ESCTR showed a primary peak in July-August (similar to 0.26/similar to 0.16 mg/m(3)) and a secondary peak in January (similar to 0.14/similar to 0.12 mg/m(3)). Minimum chl a concentration (similar to 0.12/similar to 0.1 mg/m(3)) was observed during March-April and December-January. The high amplitude of chl a variability observed during July-August is associated with weak stratification and deep mixed layer depth (MLD). Deep MLD reaching to nutrient-rich thermocline entrains nutrients to the surface and thereby increases the surface chl a concentration. However, the low surface chl a concentration is a result of shallow MLD in the region. The deep MLD (30-40 m) observed during June-October is dominated by wind mixing and supported by buoyancy mixing. Shallow MLD (&lt;30 m) observed during rest of the year is due to weak wind mixing and high surface buoyancy. The high surface buoyancy is a manifestation of ocean surface warming and presence of low saline surface waters in the SCTR region.</t>
  </si>
  <si>
    <t>[George, Jenson V.; Rajashekhar, D.] Natl Inst Ocean Technol, Madras 600100, Tamil Nadu, India; [Nuncio, M.; Anilkumar, N.; Chacko, Racheal] Natl Ctr Antarctic &amp; Ocean Res, Vasco Da Gama 403804, Goa, India</t>
  </si>
  <si>
    <t>Ministry of Earth Sciences (MoES) - India; National Institute of Ocean Technology (NIOT); Ministry of Earth Sciences (MoES) - India; National Centre for Polar and Ocean Research (NCPOR)</t>
  </si>
  <si>
    <t>George, JV (corresponding author), Natl Inst Ocean Technol, Madras 600100, Tamil Nadu, India.</t>
  </si>
  <si>
    <t>jensonvgeorge@gmail.com</t>
  </si>
  <si>
    <t>George, Jenson/GXH-1342-2022</t>
  </si>
  <si>
    <t>Chacko, Racheal/0000-0002-0205-776X</t>
  </si>
  <si>
    <t>Ministry of Earth Sciences, Government of India</t>
  </si>
  <si>
    <t>Ministry of Earth Sciences, Government of India(Ministry of Earth Science (MoES), Government of India)</t>
  </si>
  <si>
    <t>This study was supported by the Ministry of Earth Sciences, Government of India. We thank the Director, NIOT, Chennai and Director, NCAOR, Goa for support and Dr C. T. Achuthankutty (Visiting Scientists, NCAOR, Goa) for suggestions to improve the manuscript. The Argo data were collected and made available freely by the International Argo Program and the national programmes that contribute to it. This is NCAOR contribution no 29/2017.</t>
  </si>
  <si>
    <t>FEB 25</t>
  </si>
  <si>
    <t>10.18520/cs/v114/i04/868-878</t>
  </si>
  <si>
    <t>FX1CW</t>
  </si>
  <si>
    <t>WOS:000425786600041</t>
  </si>
  <si>
    <t>Takahashi, A; Ito, M; Nagai, K; Thiebot, JB; Mitamura, H; Noda, T; Trathan, PN; Tamura, T; Watanabe, YY</t>
  </si>
  <si>
    <t>Takahashi, Akinori; Ito, Motohiro; Nagai, Kumi; Thiebot, Jean-Baptiste; Mitamura, Hiromichi; Noda, Takuji; Trathan, Phil N.; Tamura, Takeshi; Watanabe, Yuuki Y.</t>
  </si>
  <si>
    <t>Migratory movements and winter diving activity of Adelie penguins in East Antarctica</t>
  </si>
  <si>
    <t>Migration; Southern Ocean; Sea ice; Diving behaviour; Foraging; Bio-logging; Seabird</t>
  </si>
  <si>
    <t>PYGOSCELIS-ADELIAE; SOUTHERN-OCEAN; ECOLOGY; VARIABILITY; SEABIRDS; EMPEROR; BIRD; PREY</t>
  </si>
  <si>
    <t>Seabirds breeding on the Antarctic continent must cope with extreme changes in sea ice cover and day length throughout the year. Adelie penguins are expected to adjust their migratory movements and diving activity to seasonal changes in foraging conditions, but their winter diving activities have not been examined previously. Here, we tracked 18 and 5 Adelie penguins by using geolocators with and without depth sensors, from a colony in East Antarctica over 2 winter seasons. After breeding, all but one penguin migrated westward from March to April, then moved northward from May to August as the sea ice edge extended to the north, then moved southeastward, returning towards the breeding colony. Migratory movements followed sea ice movements and the seasonal extension in this region, which is influenced by the west-flowing Antarctic Slope Current and wind. Penguins dived deeper during winter, reaching a maximum depth of 129 m. The birds dived mostly between civil dawn and dusk, and tended to stay on ice overnight. Diving effort (total time spent underwater per day) did not decline with sea ice concentrations, suggesting that penguins found open water to dive even with &gt;90% sea ice cover. Diving effort was lowest around the winter solstice, but was relatively high before and after the annual moult, and also before the start of breeding when birds presumably needed to accumulate body reserves. Our results highlight how the migratory movement and winter diving activity of Adelie penguins are closely associated with the seasonal polar environment.</t>
  </si>
  <si>
    <t>[Takahashi, Akinori; Ito, Motohiro; Thiebot, Jean-Baptiste; Tamura, Takeshi; Watanabe, Yuuki Y.] Natl Inst Polar Res, Tachikawa, Tokyo 1908518, Japan; [Takahashi, Akinori; Nagai, Kumi; Tamura, Takeshi; Watanabe, Yuuki Y.] SOKENDAI, Dept Polar Sci, Tachikawa, Tokyo 1908518, Japan; [Ito, Motohiro] Toyo Univ, Fac Life Sci, Dept Appl Biosci, Itakura, Gunma 3740193, Japan; [Mitamura, Hiromichi; Noda, Takuji] Kyoto Univ, Grad Sch Informat, Kyoto 6068501, Japan; [Noda, Takuji] Inst Stat Math, Tachikawa, Tokyo 1908518, Japan; [Trathan, Phil N.] British Antarctic Survey, NERC, Cambridge CB3 0ET, England; [Tamura, Takeshi] Univ Tasmania, Antarctic Climate &amp; Ecosyst Cooperat Res Ctr, Hobart, Tas, Australia</t>
  </si>
  <si>
    <t>Research Organization of Information &amp; Systems (ROIS); National Institute of Polar Research (NIPR) - Japan; Toyo University; Kyoto University; Research Organization of Information &amp; Systems (ROIS); Institute of Statistical Mathematics (ISM) - Japan; UK Research &amp; Innovation (UKRI); Natural Environment Research Council (NERC); NERC British Antarctic Survey; Antarctic Climate &amp; Ecosystems Cooperative Research Centre (ACE CRC); University of Tasmania</t>
  </si>
  <si>
    <t>Takahashi, A (corresponding author), Natl Inst Polar Res, Tachikawa, Tokyo 1908518, Japan.;Takahashi, A (corresponding author), SOKENDAI, Dept Polar Sci, Tachikawa, Tokyo 1908518, Japan.</t>
  </si>
  <si>
    <t>atak@nipr.ac.jp</t>
  </si>
  <si>
    <t>Watanabe, Yuuki/D-5079-2012; Noda, Takuji/W-1420-2019</t>
  </si>
  <si>
    <t>Takahashi, Akinori/0000-0002-9868-0408; Watanabe, Yuuki/0000-0001-9731-1769</t>
  </si>
  <si>
    <t>Japanese Antarctic Research Expedition; Japanese Society for the Promotion of Science (JSPS) Kakenhi [20310016, 17H05983]; NERC [bas0100035] Funding Source: UKRI; Grants-in-Aid for Scientific Research [17H04710, 16J05814, 16H04973, 17H05983] Funding Source: KAKEN</t>
  </si>
  <si>
    <t>Japanese Antarctic Research Expedition; Japanese Society for the Promotion of Science (JSPS) Kakenhi(Ministry of Education, Culture, Sports, Science and Technology, Japan (MEXT)Japan Society for the Promotion of ScienceGrants-in-Aid for Scientific Research (KAKENHI)); NERC(UK Research &amp; Innovation (UKRI)Natural Environment Research Council (NERC)); Grants-in-Aid for Scientific Research(Ministry of Education, Culture, Sports, Science and Technology, Japan (MEXT)Japan Society for the Promotion of ScienceGrants-in-Aid for Scientific Research (KAKENHI))</t>
  </si>
  <si>
    <t>We thank the members of the 52nd-54th Japanese Antarctic Research Expeditions and the crew of the Icebreaker 'Shirase' for their support on field logistics. Thanks are also due to Noriaki Kimura for thoughtful discussions about sea ice movement, Rachael Orben and Karine Heerah for useful suggestions about the statistical analyses, and Kozue Shiomi and 3 anonymous reviewers for helpful comments on the manuscript. The fieldwork was conducted under the permission of the Ministry of the Environment, Government of Japan. This work was funded by Japanese Antarctic Research Expedition and Japanese Society for the Promotion of Science (JSPS) Kakenhi grants 20310016 and 17H05983.</t>
  </si>
  <si>
    <t>FEB 23</t>
  </si>
  <si>
    <t>10.3354/meps12438</t>
  </si>
  <si>
    <t>FX7HI</t>
  </si>
  <si>
    <t>WOS:000426258800017</t>
  </si>
  <si>
    <t>Eriksen, R; Trull, TW; Davies, D; Jansen, P; Davidson, AT; Westwood, K; van den Enden, R</t>
  </si>
  <si>
    <t>Eriksen, Ruth; Trull, Thomas W.; Davies, Diana; Jansen, Peter; Davidson, Andrew T.; Westwood, Karen; van den Enden, Rick</t>
  </si>
  <si>
    <t>Seasonal succession of phytoplankton community structure from autonomous sampling at the Australian Southern Ocean Time Series (SOTS) observatory</t>
  </si>
  <si>
    <t>Southern Ocean Time Series; Phytoplankton; Autonomous sampler; Community structure; Phaeocystis</t>
  </si>
  <si>
    <t>POLAR FRONTAL ZONES; SUB-ANTARCTIC ZONE; IRON FERTILIZATION; MIXED-LAYER; CLIMATE-CHANGE; MARINE SNOW; CARBON; EXPORT; DIATOMS; SECTOR</t>
  </si>
  <si>
    <t>Limited knowledge of phytoplankton community structure in the Southern Ocean hampers our understanding of ecosystem function and its response to changes expected this century from anthropogenic CO2 emissions and associated climate warming. To address this gap, we obtained records of phytoplankton community composition and nutrient concentrations, collected at 9-d intervals over the austral production season from September 2010 to April 2011 at the Southern Ocean Time Series observatory (46 degrees 56' S, 142 degrees 15' E) using an autonomous sampler, accompanied by hourly sensor-based estimates of water column structure and light levels. Satellite ocean colour and in situ fluorescence showed a moderate increase in phytoplankton biomass, 4-5 fold, from winter to mid-summer. Total cell number and biovolume increases were larger (up to 80-fold and 40-fold, respectively), reflecting the importance of heterotrophs and smaller organisms. The haptophyte Phaeocystis antarctica dominated abundances (up to 75%), but only constituted a few percent of total biovolume, which was dominated by diatoms and dinoflagellates. Ciliates contributed less than 5% of abundance, while tintinnids were rarer still. Community analysis of species similarities identified 3 distinct clusters, tracking seasonal shallowing of the mixed layer (from 500 to 50 m) and decreased silicate availability (from similar to 4 to &lt; 1 mu M). The diatom: dinoflagellate biovolume ratio decreased more strongly than their abundance ratio, consistent with progression towards small weakly silicified diatoms in summer. Silicoflagellates were associated with elevated winter and spring silicate levels. The overall nitrate/silicate depletion ratio was similar to 2, indicating significant export by the non-diatom community. Exploratory correlative analysis of the biological diversity with environmental conditions suggests mixed layer depth and silicate levels as more likely drivers than inputs from subtropical waters or biomass accumulation.</t>
  </si>
  <si>
    <t>[Eriksen, Ruth; Trull, Thomas W.; Davies, Diana; Jansen, Peter] Antarctic Climate &amp; Ecosyst Cooperat Res Ctr, Private Bag 80, Hobart, Tas 7001, Australia; [Eriksen, Ruth; Trull, Thomas W.] CSIRO Oceans &amp; Atmosphere, Battery Point, Tas 7004, Australia; [Davidson, Andrew T.; Westwood, Karen; van den Enden, Rick] Australian Antarctic Div, 203 Channel Highway, Kingston, Tas 7050, Australia</t>
  </si>
  <si>
    <t>Antarctic Climate &amp; Ecosystems Cooperative Research Centre (ACE CRC); Commonwealth Scientific &amp; Industrial Research Organisation (CSIRO); Australian Antarctic Division</t>
  </si>
  <si>
    <t>Eriksen, R (corresponding author), Antarctic Climate &amp; Ecosyst Cooperat Res Ctr, Private Bag 80, Hobart, Tas 7001, Australia.;Eriksen, R (corresponding author), CSIRO Oceans &amp; Atmosphere, Battery Point, Tas 7004, Australia.</t>
  </si>
  <si>
    <t>ruth.eriksen@csiro.au</t>
  </si>
  <si>
    <t>; Eriksen, Ruth/J-7760-2014</t>
  </si>
  <si>
    <t>Westwood, Karen/0000-0003-1060-7140; Eriksen, Ruth/0000-0002-5184-2465; Davies, Diana M./0000-0001-6304-3938</t>
  </si>
  <si>
    <t>Antarctic Climate &amp; Ecosystems Cooperative Research Centre; CSIRO Oceans and Atmosphere; Bureau of Meteorology; Australian Marine National Facility; Australian Antarctic Division (AAD) [1156, 2256, 4352]; Australian Commonwealth Collaborative Research Centres Program</t>
  </si>
  <si>
    <t>Antarctic Climate &amp; Ecosystems Cooperative Research Centre(Australian GovernmentDepartment of Industry, Innovation and ScienceCooperative Research Centres (CRC) Programme); CSIRO Oceans and Atmosphere; Bureau of Meteorology(Bureau of Meteorology - Australia); Australian Marine National Facility; Australian Antarctic Division (AAD); Australian Commonwealth Collaborative Research Centres Program</t>
  </si>
  <si>
    <t>The Southern Ocean Time Series Observatory is a facility of the Australian Integrated Marine Observing System (www.imos.org.au), and receives additional logistical and financial support from the Antarctic Climate &amp; Ecosystems Cooperative Research Centre, CSIRO Oceans and Atmosphere, Bureau of Meteorology, Australian Marine National Facility, and Australian Antarctic Division (AAD) (AAS Awards 1156, 2256 and 4352 to T. Trull). Participation of the ACE CRC is supported by the Australian Commonwealth Collaborative Research Centres Program. We thank our ACE CRC and CSIRO mooring specialists and the captains and crews of the RV 'Southern Surveyor' and RV 'Aurora Australis' for their efforts during mooring deployment and recovery voyages. Dr Christina Schallenberg (ACE CRC) provided expertise on the adjustment factors for satellite and in situ chlorophyll data. We are grateful to Fiona Scott and Imojen Pearce (AAD) for feedback on identification of Southern Ocean protists, Simon Wright (AAD) for access to L'Astrolabe coccolithophore data, Kerrie Swadling (Institute for Marine and Antarctic Studies) for suggestions on multivariate analysis, Leanne Armand and Andres Rigual-Hernandez (Macquarie University) for many discussions on the SOTS diatom community, Abe Passmore (CSIRO) for mapping the frontal positions, and Val Latham (CSIRO) for nutrient analysis. The manuscript was strengthened considerably by comments from Dr Kristen Karsh, Professor Phil Boyd (both University of Tasmania) and 4 anonymous reviewers.</t>
  </si>
  <si>
    <t>10.3354/meps12420</t>
  </si>
  <si>
    <t>WOS:000426258800002</t>
  </si>
  <si>
    <t>Mevi, G; Muscari, G; Bertagnolio, PP; Fiorucci, I; Pace, G</t>
  </si>
  <si>
    <t>Mevi, Gabriele; Muscari, Giovanni; Bertagnolio, Pietro Paolo; Fiorucci, Irene; Pace, Giandomenico</t>
  </si>
  <si>
    <t>VESPA-22: a ground-based microwave spectrometer for long-term measurements of polar stratospheric water vapor</t>
  </si>
  <si>
    <t>MIAWARA-C; MILLIMETER; RADIOMETER; LINE</t>
  </si>
  <si>
    <t>The new ground-based 22 GHz spectrometer, VESPA-22 (water Vapor Emission Spectrometer for Polar Atmosphere at 22 GHz) measures the 22.23 GHz water vapor emission line with a bandwidth of 500 MHz and a frequency resolution of 31 kHz. The integration time for a measurement ranges from 6 to 24 h, depending on season and weather conditions. Water vapor spectra are collected using the beam-switching technique. VESPA-22 is designed to operate automatically with little maintenance; it employs an un-cooled front-end characterized by a receiver temperature of about 180 K and its quasi-optical system presents a full width at half maximum of 3.5 degrees. Every 30 min VESPA-22 measures also the sky opacity using the tipping curve technique. The instrument calibration is performed automatically by a noise diode; the emission temperature of this element is estimated twice an hour by observing alternatively a black body at ambient temperature and the sky at an elevation of 60 degrees. The retrieved profiles obtained inverting 24 h integration spectra present a sensitivity larger than 0.8 from about 25 to 75 km of altitude during winter and from about 30 to 65 km during summer, a vertical resolution from about 12 to 23 km (depending on altitude), and an overall l sigma uncertainty lower than 7 % up to 60 km altitude and rapidly increasing to 20 % at 75 km.&amp; para;&amp; para;In July 2016, VESPA-22 was installed at the Thule High Arctic Atmospheric Observatory located at Thule Air Base (76.5 degrees N, 68.8 degrees W), Greenland, and it has been operating almost continuously since then. The VESPA-22 water vapor mixing ratio vertical profiles discussed in this work are obtained from 24 h averaged spectra and are compared with version 4.2 of concurrent Aura/Microwave Limb Sounder (MLS) water vapor vertical profiles. In the sensitivity range of VESPA-22 retrievals, the intercomparison from July 2016 to July 2017 between VESPA-22 dataset and Aura/MLS dataset convolved with VESPA-22 averaging kernels shows an average difference within 1.4 % up to 60 km altitude and increasing to about 6 % (0.2 ppmv) at 72 km.</t>
  </si>
  <si>
    <t>[Mevi, Gabriele; Muscari, Giovanni; Bertagnolio, Pietro Paolo; Fiorucci, Irene] Ist Nazl Geofis &amp; Vulcanol, I-00143 Rome 2, Italy; [Mevi, Gabriele] Roma Tre Univ, Math &amp; Phys Dept, I-00146 Rome, Italy; [Pace, Giandomenico] ENEA, Lab Observat &amp; Anal Earth &amp; Climate, I-00123 Rome, Italy; [Bertagnolio, Pietro Paolo] AECOM, Croydon CR0 2AP, England; [Fiorucci, Irene] Ist Paritario Vincenzo Pallotti, I-00122 Rome, Italy</t>
  </si>
  <si>
    <t>Istituto Nazionale Geofisica e Vulcanologia (INGV); Roma Tre University; Italian National Agency New Technical Energy &amp; Sustainable Economics Development</t>
  </si>
  <si>
    <t>Mevi, G (corresponding author), Ist Nazl Geofis &amp; Vulcanol, I-00143 Rome 2, Italy.;Mevi, G (corresponding author), Roma Tre Univ, Math &amp; Phys Dept, I-00146 Rome, Italy.</t>
  </si>
  <si>
    <t>gabriele.mevi@ingv.it</t>
  </si>
  <si>
    <t>Muscari, Giovanni/0000-0001-6326-2612</t>
  </si>
  <si>
    <t>Italian Antarctic Programme (PNRA) - MIUR [2013/C3.03, 2015/B3.01]; Progetto Premiale ARCA</t>
  </si>
  <si>
    <t>Italian Antarctic Programme (PNRA) - MIUR; Progetto Premiale ARCA</t>
  </si>
  <si>
    <t>The development of VESPA-22 and measurements at Thule were supported by the Italian Antarctic Programme (PNRA) funded by MIUR through projects 2013/C3.03 and 2015/B3.01. This study was also partially supported by Progetto Premiale ARCA. Bob de Zafra, Mike Gomez, and Axel Murk helped with the development of VESPA-22 by suggesting useful solutions to technical problems related to the instrument design. We are indebted to them. Additionally, Giovanni Muscari is very thankful to Nik Kampfer and Axel Murk for donating to the VESPA-22 project the firmware that the EFTS is currently employing. We are grateful to Stephan Buehler and Patrick Eriksson for helping with the ARTS software, and to the MLS team of the Jet Propulsion Laboratory for providing access to the Aura/MLS data. We thank Gerald Nedoluha and Axel Murk for their knowledgeable and valuable comments to the manuscript initially submitted.</t>
  </si>
  <si>
    <t>10.5194/amt-11-1099-2018</t>
  </si>
  <si>
    <t>FX3YX</t>
  </si>
  <si>
    <t>WOS:000426010000004</t>
  </si>
  <si>
    <t>Jung, P; Briegel-Williams, L; Simons, A; Thyssen, A; Büdel, B</t>
  </si>
  <si>
    <t>Jung, Patrick; Briegel-Williams, Laura; Simons, Anika; Thyssen, Anne; Buedel, Burkhard</t>
  </si>
  <si>
    <t>Uncovering biological soil crusts: carbon content and structure of intact Arctic, Antarctic and alpine biological soil crusts</t>
  </si>
  <si>
    <t>LASER-SCANNING MICROSCOPY; CYANOBACTERIAL BIOMASS; NITROGEN-FIXATION; GLACIER FORELAND; IMAGE-ANALYSIS; CLIMATE-CHANGE; BACTERIA; POLYSACCHARIDES; VULNERABILITY; BIODIVERSITY</t>
  </si>
  <si>
    <t>Arctic, Antarctic and alpine biological soil crusts (BSCs) are formed by adhesion of soil particles to exopolysaccharides (EPSs) excreted by cyanobacterial and green algal communities, the pioneers and main primary producers in these habitats. These BSCs provide and influence many ecosystem services such as soil erodibility, soil formation and nitrogen (N) and carbon (C) cycles. In cold environments degradation rates are low and BSCs continuously increase soil organic C; therefore, these soils are considered to be CO2 sinks. This work provides a novel, nondestructive and highly comparable method to investigate intact BSCs with a focus on cyanobacteria and green algae and their contribution to soil organic C. A new terminology arose, based on confocal laser scanning microscopy (CLSM) 2-D biomaps, dividing BSCs into a photosynthetic active layer (PAL) made of active photoautotrophic organisms and a photosynthetic inactive layer (PIL) harbouring remnants of cyanobacteria and green algae glued together by their remaining EPSs. By the application of CLSM image analysis (CLSM-IA) to 3-D biomaps, C coming from photosynthetic active organisms could be visualized as depth profiles with C peaks at 0.5 to 2mm depth. Additionally, the CO2 sink character of these cold soil habitats dominated by BSCs could be highlighted, demonstrating that the first cubic centimetre of soil consists of between 7 and 17% total organic carbon, identified by loss on ignition.</t>
  </si>
  <si>
    <t>[Jung, Patrick; Briegel-Williams, Laura; Simons, Anika; Buedel, Burkhard] Univ Kaiserslautern, Biol Inst, Plant Ecol &amp; Systemat, POB 3049, D-67653 Kaiserslautern, Germany; [Thyssen, Anne] Univ Kaiserslautern, Zool Biol Inst, D-67653 Kaiserslautern, Germany</t>
  </si>
  <si>
    <t>University of Kaiserslautern; University of Kaiserslautern</t>
  </si>
  <si>
    <t>Jung, P (corresponding author), Univ Kaiserslautern, Biol Inst, Plant Ecol &amp; Systemat, POB 3049, D-67653 Kaiserslautern, Germany.</t>
  </si>
  <si>
    <t>patrick_jung90@web.de</t>
  </si>
  <si>
    <t>Jung, Patrick/0000-0002-7607-3906; Briegel-Williams, Laura/0000-0003-3926-8840</t>
  </si>
  <si>
    <t>German Research Council (DFG) [KA899/23-1, BE1779/18-1, BU666/17-1]</t>
  </si>
  <si>
    <t>German Research Council (DFG)(German Research Foundation (DFG))</t>
  </si>
  <si>
    <t>The authors thank the crew at the AWIPEV base in Ny-Alesund and those at Juan Carlos I in Livingston for assistance in the field work and technical equipment. The Spanish Antarctic committee also provided essential aid in travel to and from Livingston. Financing and logistical support of the research in Ny-Alesund and Livingston was kindly provided by the German Research Council in the framework of the Priority Programme Antarctic Research 1158 (DFG, KA899/23-1, BE1779/18-1, BU666/17-1). We also want to thank Harald Kelm and his team for guidance during total organic C determinations by loss on ignition.</t>
  </si>
  <si>
    <t>10.5194/bg-15-1149-2018</t>
  </si>
  <si>
    <t>FX3ZT</t>
  </si>
  <si>
    <t>WOS:000426012200003</t>
  </si>
  <si>
    <t>Zhai, YL; Shao, ZZ; Cai, MM; Zheng, LY; Li, GY; Huang, D; Cheng, WL; Thomashow, LS; Weller, DM; Yu, ZN; Zhang, JB</t>
  </si>
  <si>
    <t>Zhai, Yile; Shao, Zongze; Cai, Minmin; Zheng, Longyu; Li, Guangyu; Huang, Dian; Cheng, Wanli; Thomashow, Linda S.; Weller, David M.; Yu, Ziniu; Zhang, Jibin</t>
  </si>
  <si>
    <t>Multiple Modes of Nematode Control by Volatiles of Pseudomonas putida 1A00316 from Antarctic Soil against Meloidogyne incognita</t>
  </si>
  <si>
    <t>Pseudomonas putida 1A00316; Meloidogyne incognita; chemotaxis; egg hatching; volatile organic compound; nematode control</t>
  </si>
  <si>
    <t>ROOT-KNOT NEMATODE; NEMATOCIDAL ACTIVITY; BIOLOGICAL-CONTROL; IDENTIFICATION; CHEMOTAXIS; EXTRACTION; DIVERSITY; MECHANISM; BACTERIA</t>
  </si>
  <si>
    <t>Pseudomonas putida 1A00316 isolated from Antarctic soil showed nematicidal potential for biological control of Meloidogyne incognita; however, little was known about whether strain 1A00316 could produce volatile organic compounds (VOCs), and if they had potential for use in biological control against M. incognita. In this study, VOCs produced by a culture filtrate of P. putida 1A00316 were evaluated by in vitro experiments in three-compartment Petri dishes and 96-well culture plates. Our results showed that M. incognita juveniles gradually reduced their movement within 24-48 h of incubation with mortality ranging from 6.49 to 86.19%, and mostly stopped action after 72 h. Moreover, egg hatching in culture filtrates of strain 1A00316 was much reduced compared to that in sterile distilled water or culture medium. Volatiles from P. putida 1A00316 analysis carried out by solid-phase micro-extraction gas chromatography-mass spectrometry (SPME-GC/MS) included dimethyl-disulfide, 1-undecene, 2-nonanone, 2-octanone, (Z)-hexen-1-ol acetate, 2-undecanone, and 1-(ethenyloxy)-octadecane. Of these, dimethyl-disulfide, 2-nonanone, 2-octanone, (Z)-hexen-1-ol acetate, and 2-undecanone had strong nematicidal activity against M. incognita J2 larvae by direct-contact in 96-well culture plates, and only 2-undecanone acted as a fumigant. In addition, the seven VOCs inhibited egg hatching of M. incognita both by direct-contact and by fumigation. All of the seven VOCs repelled M. incognita J2 juveniles in 2% water agar Petri plates. These results show that VOCs from strain 1A00316 act on different stages in the development of M. incognita via nematicidal, fumigant, and repellent activities and have potential for development as agents with multiple modes of control of root-knot nematodes.</t>
  </si>
  <si>
    <t>[Zhai, Yile; Cai, Minmin; Zheng, Longyu; Huang, Dian; Cheng, Wanli; Yu, Ziniu; Zhang, Jibin] Huazhong Agr Univ, Coll Life Sci &amp; Technol, State Key Lab Agr Microbiol, Wuhan, Hubei, Peoples R China; [Zhai, Yile; Cai, Minmin; Zheng, Longyu; Huang, Dian; Cheng, Wanli; Yu, Ziniu; Zhang, Jibin] Huazhong Agr Univ, Coll Life Sci &amp; Technol, Natl Engn Res Ctr Microbe Pesticides, Wuhan, Hubei, Peoples R China; [Shao, Zongze; Li, Guangyu] State Ocean Adm, Inst Oceanog 3, Key Lab Marine Biogenet Resources, Xiamen, Peoples R China; [Thomashow, Linda S.; Weller, David M.] ARS, Wheat Hlth Genet &amp; Qual Res Unit, USDA, Pullman, WA USA</t>
  </si>
  <si>
    <t>Huazhong Agricultural University; Huazhong Agricultural University; Third Institute of Oceanography, Ministry of Natural Resources; United States Department of Agriculture (USDA)</t>
  </si>
  <si>
    <t>Zhang, JB (corresponding author), Huazhong Agr Univ, Coll Life Sci &amp; Technol, State Key Lab Agr Microbiol, Wuhan, Hubei, Peoples R China.;Zhang, JB (corresponding author), Huazhong Agr Univ, Coll Life Sci &amp; Technol, Natl Engn Res Ctr Microbe Pesticides, Wuhan, Hubei, Peoples R China.</t>
  </si>
  <si>
    <t>zhangjb@mail.hzau.edu.cn</t>
  </si>
  <si>
    <t>Zheng, Longyu/A-9219-2017</t>
  </si>
  <si>
    <t>Fundamental Research Funds for the Central Universities, China [2662016PY110]; National Basic Research Program of China (973) [2013CB127504, 2015CB150506]</t>
  </si>
  <si>
    <t>Fundamental Research Funds for the Central Universities, China(Fundamental Research Funds for the Central Universities); National Basic Research Program of China (973)(National Basic Research Program of China)</t>
  </si>
  <si>
    <t>This work was supported by the Fundamental Research Funds for the Central Universities, China (grant no. 2662016PY110) and grants (2013CB127504 and 2015CB150506) from the National Basic Research Program of China (973).</t>
  </si>
  <si>
    <t>10.3389/fmicb.2018.00253</t>
  </si>
  <si>
    <t>FX3CR</t>
  </si>
  <si>
    <t>WOS:000425948100001</t>
  </si>
  <si>
    <t>Van Goethem, MW; Pierneef, R; Bezuidt, OKI; Van De Peer, Y; Cowan, DA; Makhalanyane, TP</t>
  </si>
  <si>
    <t>Van Goethem, Marc W.; Pierneef, Rian; Bezuidt, Oliver K. I.; Van De Peer, Yves; Cowan, Don A.; Makhalanyane, Thulani P.</t>
  </si>
  <si>
    <t>1 A reservoir of 'historical' antibiotic resistance genes in remote pristine Antarctic soils</t>
  </si>
  <si>
    <t>Antibiotic resistance genes; Soil resistome; Antarctica; Metagenomics</t>
  </si>
  <si>
    <t>MICROBIAL COMMUNITIES; BETA-LACTAMASES; BACTERIA; RESISTOME; BIOSYNTHESIS; TRANSPORTERS; EVOLUTION; TOOL; DNA</t>
  </si>
  <si>
    <t>Background: Soil bacteria naturally produce antibiotics as a competitive mechanism, with a concomitant evolution, and exchange by horizontal gene transfer, of a range of antibiotic resistance mechanisms. Surveys of bacterial resistance elements in edaphic systems have originated primarily from human-impacted environments, with relatively little information from remote and pristine environments, where the resistome may comprise the ancestral gene diversity. Methods: We used shotgun metagenomics to assess antibiotic resistance gene (ARG) distribution in 17 pristine and remote Antarctic surface soils within the undisturbed Mackay Glacier region. We also interrogated the phylogenetic placement of ARGs compared to environmental ARG sequences and tested for the presence of horizontal gene transfer elements flanking ARGs. Results: In total, 177 naturally occurring ARGs were identified, most of which encoded single or multi-drug efflux pumps. Resistance mechanisms for the inactivation of aminoglycosides, chloramphenicol and beta-lactam antibiotics were also common. Gram-negative bacteria harboured most ARGs (71%), with fewer genes from Gram-positive Actinobacteria and Bacilli (Firmicutes) (9%), reflecting the taxonomic composition of the soils. Strikingly, the abundance of ARGs per sample had a strong, negative correlation with species richness (r=-0.49, P &lt; 0.05). This result, coupled with a lack of mobile genetic elements flanking ARGs, suggests that these genes are ancient acquisitions of horizontal transfer events. Conclusions: ARGs in these remote and uncontaminated soils most likely represent functional efficient historical genes that have since been vertically inherited over generations. The historical ARGs in these pristine environments carry a strong phylogenetic signal and form a monophyletic group relative to ARGs from other similar environments.</t>
  </si>
  <si>
    <t>[Van Goethem, Marc W.; Bezuidt, Oliver K. I.; Van De Peer, Yves; Cowan, Don A.; Makhalanyane, Thulani P.] Univ Pretoria, Dept Biochem Genet &amp; Microbiol, CMEG, Nat Sci Bldg 2,Lynnwood Rd, ZA-0028 Pretoria, South Africa; [Pierneef, Rian] Univ Pretoria, Dept Biochem Genet &amp; Microbiol, Ctr Bioinformat &amp; Computat Biol, Pretoria, South Africa; [Van De Peer, Yves] Univ Ghent, Dept Plant Biotechnol &amp; Bioinformat, B-9052 Ghent, Belgium; [Van De Peer, Yves] VIB, Ctr Plant Syst Biol, B-9052 Ghent, Belgium; [Van De Peer, Yves] Univ Ghent, Bioinformat Inst Ghent, B-9052 Ghent, Belgium</t>
  </si>
  <si>
    <t>University of Pretoria; University of Pretoria; Ghent University; Flanders Institute for Biotechnology (VIB); Ghent University</t>
  </si>
  <si>
    <t>Makhalanyane, TP (corresponding author), Univ Pretoria, Dept Biochem Genet &amp; Microbiol, CMEG, Nat Sci Bldg 2,Lynnwood Rd, ZA-0028 Pretoria, South Africa.</t>
  </si>
  <si>
    <t>Thulani.makhalanyane@up.ac.za</t>
  </si>
  <si>
    <t>Van de Peer, Yves/AAE-7666-2019; Makhalanyane, Thulani P./C-6815-2012; Cowan, Donald A/E-3991-2012; Van Goethem, Marc/AAV-3022-2020; Van Goethem, Marc/IZE-2222-2023; Van Goethem, Marc Warwick/HNC-2411-2023</t>
  </si>
  <si>
    <t>Van de Peer, Yves/0000-0003-4327-3730; Makhalanyane, Thulani P./0000-0002-8173-1678; Cowan, Donald A/0000-0001-8059-861X; Van Goethem, Marc Warwick/0000-0001-8688-3323; Pierneef, Rian/0000-0002-0619-0058; bezuidt, keoagile oliver/0000-0002-1690-9716</t>
  </si>
  <si>
    <t>National Research Foundation of South Africa (NRF) [93074, 97891, 99320]; University of Pretoria Genomics Research Institute (GRI)</t>
  </si>
  <si>
    <t>National Research Foundation of South Africa (NRF)(National Research Foundation - South Africa); University of Pretoria Genomics Research Institute (GRI)</t>
  </si>
  <si>
    <t>We gratefully acknowledge our sources of funding: National Research Foundation of South Africa (NRF) under the following grant numbers (Grant IDs. 93074 (DAC), 97891 (MWVG) and 99320 (TPM)) and the University of Pretoria Genomics Research Institute (GRI). The funders had no input on the design of the study nor the analyses and interpretation of the data.</t>
  </si>
  <si>
    <t>10.1186/s40168-018-0424-5</t>
  </si>
  <si>
    <t>FX8YY</t>
  </si>
  <si>
    <t>WOS:000426382900001</t>
  </si>
  <si>
    <t>Kimmritz, M; Counillon, F; Bitz, CM; Massonnet, F; Bethke, I; Gao, Y</t>
  </si>
  <si>
    <t>Kimmritz, M.; Counillon, F.; Bitz, C. M.; Massonnet, F.; Bethke, I.; Gao, Y.</t>
  </si>
  <si>
    <t>Optimising assimilation of sea ice concentration in an Earth system model with a multicategory sea ice model</t>
  </si>
  <si>
    <t>sea ice; EnKF; strongly coupled assimilation; weakly coupled assimilation; flow-dependent assimilation</t>
  </si>
  <si>
    <t>CLIMATE PREDICTION; NORTH-ATLANTIC; VARIABILITY; THICKNESS; SALINITY; CONFIGURATION; HYDROGRAPHY; TEMPERATURE; CIRCULATION; CALIBRATION</t>
  </si>
  <si>
    <t>A data assimilation method capable of constraining the sea ice of an Earth system model in a dynamically consistent manner has the potential to enhance the accuracy of climate reconstructions and predictions. Finding such a method is challenging because the sea ice dynamics is highly non-linear, and sea ice variables are strongly non-Gaussian distributed and tightly coupled to the rest of the Earth system - particularly thermodynamically with the ocean. We investigate key practical implementations for assimilating sea ice concentration - the predominant source of observations in polar regions - with the Norwegian Climate Prediction Model that combines the Norwegian Earth System Model with the Ensemble Kalman Filter. The performances of the different configurations are investigated by conducting 10-year reanalyses in a perfect model framework. First, we find that with a flow-dependent assimilation method, strongly coupled ocean-sea ice assimilation outperforms weakly coupled (sea ice only) assimilation. An attempt to prescribe the covariance between the ocean temperature and the sea ice concentration performed poorly. Extending the ocean updates below the mixed layer is slightly beneficial for the Arctic hydrography. Second, we find that solving the analysis for the multicategory instead of the aggregated ice state variables greatly reduces the errors in the ice state. Updating the ice volumes induces a weak drift in the bias for the thick ice category that relates to the postprocessing of unphysical thicknesses. Preserving the ice thicknesses for each category during the assimilation mitigates the drift without degrading the performance. The robustness and reliability of the optimal setting is demonstrated for a 20-year reanalysis. The error of sea ice concentration reduces by 50% (65%), sea ice thickness by 25% (35%), sea surface temperature by 33% (23%) and sea surface salinity by 11% (25%) in the Arctic (Antarctic) compared to a reference run without assimilation.</t>
  </si>
  <si>
    <t>[Kimmritz, M.; Counillon, F.; Gao, Y.] Nansen Environm &amp; Remote Sensing Ctr, Bergen, Norway; [Kimmritz, M.; Counillon, F.; Gao, Y.] Bjerknes Ctr Climate Res, Bergen, Norway; [Bitz, C. M.] Univ Washington, Dept Atmospher Sci, Seattle, WA 98195 USA; [Massonnet, F.] UCL, Georges Lemaitre Ctr Earth &amp; Climate Res TECLIM, ELI, Louvain La Neuve, Belgium; [Massonnet, F.] Barcelona Supercomp Ctr, Dept Earth Sci, Barcelona, Spain; [Bethke, I.] Bjerknes Ctr Climate Res, Uni Res Climate, Bergen, Norway</t>
  </si>
  <si>
    <t>Nansen Environmental &amp; Remote Sensing Center (NERSC); Bjerknes Centre for Climate Research; University of Washington; University of Washington Seattle; Universite Catholique Louvain; Universitat Politecnica de Catalunya; Barcelona Supercomputer Center (BSC-CNS); Bjerknes Centre for Climate Research</t>
  </si>
  <si>
    <t>Kimmritz, M (corresponding author), Nansen Environm &amp; Remote Sensing Ctr, Bergen, Norway.;Kimmritz, M (corresponding author), Bjerknes Ctr Climate Res, Bergen, Norway.</t>
  </si>
  <si>
    <t>madlen.kimmritz@nersc.no</t>
  </si>
  <si>
    <t>Kimmritz, Madlen/C-6087-2019; Bitz, Cecilia M/S-8423-2016; gao, yongqi/N-9347-2014; Bethke, Ingo/I-1339-2018</t>
  </si>
  <si>
    <t>Kimmritz, Madlen/0000-0002-6536-0221; Bethke, Ingo/0000-0002-6836-9838; Counillon, Francois/0000-0002-6412-3806</t>
  </si>
  <si>
    <t>Norwegian Research Council under the KLIMAFORSK research program (SNOWGLACE) [244166]; NORKLIMA research program (EPOCASA) [229774/E10]; NordForsk research program Arctic Climate Predictions: Pathways to Resilient, Sustainable Societies (ARCPATH) [76654]; Centre for climate dynamics at the Bjerknes Centre; Norwegian Program for supercomputing (NOTUR2) [NN9039K]; NOAA Climate Variability and Predictability Program [NA15OAR 4310161]</t>
  </si>
  <si>
    <t>Norwegian Research Council under the KLIMAFORSK research program (SNOWGLACE)(Research Council of Norway); NORKLIMA research program (EPOCASA); NordForsk research program Arctic Climate Predictions: Pathways to Resilient, Sustainable Societies (ARCPATH)(NordForsk); Centre for climate dynamics at the Bjerknes Centre; Norwegian Program for supercomputing (NOTUR2); NOAA Climate Variability and Predictability Program(National Oceanic Atmospheric Admin (NOAA) - USA)</t>
  </si>
  <si>
    <t>This work was partly supported by the Norwegian Research Council under the KLIMAFORSK research program (SNOWGLACE, 244166), the NORKLIMA research program (EPOCASA; 229774/E10), the NordForsk research program Arctic Climate Predictions: Pathways to Resilient, Sustainable Societies (ARCPATH, 76654) and the Centre for climate dynamics at the Bjerknes Centre. This work has also received a grant for computer time from the Norwegian Program for supercomputing (NOTUR2, NN9039K) and a storage grant (NORSTORE, NS9039k). Cecilia M. Bitz acknowledges support from NOAA Climate Variability and Predictability Program grant NA15OAR 4310161. Francois Massonnet is a FRS - FNRS Post-Doctoral Researcher.</t>
  </si>
  <si>
    <t>FEB 22</t>
  </si>
  <si>
    <t>10.1080/16000870.2018.1435945</t>
  </si>
  <si>
    <t>FY3IW</t>
  </si>
  <si>
    <t>WOS:000426713500001</t>
  </si>
  <si>
    <t>Moreno, PI; Vilanova, I; Villa-Martínez, R; Dunbar, RB; Mucciarone, DA; Kaplan, MR; Garreaud, RD; Rojas, M; Moy, CM; De Pol-Holz, R; Lambert, F</t>
  </si>
  <si>
    <t>Moreno, P. I.; Vilanova, I.; Villa-Martinez, R.; Dunbar, R. B.; Mucciarone, D. A.; Kaplan, M. R.; Garreaud, R. D.; Rojas, M.; Moy, C. M.; De Pol-Holz, R.; Lambert, F.</t>
  </si>
  <si>
    <t>Onset and Evolution of Southern Annular Mode-Like Changes at Centennial Timescale</t>
  </si>
  <si>
    <t>ATMOSPHERIC CO2; HOLOCENE CHANGES; CLIMATE REGIME; ENSO; WESTERLIES; HISTORY; RECORD; SAM; PRECIPITATION; COVARIABILITY</t>
  </si>
  <si>
    <t>The Southern Westerly Winds (SWW) are the surface expression of geostrophic winds that encircle the southern mid-latitudes. In conjunction with the Southern Ocean, they establish a coupled system that not only controls climate in the southern third of the world, but is also closely connected to the position of the Intertropical Convergence Zone and CO2 degassing from the deep ocean. Paradoxically, little is known about their behavior since the last ice age and relationships with mid-latitude glacier history and tropical climate variability. Here we present a lake sediment record from Chilean Patagonia (51 degrees S) that reveals fluctuations of the low-level SWW at mid-latitudes, including strong westerlies during the Antarctic Cold Reversal, anomalously low intensity during the early Holocene, which was unfavorable for glacier growth, and strong SWW since similar to 7.5 ka. We detect nine positive Southern Annular Mode-like events at centennial timescale since similar to 5.8 ka that alternate with cold/wet intervals favorable for glacier expansions (Neoglaciations) in southern Patagonia. The correspondence of key features of mid-latitude atmospheric circulation with shifts in tropical climate since similar to 10 ka suggests that coherent climatic shifts in these regions have driven climate change in vast sectors of the Southern Hemisphere at centennial and millennial timescales.</t>
  </si>
  <si>
    <t>[Moreno, P. I.] Univ Chile, Dept Ciencias Ecol, Santiago, Chile; [Vilanova, I.] Consejo Nacl Invest Cient &amp; Tecn, Museo Argentino Ciencias Nat, Buenos Aires, DF, Argentina; [Villa-Martinez, R.; De Pol-Holz, R.] Univ Magallanes, GAIA Antartica, Punta Arenas, Chile; [Dunbar, R. B.; Mucciarone, D. A.] Stanford Univ, Sch Earth Energy &amp; Environm Sci, Palo Alto, CA 94304 USA; [Kaplan, M. R.] Columbia Univ, Lamont Doherty Geol Observ, Geochem, Palisades, NY 10964 USA; [Garreaud, R. D.; Rojas, M.] Univ Chile, Dept Geofis, Santiago, Chile; [Moy, C. M.] Univ Otago, Dept Geol, Dunedin, New Zealand; [Lambert, F.] Pontificia Univ Catolica Chile, Dept Geog Fis, Santiago, Chile</t>
  </si>
  <si>
    <t>Universidad de Chile; Consejo Nacional de Investigaciones Cientificas y Tecnicas (CONICET); Museo Argentino de Ciencias Naturales Bernardino Rivadavia (MACN); Universidad de Magallanes; Stanford University; Columbia University; Universidad de Chile; University of Otago; Pontificia Universidad Catolica de Chile</t>
  </si>
  <si>
    <t>Moreno, PI (corresponding author), Univ Chile, Dept Ciencias Ecol, Santiago, Chile.</t>
  </si>
  <si>
    <t>pimoreno@uchile.cl</t>
  </si>
  <si>
    <t>Garreaud, Rene/I-6298-2016; Kaplan, Michael R/D-4720-2011; Rojas, Maisa/A-7229-2013; Garreaud, Rene/JFS-4440-2023; Moretti, Paolo/A-2760-2010; Dietemann, Bastien/AAA-7595-2022; Lambert, Fabrice/M-2003-2014; Villa, Rodrigo/F-5737-2014; De Pol-Holz, Ricardo/E-3740-2013; Moreno, Patricio/D-2317-2012</t>
  </si>
  <si>
    <t>Garreaud, Rene/0000-0002-7875-2443; Moretti, Paolo/0000-0002-2936-1403; Dietemann, Bastien/0000-0003-0087-3058; Lambert, Fabrice/0000-0002-2192-024X; Villa, Rodrigo/0000-0001-6041-4393; Zaiser, Michael/0000-0001-7695-0350; De Pol-Holz, Ricardo/0000-0002-3281-8232; Moreno, Patricio/0000-0002-1333-6238; vilanova, isabel/0000-0002-8327-5207; Mucciarone, David/0000-0003-4482-2463</t>
  </si>
  <si>
    <t>ICM [P05-002, NC120066]; Fondecyt [1151469, 1131055, 1151427]</t>
  </si>
  <si>
    <t>ICM; Fondecyt(Comision Nacional de Investigacion Cientifica y Tecnologica (CONICYT)CONICYT FONDECYT)</t>
  </si>
  <si>
    <t>ICM grants P05-002 and NC120066, Fondap 15110009, DRI USA2013-0035, Fondecyt grants 1151469, 1131055, and 1151427, and NSF EAR-0902363 (M.R.K.). We thank L. Hernandez for processing and analysing sediment samples. This is LDEO contribution #8188.</t>
  </si>
  <si>
    <t>10.1038/s41598-018-21836-6</t>
  </si>
  <si>
    <t>FX0JF</t>
  </si>
  <si>
    <t>WOS:000425728600014</t>
  </si>
  <si>
    <t>Ovstedal, DO; Lindblom, L; Knudsen, K; Fryday, AM</t>
  </si>
  <si>
    <t>Ovstedal, Dag O.; Lindblom, Louise; Knudsen, Kerry; Fryday, Alan M.</t>
  </si>
  <si>
    <t>A new species of Acarospora (Acarosporaceae, Acarosporales, lichenized Ascomycota) from the Falkland Islands (Islas Malvinas)</t>
  </si>
  <si>
    <t>lichenized fungi; new species; South America; southern subpolar region</t>
  </si>
  <si>
    <t>Acarospora malouina Ovstedal &amp; K. Knudsen is described from the Falkland Islands. It is morphologically very similar to the Antarctic species A. gwynnii but differs in chemistry, ecology and evidence from molecular data.</t>
  </si>
  <si>
    <t>[Ovstedal, Dag O.; Lindblom, Louise] Univ Museum Bergen, Dept Nat Hist, Box 7800, NO-5020 Bergen, Norway; [Knudsen, Kerry] Czech Univ Life Sci, Dept Ecol, Fac Environm Sci, Kamycka 129, CZ-16521 Prague 6, Suchdol, Czech Republic; [Fryday, Alan M.] Michigan State Univ, Herbarium, Dept Plant Biol, E Lansing, MI 48823 USA</t>
  </si>
  <si>
    <t>University of Bergen; Czech University of Life Sciences Prague; Michigan State University</t>
  </si>
  <si>
    <t>Fryday, AM (corresponding author), Michigan State Univ, Herbarium, Dept Plant Biol, E Lansing, MI 48823 USA.</t>
  </si>
  <si>
    <t>fryday@msu.edu</t>
  </si>
  <si>
    <t>Lindblom, Louise/A-7271-2010; Knudsen, Kerry/JGM-0041-2023</t>
  </si>
  <si>
    <t>Knudsen, Kerry/0000-0001-5419-5729; Fryday, Alan/0000-0002-5310-9232</t>
  </si>
  <si>
    <t>United Kingdom Government through DEFRA; Darwin Initiative, project Lower Plants Inventory and Conservation in the Falkland Islands [DPLUS017]; Faculty of Environmental Sciences, Czech University of Life Sciences Prague [42900/1312/3166]; Norwegian Polar Institute</t>
  </si>
  <si>
    <t>United Kingdom Government through DEFRA; Darwin Initiative, project Lower Plants Inventory and Conservation in the Falkland Islands; Faculty of Environmental Sciences, Czech University of Life Sciences Prague; Norwegian Polar Institute</t>
  </si>
  <si>
    <t>We thank the curators of AAS, FH, HO and MAF along with R. Turk (Salzburg) for the loan of the holotype and other collections of Acarospora gwynnii. M. Whitelaw (Cambridge), J. Raggio Quilez (Madrid), G. Kantvilas (Hobart), and U. W. Ruprecht (Salzburg) are thanked for help with the provision of specimens of A. gwynnii. Lazzat Nurtai (Urumqi, China) is thanked for making her unpublished sequences of A. fulva and A. stapfiana available to us. Field work on the Falkland Islands by AMF was funded by the United Kingdom Government through DEFRA and the Darwin Initiative as part of the project Lower Plants Inventory and Conservation in the Falkland Islands (Reference number DPLUS017). Support for fieldwork and advice regarding landowners was provided by Falklands Conservation. The work of KK was financially supported by the grant Environmental aspects of sustainable development of society'' 42900/1312/3166 from the Faculty of Environmental Sciences, Czech University of Life Sciences Prague. The Norwegian Polar Institute is thanked for financial support to DOO.</t>
  </si>
  <si>
    <t>FEB 21</t>
  </si>
  <si>
    <t>10.11646/phytotaxa.340.1.7</t>
  </si>
  <si>
    <t>FX0JO</t>
  </si>
  <si>
    <t>WOS:000425729700007</t>
  </si>
  <si>
    <t>Bertler, NAN; Conway, H; Dahl-Jensen, D; Emanuelsson, DB; Winstrup, M; Vallelonga, PT; Lee, JE; Brook, EJ; Severinghaus, JP; Fudge, TJ; Keller, ED; Baisden, WT; Hindmarsh, RCA; Neff, PD; Blunier, T; Edwards, R; Mayewski, PA; Kipfstuhl, S; Buizert, C; Canessa, S; Dadic, R; Kjær, HA; Kurbatov, A; Zhang, DQ; Waddington, ED; Baccolo, G; Beers, T; Brightley, HJ; Carter, L; Clemens-Sewall, D; Ciobanu, VG; Delmonte, B; Eling, L; Ellis, A; Ganesh, S; Golledge, NR; Haines, S; Handley, M; Hawley, RL; Hogan, CM; Johnson, KM; Korotkikh, E; Lowry, DP; Mandeno, D; McKay, RM; Menking, JA; Naish, TR; Noerling, C; Ollive, A; Orsi, A; Proemse, BC; Pyne, AR; Pyne, RL; Renwick, J; Scherer, RP; Semper, S; Simonsen, M; Sneed, SB; Steig, EJ; Tuohy, A; Venugopal, AU; Valero-Delgado, F; Venkatesh, J; Wang, FT; Wang, SM; Winski, DA; Winton, VHL; Whiteford, A; Xiao, CD; Yang, J; Zhang, X</t>
  </si>
  <si>
    <t>Bertler, Nancy A. N.; Conway, Howard; Dahl-Jensen, Dorthe; Emanuelsson, Daniel B.; Winstrup, Mai; Vallelonga, Paul T.; Lee, James E.; Brook, Ed J.; Severinghaus, Jeffrey P.; Fudge, Taylor J.; Keller, Elizabeth D.; Baisden, W. Troy; Hindmarsh, Richard C. A.; Neff, Peter D.; Blunier, Thomas; Edwards, Ross; Mayewski, Paul A.; Kipfstuhl, Sepp; Buizert, Christo; Canessa, Silvia; Dadic, Ruzica; Kjaer, Helle A.; Kurbatov, Andrei; Zhang, Dongqi; Waddington, Edwin D.; Baccolo, Giovanni; Beers, Thomas; Brightley, Hannah J.; Carter, Lionel; Clemens-Sewall, David; Ciobanu, Viorela G.; Delmonte, Barbara; Eling, Lukas; Ellis, Aja; Ganesh, Shruthi; Golledge, Nicholas R.; Haines, Skylar; Handley, Michael; Hawley, Robert L.; Hogan, Chad M.; Johnson, Katelyn M.; Korotkikh, Elena; Lowry, Daniel P.; Mandeno, Darcy; McKay, Robert M.; Menking, James A.; Naish, Timothy R.; Noerling, Caroline; Ollive, Agathe; Orsi, Anais; Proemse, Bernadette C.; Pyne, Alexander R.; Pyne, Rebecca L.; Renwick, James; Scherer, Reed P.; Semper, Stefanie; Simonsen, Marius; Sneed, Sharon B.; Steig, Eric J.; Tuohy, Andrea; Venugopal, Abhijith Ulayottil; Valero-Delgado, Fernando; Venkatesh, Janani; Wang, Feitang; Wang, Shimeng; Winski, Dominic A.; Winton, V. Holly L.; Whiteford, Arran; Xiao, Cunde; Yang, Jiao; Zhang, Xin</t>
  </si>
  <si>
    <t>The Ross Sea Dipole - temperature, snow accumulation and sea ice variability in the Ross Sea region, Antarctica, over the past 2700 years</t>
  </si>
  <si>
    <t>CLIMATE OF THE PAST</t>
  </si>
  <si>
    <t>NINO-SOUTHERN OSCILLATION; GROUNDING-LINE RETREAT; WEST ANTARCTICA; HIGH-RESOLUTION; CLIMATE-CHANGE; AMUNDSEN SEA; ANNULAR MODE; OCEAN CIRCULATION; 20-1ST CENTURY; SHEET SURFACE</t>
  </si>
  <si>
    <t>High-resolution, well-dated climate archives provide an opportunity to investigate the dynamic interactions of climate patterns relevant for future projections. Here, we present data from a new, annually dated ice core record from the eastern Ross Sea, named the Roosevelt Island Climate Evolution (RICE) ice core. Comparison of this record with climate reanalysis data for the 1979-2012 interval shows that RICE reliably captures temperature and snow precipitation variability in the region. Trends over the past 2700 years in RICE are shown to be distinct from those in West Antarctica and the western Ross Sea captured by other ice cores. For most of this interval, the eastern Ross Sea was warming (or showing isotopic enrichment for other reasons), with increased snow accumulation and perhaps decreased sea ice concentration. However, West Antarctica cooled and the western Ross Sea showed no significant isotope temperature trend. This pattern here is referred to as the Ross Sea Dipole. Notably, during the Little Ice Age, West Antarctica and the western Ross Sea experienced colder than average temperatures, while the eastern Ross Sea underwent a period of warming or increased isotopic enrichment. From the 17th century onwards, this dipole relationship changed. All three regions show current warming, with snow accumulation declining in West Antarctica and the eastern Ross Sea but increasing in the western Ross Sea. We interpret this pattern as reflecting an increase in sea ice in the eastern Ross Sea with perhaps the establishment of a modern Roosevelt Island polynya as a local moisture source for RICE.</t>
  </si>
  <si>
    <t>[Bertler, Nancy A. N.; Emanuelsson, Daniel B.; Neff, Peter D.; Dadic, Ruzica; Brightley, Hannah J.; Carter, Lionel; Eling, Lukas; Johnson, Katelyn M.; Lowry, Daniel P.; Mandeno, Darcy; McKay, Robert M.; Naish, Timothy R.; Pyne, Alexander R.; Renwick, James; Tuohy, Andrea; Venugopal, Abhijith Ulayottil] Victoria Univ Wellington, Antarctic Res Ctr, Wellington 6012, New Zealand; [Bertler, Nancy A. N.; Emanuelsson, Daniel B.; Keller, Elizabeth D.; Baisden, W. Troy; Neff, Peter D.; Canessa, Silvia; Brightley, Hannah J.; Eling, Lukas; Johnson, Katelyn M.; Pyne, Rebecca L.; Tuohy, Andrea; Venugopal, Abhijith Ulayottil] GNS Sci, Lower Hutt 5010, New Zealand; [Conway, Howard; Fudge, Taylor J.; Waddington, Edwin D.; Steig, Eric J.] Univ Washington, Dept Earth &amp; Space Sci, Seattle, WA 98195 USA; [Dahl-Jensen, Dorthe; Winstrup, Mai; Vallelonga, Paul T.; Blunier, Thomas; Kjaer, Helle A.; Ciobanu, Viorela G.; Simonsen, Marius] Univ Copenhagen, Niels Bohr Inst, Ctr Ice &amp; Climate, Juliane Maries Vej 30, DK-2100 Copenhagen, Denmark; [Lee, James E.; Brook, Ed J.; Buizert, Christo; Menking, James A.] Oregon State Univ, Coll Earth Ocean &amp; Atmospher Sci, Corvallis, OR 97330 USA; [Severinghaus, Jeffrey P.] Univ Calif San Diego, Scripps Inst Oceanog, La Jolla, CA 92093 USA; [Hindmarsh, Richard C. A.; Winton, V. Holly L.] British Antarctic Survey, Madingley Rd, Cambridge CB3 0ET, England; [Edwards, Ross; Ellis, Aja; Winton, V. Holly L.] Curtin Univ, Phys &amp; Astron, Perth, WA, Australia; [Mayewski, Paul A.; Kurbatov, Andrei; Beers, Thomas; Haines, Skylar; Handley, Michael; Korotkikh, Elena; Sneed, Sharon B.] Univ Maine, Climate Change Inst, Orono, ME 04469 USA; [Kipfstuhl, Sepp; Noerling, Caroline; Valero-Delgado, Fernando] Alfred Wegner Inst, Bremen, Germany; [Zhang, Dongqi] Chinese Acad Meteorol Sci, Beijing, Peoples R China; [Zhang, Dongqi; Golledge, Nicholas R.; Wang, Feitang; Wang, Shimeng; Yang, Jiao] Chinese Acad Sci, Northwest Inst Ecoenvironm &amp; Resources, State Key Lab Cryospher Sci, Lanzhou, Gansu, Peoples R China; [Baccolo, Giovanni; Delmonte, Barbara] Univ Milano Bicocca, Dept Earth &amp; Environm Sci, DISAT, Piazza Sci 1, I-20126 Milan, Italy; [Clemens-Sewall, David; Hawley, Robert L.; Winski, Dominic A.] Dartmouth Coll, Dept Earth Sci, 6105 Fairchild Hall, Hanover, NH 03755 USA; [Ganesh, Shruthi; Venkatesh, Janani] SRM Univ, Dept Chem Engn, Kattankulathur 603203, Tamil Nadu, India; [Hogan, Chad M.; Proemse, Bernadette C.] Univ Tasmania, Sch Biol Sci, Hobart, Tas 7001, Australia; [Ollive, Agathe] UniLasalle, Specialty Earth Sci &amp; Environm, 19 Rue Pierre Waguet, F-60000 Beauvais, France; [Orsi, Anais] Univ Paris Saclay, CEA, CNRS, UVSQ,LSCE,IPSL, F-91198 Gif Sur Yvette, France; [Scherer, Reed P.] Northern Illinois Univ, Inst Study Environm Sustainabil &amp; Energy, De Kalb, IL 60115 USA; [Semper, Stefanie] Univ Bergen, Geophys Inst, N-5020 Bergen, Norway; [Semper, Stefanie] Bjerknes Ctr Climate Res, N-5020 Bergen, Norway; [Wang, Feitang] Chinese Acad Sci, Northwest Inst Ecoenvironm &amp; Resources, Tianshan Glaciol Stn, Lanzhou, Gansu, Peoples R China; [Whiteford, Arran] Univ British Columbia, Dept Earth &amp; Ocean Sci, Vancouver, BC, Canada; [Xiao, Cunde] Beijing Normal Univ, State Key Lab Earth Surface Proc &amp; Resource Ecol, Beijing, Peoples R China; [Zhang, Xin] Northwest Normal Univ, Lanzhou, Gansu, Peoples R China; [Edwards, Ross] Univ Wisconsin, Dept Civil &amp; Environm Engn, 660 N Pk St, Madison, WI 53706 USA; [Baisden, W. Troy] Univ Waikato, Fac Sci &amp; Engn, Hamilton, New Zealand; [Neff, Peter D.] Univ Rochester, Dept Earth &amp; Environm Sci, Rochester, NY 14627 USA; [Tuohy, Andrea] Tonkin &amp; Taylor, ABS Tower,2 Hunter St, Wellington 6011, New Zealand; [Ellis, Aja] Carnegie Mellon Univ, Ctr Atmospher Particle Studies, Pittsburgh, PA 15213 USA</t>
  </si>
  <si>
    <t>Victoria University Wellington; GNS Science - New Zealand; University of Washington; University of Washington Seattle; University of Copenhagen; Niels Bohr Institute; Oregon State University; University of California System; University of California San Diego; Scripps Institution of Oceanography; UK Research &amp; Innovation (UKRI); Natural Environment Research Council (NERC); NERC British Antarctic Survey; Curtin University; University of Maine System; University of Maine Orono; China Meteorological Administration; Chinese Academy of Meteorological Sciences (CAMS); Chinese Academy of Sciences; University of Milano-Bicocca; Dartmouth College; SRM Institute of Science &amp; Technology Chennai; University of Tasmania; CEA; Centre National de la Recherche Scientifique (CNRS); Universite Paris Saclay; Universite Paris Cite; Northern Illinois University; University of Bergen; Bjerknes Centre for Climate Research; Chinese Academy of Sciences; University of British Columbia; Beijing Normal University; Northwest Normal University - China; University of Wisconsin System; University of Wisconsin Madison; University of Waikato; University of Rochester; Carnegie Mellon University</t>
  </si>
  <si>
    <t>Bertler, NAN (corresponding author), Victoria Univ Wellington, Antarctic Res Ctr, Wellington 6012, New Zealand.;Bertler, NAN (corresponding author), GNS Sci, Lower Hutt 5010, New Zealand.</t>
  </si>
  <si>
    <t>nancy.bertler@vuw.ac.nz</t>
  </si>
  <si>
    <t>Mayewski, Paul Andrew/HRD-6969-2023; Emanuelsson, Daniel/X-9005-2019; Winski, Dominic/X-7395-2019; Bertler, Nancy A N/F-3967-2011; Hawley, Robert/KHY-1082-2024; Keller, Elizabeth/N-9428-2019; Neff, Peter David/ABB-7688-2021; Yang, Jiao/JTV-6688-2023; Keller, Elizabeth Diane/GLN-5354-2022; Kjær, Helle Astrid/HGC-7941-2022; Steig, Eric J/G-9088-2015; Ciobanu, Viorela Gabriela/AAQ-5556-2021; Menking, James Andrew/GPX-8702-2022; Menking, James/AAY-2808-2020; Baccolo, Giovanni/J-9543-2019; Dahl-Jensen, Dorthe/AAO-6951-2020; Hindmarsh, Richard/N-1195-2019; Winton, Holly/J-5486-2019; Delmonte, Barbara/L-2555-2015; Dadic, Ruzica/O-4458-2019; Winstrup, Mai/M-5844-2014; Proemse, Bernadette/N-8956-2017; Vallelonga, Paul/I-9650-2016; Blunier, Thomas/M-4609-2014</t>
  </si>
  <si>
    <t>Emanuelsson, Daniel/0000-0002-9373-6951; Keller, Elizabeth/0000-0002-9408-9215; Kjær, Helle Astrid/0000-0002-3781-9509; Ciobanu, Viorela Gabriela/0000-0001-8508-9486; Menking, James Andrew/0000-0002-5891-6711; Baccolo, Giovanni/0000-0002-1246-8968; Dahl-Jensen, Dorthe/0000-0002-1474-1948; Hindmarsh, Richard/0000-0003-1633-2416; Winton, Holly/0000-0001-7112-6768; Delmonte, Barbara/0000-0002-9074-2061; Winski, Dominic/0000-0002-9868-7909; Hawley, Robert/0000-0001-8466-0839; Ellis, Aja/0000-0002-4593-294X; Winstrup, Mai/0000-0002-4794-4004; Neff, Peter/0000-0003-1697-0936; Dadic, Ruzica/0000-0003-1303-1896; Kurbatov, Andrei/0000-0002-9819-9251; Proemse, Bernadette/0000-0002-6630-6892; Fudge, Tyler/0000-0002-6818-7479; Golledge, Nicholas/0000-0001-7676-8970; Johnson, Katelyn M./0000-0002-6152-9712; Lowry, Daniel/0000-0002-9668-0850; Vallelonga, Paul/0000-0003-1055-7235; Blunier, Thomas/0000-0002-6065-7747; Conway, Howard/0000-0003-4634-3474; Simonsen, Marius Folden/0000-0002-1525-034X; Lee, James/0000-0002-9137-1530; Semper, Stefanie/0000-0003-1083-4642; Bertler, Nancy/0000-0001-6028-4891; Naish, Tim/0000-0002-1185-9932; McKay, Robert/0000-0002-5602-6985; Severinghaus, Jeffrey/0000-0001-8883-3119</t>
  </si>
  <si>
    <t>New Zealand Ministry of Business, Innovation; Employment Grants through Victoria University of Wellington [RDF-VUW-1103, 15-VUW-131]; GNS Science [540GCT32, 540GCT12]; Antarctica New Zealand [K049]; US National Science Foundation (US NSF) [ANT-0944021, ANT-0944307, ANT-1443472]; British Antarctic Survey Funding (BAS PSPE); Center of Ice and Climate at the Niels Bohr Institute through the Carlsberg Foundation's; Major State Basic Research Development Program of China [2013CBA01804]; University of Wisconsin-Madison Automatic Weather Station Program [ANT-1543305]; US 109th New York Air National Guard (NYANG) [LC-130]; People's Republic of China, Sweden; Natural Environment Research Council [bas0100034, NE/J008087/1, NE/F015526/1, NE/F01550X/1, NE/F00446X/1] Funding Source: researchfish; NERC [NE/F01550X/1, NE/F00446X/1, bas0100034, NE/F015526/1, NE/J008087/1] Funding Source: UKRI</t>
  </si>
  <si>
    <t>New Zealand Ministry of Business, Innovation(New Zealand Ministry of Business, Innovation and Employment (MBIE)); Employment Grants through Victoria University of Wellington; GNS Science; Antarctica New Zealand; US National Science Foundation (US NSF)(National Science Foundation (NSF)); British Antarctic Survey Funding (BAS PSPE); Center of Ice and Climate at the Niels Bohr Institute through the Carlsberg Foundation's; Major State Basic Research Development Program of China(National Basic Research Program of China); University of Wisconsin-Madison Automatic Weather Station Program; US 109th New York Air National Guard (NYANG); People's Republic of China, Sweden; Natural Environment Research Council(UK Research &amp; Innovation (UKRI)Natural Environment Research Council (NERC)); NERC(UK Research &amp; Innovation (UKRI)Natural Environment Research Council (NERC))</t>
  </si>
  <si>
    <t>Funding for this project was provided by the New Zealand Ministry of Business, Innovation, and Employment Grants through Victoria University of Wellington (RDF-VUW-1103, 15-VUW-131) and GNS Science (540GCT32, 540GCT12), and Antarctica New Zealand (K049), the US National Science Foundation (US NSF ANT-0944021, ANT-0944307, ANT-1443472), British Antarctic Survey Funding (BAS PSPE), the Center of Ice and Climate at the Niels Bohr Institute through the Carlsberg Foundation's  North-South Climate Connection project grant, and the Major State Basic Research Development Program of China (Grant No. 2013CBA01804). The authors appreciate the support of the University of Wisconsin-Madison Automatic Weather Station Program for the data set, data display and information (NSF grant number ANT-1543305). We are indebted to Hedley Berge, Jeff Rawson, Margie Grant, Lou Albershardt, and Antarctica New Zealand staff at Scott Base and in Christchurch for their support of the RICE field seasons. We are grateful for the support by US 109th New York Air National Guard (NYANG) LC-130 Hercules and Canadian Kenn Borek aircraft crews for their excellent support into and out of Roosevelt Island. Furthermore, we would like to thank Stephen Mawdesley, Grant Kellett, Ryan Davidson, Ed Hutchinson, Bruce Crothers and John Futter of the Mechanical and Electronic Workshops of GNS Science for technical support for the international RICE core progressing campaigns. We would like to thank Beaudette Ross for conducting gas isotope measurements at the Scripps Institution of Oceanography, University of California, San Diego. We are grateful to Diane Bradshaw and Bevan Hunter for their assistance in naming the New Zealand ice core drill. We would like to thank Barbara Stenni for advice and discussions on the Talos Dome and TALDICE records. We thank two anonymous reviewers to help us make important improvements to this paper. This work is a contribution to the Roosevelt Island Climate Evolution (RICE) Program, funded by national contributions from New Zealand, Australia, Denmark, Germany, Italy, the People's Republic of China, Sweden, the UK and the USA. Logistics support was provided by Antarctica New Zealand (K049) and the US Antarctic Program.</t>
  </si>
  <si>
    <t>1814-9324</t>
  </si>
  <si>
    <t>1814-9332</t>
  </si>
  <si>
    <t>CLIM PAST</t>
  </si>
  <si>
    <t>Clim. Past.</t>
  </si>
  <si>
    <t>10.5194/cp-14-193-2018</t>
  </si>
  <si>
    <t>FW9LV</t>
  </si>
  <si>
    <t>WOS:000425657600001</t>
  </si>
  <si>
    <t>Ma, HM; Yan, WK; Xiao, X; Shi, GT; Li, YS; Sun, B; Dou, YK; Zhang, Y</t>
  </si>
  <si>
    <t>Ma, Hongmei; Yan, Wenkai; Xiao, Xiang; Shi, Guitao; Li, Yuansheng; Sun, Bo; Dou, Yinke; Zhang, Yu</t>
  </si>
  <si>
    <t>Ex Situ Culturing Experiments Revealed Psychrophilic Hydrogentrophic Methanogenesis Being the Potential Dominant Methane-Producing Pathway in Subglacial Sediment in Larsemann Hills, Antarctic</t>
  </si>
  <si>
    <t>hydrogenotrophic methanogenesis; East Antarctic; subglacial ecosystem; mcrA gene; ex situ cultivation; climate change</t>
  </si>
  <si>
    <t>MICROBIAL ECOLOGY; CH4 PRODUCTION; ICE; WATER; OXIDATION; BENEATH; CARBON; SOIL; FEN; COMMUNITY</t>
  </si>
  <si>
    <t>It was recognized only recently that subglacial ecosystems support considerable methanogenic activity, thus significantly contributing the global methane production. However, only limited knowledge is available on the physiological characteristics of this kind of methanogenic community because of the technical constraints associated with sampling and cultivation under corresponding environmental conditions. To elucidate methanogenesis beneath the glacial margin in East Antarctic Ice Sheet, we took an integrated approach that included cultivation of microbes associated with the sediment samples in the lab and analysis of mcrA gene therein. After 7 months of incubation, the highest rate of methanogenesis [398 (pmol/day)/gram] was observed at 1 degrees C on a supply of H-2. The rates of methanogenesis were lower on acetate or unamended substrate than on H-2. The rates on these two substrates increased when the temperature was raised. Methanomicrobiales predominated before and after prolonged incubation, regardless whether H-2, acetate, or unamended substrate were the energy source. Therefore, it was inferred that psychrophilic hydrogenotrophic methanogenesis was the primary methaneproducing pathway in the subglacial ecosystem we sampled. These findings highlight the effects of temperature and substrate on potential methanogenesis in the subglacial sediment of this area, and may help us for a better estimation on the Antarctica methane production in a changing climate.</t>
  </si>
  <si>
    <t>[Ma, Hongmei; Shi, Guitao; Li, Yuansheng; Sun, Bo] Polar Res Inst China, SOA Key Lab Polar Sci, Shanghai, Peoples R China; [Yan, Wenkai; Xiao, Xiang] Shanghai Jiao Tong Univ, Sch Life Sci &amp; Biotechnol, Shanghai, Peoples R China; [Dou, Yinke] Taiyuan Univ Technol, Coll Elect &amp; Power Engn, Taiyuan, Shanxi, Peoples R China; [Zhang, Yu] Shanghai Jiao Tong Univ, State Key Lab Ocean Engn, Shanghai, Peoples R China; [Zhang, Yu] Shanghai Jiao Tong Univ, Inst Oceanog, Shanghai, Peoples R China</t>
  </si>
  <si>
    <t>Polar Research Institute of China; Shanghai Jiao Tong University; Taiyuan University of Technology; Shanghai Jiao Tong University; Shanghai Jiao Tong University</t>
  </si>
  <si>
    <t>Zhang, Y (corresponding author), Shanghai Jiao Tong Univ, State Key Lab Ocean Engn, Shanghai, Peoples R China.;Zhang, Y (corresponding author), Shanghai Jiao Tong Univ, Inst Oceanog, Shanghai, Peoples R China.</t>
  </si>
  <si>
    <t>zhang.yusjtu@sjtu.edu.cn</t>
  </si>
  <si>
    <t>sun, bo/JFA-9978-2023; Xiao, Xiao/IAN-3011-2023; , yu/GYD-8364-2022; xiao, xiang/GWU-6035-2022; YAN, WENKAI/JRY-8319-2023</t>
  </si>
  <si>
    <t>, yu/0000-0002-0379-7882;</t>
  </si>
  <si>
    <t>National Natural Science Foundation of China [41276202, 41676177]; China Ocean Mineral Resources RD Association [DY125-22-04]; Program for Chinese National Antarctic and Arctic Research Expedition [CHINARE 2016-02-02]; State Key Laboratory of Ocean Engineering of China [GKZD010061]; National Basic Research Program of China [2014CB441503]</t>
  </si>
  <si>
    <t>National Natural Science Foundation of China(National Natural Science Foundation of China (NSFC)); China Ocean Mineral Resources RD Association; Program for Chinese National Antarctic and Arctic Research Expedition; State Key Laboratory of Ocean Engineering of China; National Basic Research Program of China(National Basic Research Program of China)</t>
  </si>
  <si>
    <t>This work was financially supported by the National Natural Science Foundation of China (41276202 and 41676177), China Ocean Mineral Resources R&amp;D Association (DY125-22-04), the Program for Chinese National Antarctic and Arctic Research Expedition (CHINARE 2016-02-02), State Key Laboratory of Ocean Engineering of China (GKZD010061), and National Basic Research Program of China (2014CB441503).</t>
  </si>
  <si>
    <t>10.3389/fmicb.2018.00237</t>
  </si>
  <si>
    <t>FW8XZ</t>
  </si>
  <si>
    <t>WOS:000425621600001</t>
  </si>
  <si>
    <t>Kankaanpää, T; Skov, K; Abrego, N; Lund, M; Schmidt, NM; Roslin, T</t>
  </si>
  <si>
    <t>Kankaanpaa, Tuomas; Skov, Kirstine; Abrego, Nerea; Lund, Magnus; Schmidt, Niels Martin; Roslin, Tomas</t>
  </si>
  <si>
    <t>Spatiotemporal snowmelt patterns within a high Arctic landscape, with implications for flora and fauna</t>
  </si>
  <si>
    <t>Snowmelt; spatiotemporal variability; phenological mismatch; high Arctic; climate change</t>
  </si>
  <si>
    <t>CLIMATE-CHANGE; PLANT PHENOLOGY; RESPONSES; TUNDRA; SOIL; COVER; MANIPULATION; ECOSYSTEMS; PRECIPITATION; TEMPERATURES</t>
  </si>
  <si>
    <t>Snow conditions are important drivers of the distribution and phenology of Arctic flora and fauna, but the extent and effects of local variation in snowmelt are still inadequately studied. We analyze snowmelt patterns within the Zackenberg valley in northeast Greenland. Drawing on landscape-level snowmelt dates and meteorological data from a central climate station, we model snowmelt trends during 1998-2014. We then use time-lapse photographs to examine consistency in spatiotemporal snowmelt patterns during 2006-2014. Finally, we use monitoring data on arthropods and plants for 1998-2014 to investigate how snowmelt date affects the phenology of Arctic organisms. Despite large interannual variation in snowmelt timing, we find consistency in the relative order of snowmelt among sites within the landscape. With a slight overall advancement in snowmelt during the study period, early melting locations have advanced more than late-melting ones. Individual organism groups differ greatly in how their phenology shifts with snowmelt, with much variance attributable to variation in life history and diet. Overall, we note that local variation in snowmelt patterns may drive important ecological processes, and that more attention should be paid to variability within landscapes. Areas optimal for a given taxon vary between years, thereby creating spatial structure in a seemingly uniform landscape.</t>
  </si>
  <si>
    <t>[Kankaanpaa, Tuomas; Abrego, Nerea; Roslin, Tomas] Univ Helsinki, Dept Agr Sci, Spatial Foodweb Ecol Grp, Helsinki, Finland; [Roslin, Tomas] Swedish Univ Agr Sci, Dept Ecol, Uppsala, Sweden; [Skov, Kirstine; Lund, Magnus; Schmidt, Niels Martin] Aarhus Univ, Arctic Res Ctr, Dept Biosci, Roskilde, Denmark</t>
  </si>
  <si>
    <t>University of Helsinki; Swedish University of Agricultural Sciences; Aarhus University</t>
  </si>
  <si>
    <t>Kankaanpää, T (corresponding author), Univ Helsinki, Dept Agr Sci, Spatial Foodweb Ecol Grp, Helsinki, Finland.</t>
  </si>
  <si>
    <t>tuomas.kankaanpaa@helsinki.fi</t>
  </si>
  <si>
    <t>Schmidt, Niels Martin/G-3843-2011; Abrego, Nerea/AAK-6309-2021; Lund, Magnus/J-4922-2013; Roslin, Tomas/E-8648-2016</t>
  </si>
  <si>
    <t>Schmidt, Niels Martin/0000-0002-4166-6218; Abrego, Nerea/0000-0001-6347-6127; Lund, Magnus/0000-0003-1622-2305; Roslin, Tomas/0000-0002-2957-4791; Skov, Kirstine/0000-0003-1234-3687; Kankaanpaa, Tuomas/0000-0003-3269-0299</t>
  </si>
  <si>
    <t>Nessling Foundation; Ella and Georg Ehrnrooth Foundation; Academy of Finland [276909]; Academy of Finland (AKA) [276909] Funding Source: Academy of Finland (AKA)</t>
  </si>
  <si>
    <t>Nessling Foundation; Ella and Georg Ehrnrooth Foundation; Academy of Finland(Research Council of Finland); Academy of Finland (AKA)(Research Council of Finland)</t>
  </si>
  <si>
    <t>Funding by the Nessling Foundation (to TK), by the Ella and Georg Ehrnrooth Foundation, and by the Academy of Finland (grant no. 276909 to TR) is gratefully acknowledged.</t>
  </si>
  <si>
    <t>e1415624</t>
  </si>
  <si>
    <t>10.1080/15230430.2017.1415624</t>
  </si>
  <si>
    <t>GN1DS</t>
  </si>
  <si>
    <t>WOS:000438726100001</t>
  </si>
  <si>
    <t>Malhotra, A; Moore, TR; Limpens, J; Roulet, NT</t>
  </si>
  <si>
    <t>Malhotra, Avni; Moore, Tim R.; Limpens, Juul; Roulet, Nigel T.</t>
  </si>
  <si>
    <t>Post-thaw variability in litter decomposition best explained by microtopography at an ice-rich permafrost peatland</t>
  </si>
  <si>
    <t>Discontinuous permafrost zone; litter decomposition; microtopography; peatland; permafrost thaw</t>
  </si>
  <si>
    <t>TEMPERATURE SENSITIVITY; WESTERN CANADA; CARBON FLUXES; SOIL CARBON; VEGETATION; COMMUNITY; QUALITY; RATES; THAW; HYDROLOGY</t>
  </si>
  <si>
    <t>Litter decomposition, a key process by which recently fixed carbon is lost from ecosystems, is a function of environmental conditions and plant community characteristics. In ice-rich peatlands, permafrost thaw introduces high variability in both abiotic and biotic factors, both of which may affect litter decomposition rates in different ways. Can the existing conceptual frameworks of litter decomposition and its controls be applied across a structurally heterogeneous thaw gradient? We investigated the variability in litter decomposition and its predictors at the Stordalen subarctic peatland in northern Sweden. We measured in situ decomposition of representative litter and environments using litter bags throughout two years. We found highly variable litter decomposition rates with turnover times ranging from five months to four years. Surface elevation was a strong correlate of litter decomposition across the landscape, likely as it integrates multiple environmental and plant community changes brought about by thaw. There was faster decomposition but also more mass remaining after two years in thawed areas relative to permafrost areas, suggesting faster initial loss of carbon but more storage into the slow-decomposing carbon pool. Our results highlight mechanisms and predictors of carbon cycle changes in ice-rich peatlands following permafrost thaw.</t>
  </si>
  <si>
    <t>[Malhotra, Avni; Moore, Tim R.; Roulet, Nigel T.] McGill Univ, Dept Geog, Montreal, PQ, Canada; [Malhotra, Avni] Oak Ridge Natl Lab, Climate Change Sci Inst, Oak Ridge, TN 37830 USA; [Malhotra, Avni] Oak Ridge Natl Lab, Environm Sci Div, Oak Ridge, TN 37830 USA; [Limpens, Juul] Wageningen Univ, Nat Conservat &amp; Plant Ecol Grp, Wageningen, Netherlands</t>
  </si>
  <si>
    <t>McGill University; United States Department of Energy (DOE); Oak Ridge National Laboratory; United States Department of Energy (DOE); Oak Ridge National Laboratory; Wageningen University &amp; Research</t>
  </si>
  <si>
    <t>Malhotra, A (corresponding author), McGill Univ, Dept Geog, Montreal, PQ, Canada.;Malhotra, A (corresponding author), Oak Ridge Natl Lab, Climate Change Sci Inst, Oak Ridge, TN 37830 USA.;Malhotra, A (corresponding author), Oak Ridge Natl Lab, Environm Sci Div, Oak Ridge, TN 37830 USA.</t>
  </si>
  <si>
    <t>malhotraa@ornl.gov</t>
  </si>
  <si>
    <t>Malhotra, Avni/R-4970-2019; Roulet, Nigel/W-3402-2019</t>
  </si>
  <si>
    <t>Malhotra, Avni/0000-0002-7850-6402; Roulet, Nigel/0000-0001-9571-1929; Limpens, Juul/0000-0001-5779-0304; Moore, Tim/0000-0001-7472-7569</t>
  </si>
  <si>
    <t>James McGill Professorship Stipend; National Sciences and Engineering Research Council of Canada; Fonds de recherche du Quebec - Nature et technologies; U.S. Dept, of Energy Office of Science - Biological and Environmental Research</t>
  </si>
  <si>
    <t>James McGill Professorship Stipend; National Sciences and Engineering Research Council of Canada(Natural Sciences and Engineering Research Council of Canada (NSERC)); Fonds de recherche du Quebec - Nature et technologies(Fonds de recherche du Quebec (FRQ)Fonds de recherche du Quebec - Nature et technologies (FRQNT)); U.S. Dept, of Energy Office of Science - Biological and Environmental Research</t>
  </si>
  <si>
    <t>This work was supported by the James McGill Professorship Stipend; National Sciences and Engineering Research Council of Canada; Fonds de recherche du Quebec - Nature et technologies; U.S. Dept, of Energy Office of Science - Biological and Environmental Research</t>
  </si>
  <si>
    <t>FEB 20</t>
  </si>
  <si>
    <t>e1415622</t>
  </si>
  <si>
    <t>10.1080/15230430.2017.1415622</t>
  </si>
  <si>
    <t>GN1DP</t>
  </si>
  <si>
    <t>WOS:000438725600001</t>
  </si>
  <si>
    <t>Seehaus, T; Cook, AJ; Silva, AB; Braun, M</t>
  </si>
  <si>
    <t>Seehaus, Thorsten; Cook, Alison J.; Silva, Aline B.; Braun, Matthias</t>
  </si>
  <si>
    <t>Changes in glacier dynamics in the northern Antarctic Peninsula since 1985</t>
  </si>
  <si>
    <t>SURFACE MASS-BALANCE; WORDIE ICE SHELF; TIDEWATER GLACIERS; OUTLET GLACIERS; AREAL CHANGES; DISINTEGRATION; MODEL; VARIABILITY; ELEVATION; RETREAT</t>
  </si>
  <si>
    <t>The climatic conditions along the northern Antarctic Peninsula have shown significant changes within the last 50 years. Here we present a comprehensive analysis of temporally and spatially detailed observations of the changes in ice dynamics along both the east and west coastlines of the northern Antarctic Peninsula. Temporal evolutions of glacier area (1985-2015) and ice surface velocity (1992-2014) are derived from a broad multi-mission remote sensing database for 74 glacier basins on the northern Antarctic Peninsula (&lt;65 degrees S along the west coast and north of the Seal Nunataks on the east coast). A recession of the glaciers by 238.81 km(2) is found for the period 1985-2015, of which the glaciers affected by ice shelf disintegration showed the largest retreat by 208.59 km(2). Glaciers on the east coast north of the former Prince Gustav Ice Shelf extent in 1986 receded by only 21.07 km(2) (1985-2015) and decelerated by about 58% on average (1992-2014). A dramatic acceleration after ice shelf disintegration with a subsequent deceleration is observed at most former ice shelf tributaries on the east coast, combined with a significant frontal retreat. In 2014, the flow speed of the former ice shelf tributaries was 26% higher than before 1996. Along the west coast the average flow speeds of the glaciers increased by 41 %. However, the glaciers on the western Antarctic Peninsula revealed a strong spatial variability of the changes in ice dynamics. By applying a hierarchical cluster analysis, we show that this is associated with the geometric parameters of the individual glacier basins (hypsometric indexes, maximum surface elevation of the basin, flux gate to catchment size ratio). The heterogeneous spatial pattern of ice dynamic evolutions at the north-ern Antarctic Peninsula shows that temporally and spatially detailed observations as well as further monitoring are necessary to fully understand glacier change in regions with such strong topographic and climatic variances.</t>
  </si>
  <si>
    <t>[Seehaus, Thorsten; Braun, Matthias] Friedrich Alexander Univ Erlangen Nuremberg, Inst Geog, Wetterkreuz 15, D-91058 Erlangen, Germany; [Cook, Alison J.] Univ Durham, Dept Geog, South Rd, Durham DH1 3LE, England; [Silva, Aline B.] Univ Fed Rio Grande, Lab Monitoramento Criosfera, Av Italia,Km 8, BR-96203900 Rio Grande, Brazil</t>
  </si>
  <si>
    <t>University of Erlangen Nuremberg; Durham University; Universidade Federal do Rio Grande</t>
  </si>
  <si>
    <t>Seehaus, T (corresponding author), Friedrich Alexander Univ Erlangen Nuremberg, Inst Geog, Wetterkreuz 15, D-91058 Erlangen, Germany.</t>
  </si>
  <si>
    <t>thorsten.seehaus@fau.de; alison.cook@durham.ac.uk; linebsil-vaa@gmail.com</t>
  </si>
  <si>
    <t>Silva, Aline Barbosa Barbosa/AAI-2392-2020; Braun, Matthias H/S-4693-2016; Braun, Matthias/A-4968-2009</t>
  </si>
  <si>
    <t>Silva, Aline Barbosa Barbosa/0000-0002-4026-4591; Braun, Matthias/0000-0001-5169-1567; Seehaus, Thorsten/0000-0001-5055-8959</t>
  </si>
  <si>
    <t>Deutsche Forschungsgemeinschaft (DFG) [BR 2105/9-1]; HGF Alliance Remote Sensing of Earth System Dynamics [HA-310]; Marie-Curie-Network International Research Staff Exchange Scheme IMCONet [EU FP7-PEOPLE-2012-IRSES]</t>
  </si>
  <si>
    <t>Deutsche Forschungsgemeinschaft (DFG)(German Research Foundation (DFG)); HGF Alliance Remote Sensing of Earth System Dynamics; Marie-Curie-Network International Research Staff Exchange Scheme IMCONet</t>
  </si>
  <si>
    <t>This work was supported by the Deutsche Forschungsgemeinschaft (DFG) in the framework of the priority programme Antarctic Research with comparative investigations in Arctic ice areas by a grant to Matthias Braun (BR 2105/9-1). Matthias Braun and Thorsten Seehaus would like to thank the HGF Alliance Remote Sensing of Earth System Dynamics (HA-310) and Marie-Curie-Network International Research Staff Exchange Scheme IMCONet (EU FP7-PEOPLE-2012-IRSES) for additional support. Access to satellite data was kindly provided by various space agencies, e.g., under ESA AO 4032, DLR TerraSAR-X Background Mission Antarctic Peninsula and Ice Shelves, TSX AO LAN0013, TanDEM-X Mission TDX AO XTI_GLAC0264, ASF, GLIMS as well as NASA and USGS.</t>
  </si>
  <si>
    <t>10.5194/tc-12-577-2018</t>
  </si>
  <si>
    <t>FX0JM</t>
  </si>
  <si>
    <t>Green Accepted, Green Submitted, gold, Green Published</t>
  </si>
  <si>
    <t>WOS:000425729500002</t>
  </si>
  <si>
    <t>Mengel, M; Nauels, A; Rogelj, J; Schleussner, CF</t>
  </si>
  <si>
    <t>Mengel, Matthias; Nauels, Alexander; Rogelj, Joeri; Schleussner, Carl-Friedrich</t>
  </si>
  <si>
    <t>Committed sea-level rise under the Paris Agreement and the legacy of delayed mitigation action</t>
  </si>
  <si>
    <t>GREENLAND ICE-SHEET; 2 DEGREES-C; WEST ANTARCTICA; PINE ISLAND; CLIMATE; PROJECTIONS; RETREAT; DRIVEN; MODEL; COMMITMENT</t>
  </si>
  <si>
    <t>Sea-level rise is a major consequence of climate change that will continue long after emissions of greenhouse gases have stopped. The 2015 Paris Agreement aims at reducing climate-related risks by reducing greenhouse gas emissions to net zero and limiting global-mean temperature increase. Here we quantify the effect of these constraints on global sea-level rise until 2300, including Antarctic ice-sheet instabilities. We estimate median sea-level rise between 0.7 and 1.2 m, if net-zero greenhouse gas emissions are sustained until 2300, varying with the pathway of emissions during this century. Temperature stabilization below 2 degrees C is insufficient to hold median sea-level rise until 2300 below 1.5 m. We find that each 5-year delay in near-term peaking of CO2 emissions increases median year 2300 sea-level rise estimates by ca. 0.2 m, and extreme sea-level rise estimates at the 95th percentile by up to 1 m. Our results underline the importance of near-term mitigation action for limiting long-term sea-level rise risks.</t>
  </si>
  <si>
    <t>[Mengel, Matthias; Schleussner, Carl-Friedrich] Potsdam Inst Climate Impact Res PIK, POB 60 12 03, D-14412 Potsdam, Germany; [Mengel, Matthias; Schleussner, Carl-Friedrich] Leibniz Assoc, POB 60 12 03, D-14412 Potsdam, Germany; [Nauels, Alexander] Univ Melbourne, Australian German Coll Climate &amp; Energy Transit, Parkville, Vic 3010, Australia; [Rogelj, Joeri] IIASA, ENE Program, Schlosspl 1, A-2361 Laxenburg, Austria; [Rogelj, Joeri] Swiss Fed Inst Technol, Inst Atmospher &amp; Climate Sci, Univ Str 16, CH-8006 Zurich, Switzerland; [Rogelj, Joeri] Univ Oxford, Sch Geog &amp; Environm, S Parks Rd, Oxford OX1 3QY, England; [Schleussner, Carl-Friedrich] Climate Analyt, Ritterstr 3, D-10969 Berlin, Germany; [Schleussner, Carl-Friedrich] Humboldt Univ, Integrat Res Inst Transformat Human Environm Syst, D-10969 Berlin, Germany</t>
  </si>
  <si>
    <t>Potsdam Institut fur Klimafolgenforschung; University of Melbourne; International Institute for Applied Systems Analysis (IIASA); Swiss Federal Institutes of Technology Domain; ETH Zurich; University of Oxford; Humboldt University of Berlin</t>
  </si>
  <si>
    <t>Mengel, M (corresponding author), Potsdam Inst Climate Impact Res PIK, POB 60 12 03, D-14412 Potsdam, Germany.;Mengel, M (corresponding author), Leibniz Assoc, POB 60 12 03, D-14412 Potsdam, Germany.</t>
  </si>
  <si>
    <t>matthias.mengel@pik-potsdam.de</t>
  </si>
  <si>
    <t>Rogelj, Joeri/I-7108-2012</t>
  </si>
  <si>
    <t>Mengel, Matthias/0000-0001-6724-9685; Nauels, Alexander/0000-0003-1378-3377; Schleussner, Carl-Friedrich/0000-0001-8471-848X; Rogelj, Joeri/0000-0003-2056-9061</t>
  </si>
  <si>
    <t>AXA Research Fund Postdoctoral Fellowship Programme; European Union's Horizon research and innovation programme [642147, 641816]; Oxford Martin School Visiting Fellowship Programme; German Federal Ministry for the Environment, Nature Conservation and Nuclear Safety [16_II_148_Global_A_IMPACT]</t>
  </si>
  <si>
    <t>AXA Research Fund Postdoctoral Fellowship Programme(AXA Research Fund); European Union's Horizon research and innovation programme(Horizon 2020European Union (EU)Horizon Europe Research Infrastructures); Oxford Martin School Visiting Fellowship Programme; German Federal Ministry for the Environment, Nature Conservation and Nuclear Safety</t>
  </si>
  <si>
    <t>M.M. is supported by the AXA Research Fund Postdoctoral Fellowship Programme. J.R. received funding from the European Union's Horizon 2020 research and innovation programme under grant agreement No. 642147 (CD-LINKS) and grant agreement No. 641816 (CRESCENDO) and acknowledges support by the Oxford Martin School Visiting Fellowship Programme. C.-F.S. acknowledges support by the German Federal Ministry for the Environment, Nature Conservation and Nuclear Safety (16_II_148_Global_A_IMPACT).</t>
  </si>
  <si>
    <t>10.1038/s41467-018-02985-8</t>
  </si>
  <si>
    <t>FW7LE</t>
  </si>
  <si>
    <t>WOS:000425503500001</t>
  </si>
  <si>
    <t>Davies, CH; Ajani, P; Armbrecht, L; Atkins, N; Baird, ME; Beard, J; Bonham, P; Burford, M; Clementson, L; Coad, P; Crawford, C; Dela-Cruz, J; Doblin, MA; Edgar, S; Eriksen, R; Everett, JD; Furnas, M; Harrison, DP; Hassler, C; Henschke, N; Hoenner, X; Ingleton, T; Jameson, I; Keesing, J; Leterme, SC; McLaughlin, MJ; Miller, M; Moffatt, D; Moss, A; Nayar, S; Patten, NL; Patten, R; Pausina, SA; Proctor, R; Raes, E; Robb, M; Rothlisberg, P; Saeck, EA; Scanes, P; Suthers, IM; Swadling, KM; Talbot, S; Thompson, P; Thomson, PG; Uribe-Palomino, J; van Ruth, P; Waite, AM; Wright, S; Richardson, AJ</t>
  </si>
  <si>
    <t>Davies, Claire H.; Ajani, Penelope; Armbrecht, Linda; Atkins, Natalia; Baird, Mark E.; Beard, Jason; Bonham, Pru; Burford, Michele; Clementson, Lesley; Coad, Peter; Crawford, Christine; Dela-Cruz, Jocelyn; Doblin, Martina A.; Edgar, Steven; Eriksen, Ruth; Everett, Jason D.; Furnas, Miles; Harrison, Daniel P.; Hassler, Christel; Henschke, Natasha; Hoenner, Xavier; Ingleton, Tim; Jameson, Ian; Keesing, John; Leterme, Sophie C.; McLaughlin, M. James; Miller, Margaret; Moffatt, David; Moss, Andrew; Nayar, Sasi; Patten, Nicole L.; Patten, Renee; Pausina, Sarah A.; Proctor, Roger; Raes, Eric; Robb, Malcolm; Rothlisberg, Peter; Saeck, Emily A.; Scanes, Peter; Suthers, Iain M.; Swadling, Kerrie M.; Talbot, Samantha; Thompson, Peter; Thomson, Paul G.; Uribe-Palomino, Julian; van Ruth, Paul; Waite, Anya M.; Wright, Simon; Richardson, Anthony J.</t>
  </si>
  <si>
    <t>A database of chlorophyll a in Australian waters</t>
  </si>
  <si>
    <t>SCIENTIFIC DATA</t>
  </si>
  <si>
    <t>RED TIDE DINOFLAGELLATE; NORTH-WEST-CAPE; NOCTILUCA-SCINTILLANS; COASTAL WATERS; INDIAN-OCEAN; EL-NINO; PHYTOPLANKTON; BIOMASS; CARBON; PRODUCTIVITY</t>
  </si>
  <si>
    <t>Chlorophyll a is the most commonly used indicator of phytoplankton biomass in the marine environment. It is relatively simple and cost effective to measure when compared to phytoplankton abundance and is thus routinely included in many surveys. Here we collate 173, 333 records of chlorophyll a collected since 1965 from Australian waters gathered from researchers on regular coastal monitoring surveys and ocean voyages into a single repository. This dataset includes the chlorophyll a values as measured from samples analysed using spectrophotometry, fluorometry and high performance liquid chromatography (HPLC). The Australian Chlorophyll a database is freely available through the Australian Ocean Data Network portal (https://portal.aodn.org.au/). These data can be used in isolation as an index of phytoplankton biomass or in combination with other data to provide insight into water quality, ecosystem state, and relationships with other trophic levels such as zooplankton or fish.</t>
  </si>
  <si>
    <t>[Davies, Claire H.; Baird, Mark E.; Bonham, Pru; Clementson, Lesley; Eriksen, Ruth; Thompson, Peter] CSIRO Oceans &amp; Atmosphere, Hobart, Tas 7000, Australia; [Ajani, Penelope; Doblin, Martina A.] Univ Technol Sydney, Climate Change Cluster, Broadway, NSW 2007, Australia; [Armbrecht, Linda] Macquarie Univ, Ctr Marine Res, Dept Biol Sci, N Ryde, NSW 2109, Australia; [Atkins, Natalia; Hoenner, Xavier; Proctor, Roger] Univ Tasmania, Integrated Marine Observing Syst, Australian Ocean Data Network, Hobart, Tas 7001, Australia; [Beard, Jason; Crawford, Christine; Swadling, Kerrie M.] Univ Tasmania, Inst Marine &amp; Antarctic Studies, Hobart, Tas 7001, Australia; [Burford, Michele; Saeck, Emily A.] Griffith Univ, Australian Rivers Inst, Nathan, Qld 4111, Australia; [Coad, Peter] Hornsby Shire Council, Nat Resources, Hornsby, NSW 2077, Australia; [Dela-Cruz, Jocelyn; Ingleton, Tim] NSW Off Environm &amp; Heritage, Waters Wetlands &amp; Coasts Sci Branch, Sydney South, NSW 1232, Australia; [Edgar, Steven; Miller, Margaret; Pausina, Sarah A.; Rothlisberg, Peter; Uribe-Palomino, Julian; Richardson, Anthony J.] CSIRO Oceans &amp; Atmosphere, EcoSci Precinct, Dutton Pk, Qld 4102, Australia; [Eriksen, Ruth; Swadling, Kerrie M.] Antarctic Climate &amp; Ecosyst Cooperat Res Ctr, Hobart, Tas 7001, Australia; [Everett, Jason D.; Suthers, Iain M.] Univ New South Wales, Evolut &amp; Ecol Res Ctr, Sydney, NSW 2052, Australia; [Furnas, Miles; Talbot, Samantha] Australian Inst Marine Sci, Townsville, Qld 4810, Australia; [Harrison, Daniel P.; Suthers, Iain M.] Sydney Inst Marine Sci, Mosman, NSW 2088, Australia; [Hassler, Christel] Univ Geneva, Dept FA Forel Environm &amp; Aquat Sci Earth &amp; Enviro, Geneva 4, Switzerland; [Henschke, Natasha] Univ British Columbia, Dept Earth Ocean &amp; Atmospher Sci, Vancouver, BC, Canada; [Jameson, Ian] CSIRO Natl Collect &amp; Marine Infrastruct, Hobart, Tas 7000, Australia; [Keesing, John; McLaughlin, M. James] Indian Ocean Marine Res Ctr UWA, CSIRO Oceans &amp; Atmosphere, Crawley, WA 6009, Australia; [Leterme, Sophie C.] Flinders Univ S Australia, Sch Biol Sci, Adelaide, SA 5001, Australia; [Moffatt, David] Dept Sci Informat Technol &amp; Innovat, Ecosyst Hlth Monitoring Program, Brisbane, Qld 4001, Australia; [Moss, Andrew] Dept Sci Informat Technol &amp; Innovat, Div Sci, Environm Monitoring &amp; Assessment Sci, Brisbane, Qld 4001, Australia; [Nayar, Sasi; Patten, Nicole L.; van Ruth, Paul] South Australian Res &amp; Dev Inst Aquat Sci, Henley Beach, SA 5022, Australia; [Patten, Renee] Ctr Appl Sci, Environm Protect Author, Ernest Jones Dr, Macleod, Vic 3085, Australia; [Pausina, Sarah A.] Univ Queensland, Sch Biol Sci, St Lucia, Qld 4072, Australia; [Raes, Eric; Waite, Anya M.] Univ Western Australia, Sch Civil Environm &amp; Min Engn, Crawley, WA 6009, Australia; [Raes, Eric; Waite, Anya M.] Univ Western Australia, UWA Oceans Inst, Crawley, WA 6009, Australia; [Raes, Eric; Waite, Anya M.] Helmholz Ctr Polar &amp; Marine Res, Alfred Wegener Inst, Handelshafen 12, D-27570 Bremerhaven, Germany; [Raes, Eric; Waite, Anya M.] Univ Bremen, D-28359 Bremen, Germany; [Robb, Malcolm] Dept Water Water Informat &amp; Modelling, Georges Terrace, Perth, WA, Australia; [Scanes, Peter] NSW Off Environm &amp; Heritage, Estuary &amp; Catchment Sci, Sydney South, NSW 1232, Australia; [Thomson, Paul G.] Univ Western Australia, Ocean Grad Sch, Crawley, WA 6009, Australia; [Thomson, Paul G.] Univ Western Australia, UWA Oceans Inst, Crawley, WA 6009, Australia; [Wright, Simon] Australian Antarctic Div, Southern Ocean Ecosyst Change Pprogram, 203 Channel Hwy, Kingston, Tas 7050, Australia; [Wright, Simon] Antarctic Climate &amp; Ecosyst Cooperat Res Ctr, 203 Channel Hwy, Kingston, Tas 7050, Australia; [Richardson, Anthony J.] Univ Queensland, Sch Math &amp; Phys, Ctr Applicat Nat Resource Math CARM, St Lucia, Qld 4072, Australia</t>
  </si>
  <si>
    <t>Commonwealth Scientific &amp; Industrial Research Organisation (CSIRO); University of Technology Sydney; Macquarie University; University of Tasmania; University of Tasmania; Griffith University; Office of Environment &amp; Heritage - New South Wales; Commonwealth Scientific &amp; Industrial Research Organisation (CSIRO); Antarctic Climate &amp; Ecosystems Cooperative Research Centre (ACE CRC); University of New South Wales Sydney; Australian Institute of Marine Science; Sydney Institute of Marine Science; University of Geneva; University of British Columbia; Commonwealth Scientific &amp; Industrial Research Organisation (CSIRO); Commonwealth Scientific &amp; Industrial Research Organisation (CSIRO); University of Western Australia; Flinders University South Australia; University of Queensland; University of Western Australia; University of Western Australia; Helmholtz Association; Alfred Wegener Institute, Helmholtz Centre for Polar &amp; Marine Research; University of Bremen; Office of Environment &amp; Heritage - New South Wales; University of Western Australia; University of Western Australia; Australian Antarctic Division; Antarctic Climate &amp; Ecosystems Cooperative Research Centre (ACE CRC); University of Queensland</t>
  </si>
  <si>
    <t>Davies, CH (corresponding author), CSIRO Oceans &amp; Atmosphere, Hobart, Tas 7000, Australia.</t>
  </si>
  <si>
    <t>claire.davies@csiro.au</t>
  </si>
  <si>
    <t>Hoenner, Xavier/P-2676-2019; /AAY-2080-2020; Ajani, Penelope/K-9987-2019; Armbrecht, Linda/GZB-0547-2022; Burford, Michele/AAS-9084-2020; nayar, Sasi/Q-8101-2019; Doblin, Martina/L-1804-2019; Everett, Jason D/C-4557-2008; Proctor, Roger/J-7320-2014; Davies, Claire H/G-6888-2013; Harrison, Daniel Patrick/AAT-5250-2020; Clementson, Lesley A/M-6905-2013; Richardson, Anthony J/B-3649-2010; davies, claire/O-9219-2019; Burford, Michele/A-3138-2012; Miller, Margaret J/D-2201-2011; Baird, Mark/GLU-2397-2022; McLaughlin, James/H-4994-2013; Waite, Anya/A-5492-2015; Keesing, John/B-1955-2009; Pausina, Sarah/E-5522-2018; Thompson, Peter/A-2361-2012; Suthers, Iain/C-4559-2008; Rothlisberg, Peter/A-1491-2012; Eriksen, Ruth/J-7760-2014; Leterme, Sophie C./A-5013-2013</t>
  </si>
  <si>
    <t>Hoenner, Xavier/0000-0001-5811-1166; /0000-0002-1365-9723; Burford, Michele/0000-0002-1076-6144; nayar, Sasi/0000-0002-3730-6682; Doblin, Martina/0000-0001-8750-3433; Proctor, Roger/0000-0002-6926-2821; Davies, Claire H/0000-0002-0424-1835; Harrison, Daniel Patrick/0000-0001-8353-6107; Richardson, Anthony J/0000-0002-9289-7366; Burford, Michele/0000-0002-1076-6144; Miller, Margaret J/0000-0001-7798-7868; Baird, Mark/0000-0003-4955-2298; McLaughlin, James/0000-0002-9936-1919; Waite, Anya/0000-0003-2965-0296; Keesing, John/0000-0002-0876-2144; Hassler, Christel/0000-0002-8976-5469; Pausina, Sarah/0000-0001-7845-0296; Thompson, Peter/0000-0002-9504-5433; Scanes, Peter/0000-0002-6722-168X; Swadling, Kerrie/0000-0002-7620-841X; Suthers, Iain/0000-0002-9340-7461; Clementson, Lesley/0000-0003-4415-993X; Rothlisberg, Peter/0000-0001-5632-5996; Eriksen, Ruth/0000-0002-5184-2465; Atkins, Natalia/0000-0002-3468-5525; Ajani, Penelope/0000-0001-5364-9936; Saeck, Emily/0000-0002-8548-0300; Leterme, Sophie C./0000-0001-8455-7049; Uribe-Palomino, Julian/0000-0002-6867-2108; Edgar, Steven/0000-0002-0277-7265; van Ruth, Paul/0000-0002-8436-579X</t>
  </si>
  <si>
    <t>Australian Institute of Marine Science; Australian Government [599]; Great Barrier Reef Marine Park Authority - Australian Government Reef Program [806]</t>
  </si>
  <si>
    <t>Australian Institute of Marine Science; Australian Government(Australian Government); Great Barrier Reef Marine Park Authority - Australian Government Reef Program</t>
  </si>
  <si>
    <t>We acknowledge the contributions from all collaborators and their institutions. If data from multiple projects are used, please acknowledge this publication; if individual project data are used, please acknowledge use of data as per the custodian information. We would also encourage data users to enter into collaboration with the researchers involved in the data they use-understanding the history of a project will add value to your research. The relevant acknowledgement data is available from the metadata files attached to the data. If using data from Project 599 the National Reference Stations please use the following acknowledgement: Data sourced from the Integrated Marine Observing System (IMOS) - IMOS is a national collaborative research infrastructure, supported by the Australian Government. It is operated by a consortium of institutions as an unincorporated joint venture, with the University of Tasmania as Lead Agent. Similarly, for Project 806, please use the following acknowledgement: A part of the data included in the database was obtained with support from the Great Barrier Reef Marine Park Authority, through funding from the Australian Government Reef Program and from the Australian Institute of Marine Science. For Project 1129 the information is supplied on the condition that if used in a study or publication the Department of Water is acknowledged as the source of the information. Citations may take the following form:r Water INformation (WIN) database - discrete sample data. [10-04-2017]. Department of Water, Water Information section, Perth Western Australia.</t>
  </si>
  <si>
    <t>2052-4463</t>
  </si>
  <si>
    <t>SCI DATA</t>
  </si>
  <si>
    <t>Sci. Data</t>
  </si>
  <si>
    <t>10.1038/sdata.2018.18</t>
  </si>
  <si>
    <t>FW7KX</t>
  </si>
  <si>
    <t>WOS:000425502700003</t>
  </si>
  <si>
    <t>Mergelov, N; Mueller, CW; Prater, I; Shorkunov, I; Dolgikh, A; Zazovskaya, E; Shishkov, V; Krupskaya, V; Abrosimov, K; Cherkinsky, A; Goryachkin, S</t>
  </si>
  <si>
    <t>Mergelov, Nikita; Mueller, Carsten W.; Prater, Isabel; Shorkunov, Ilya; Dolgikh, Andrey; Zazovskaya, Elya; Shishkov, Vasily; Krupskaya, Victoria; Abrosimov, Konstantin; Cherkinsky, Alexander; Goryachkin, Sergey</t>
  </si>
  <si>
    <t>Alteration of rocks by endolithic organisms is one of the pathways for the beginning of soils on Earth</t>
  </si>
  <si>
    <t>ISOTOPIC EVIDENCE; LIFE; CYANOBACTERIA; ENVIRONMENTS; MATTER; CARBON; MICROORGANISMS; COMMUNITIES; PERSPECTIVE; BIOGENICITY</t>
  </si>
  <si>
    <t>Subaerial endolithic systems of the current extreme environments on Earth provide exclusive insight into emergence and development of soils in the Precambrian when due to various stresses on the surfaces of hard rocks the cryptic niches inside them were much more plausible habitats for organisms than epilithic ones. Using an actualistic approach we demonstrate that transformation of silicate rocks by endolithic organisms is one of the possible pathways for the beginning of soils on Earth. This process led to the formation of soil-like bodies on rocks in situ and contributed to the raise of complexity in subaerial geosystems. Endolithic systems of East Antarctica lack the noise from vascular plants and are among the best available natural models to explore organo-mineral interactions of a very old phylogenetic age (cyanobacteria-to-mineral, fungi-to-mineral, lichen-to-mineral). On the basis of our case study from East Antarctica we demonstrate that relatively simple endolithic systems of microbial and/or cryptogamic origin that exist and replicate on Earth over geological time scales employ the principles of organic matter stabilization strikingly similar to those known for modern full-scale soils of various climates.</t>
  </si>
  <si>
    <t>[Mergelov, Nikita; Shorkunov, Ilya; Dolgikh, Andrey; Zazovskaya, Elya; Shishkov, Vasily; Goryachkin, Sergey] Russian Acad Sci, Dept Soil Geog &amp; Evolut, Inst Geog, Moscow 119017, Russia; [Mueller, Carsten W.; Prater, Isabel] Tech Univ Munich, Lehrstuhl Bodenkunde, D-85354 Freising Weihenstephan, Germany; [Krupskaya, Victoria] Russian Acad Sci, Inst Geol Ore Deposits Petrog Mineral &amp; Geochem, Lab Crystal Chem Minerals, Moscow 119017, Russia; [Abrosimov, Konstantin] Russian Acad Sci, Dept Soil Phys Hydrol &amp; Eros, VV Dokuchaev Soil Sci Inst, Moscow 119017, Russia; [Cherkinsky, Alexander] Univ Georgia, Ctr Appl Isotope Studies, Athens, GA 30602 USA</t>
  </si>
  <si>
    <t>Institute of Geography, Russian Academy of Sciences; Russian Academy of Sciences; Technical University of Munich; Russian Academy of Sciences; Institute of Geology of Ore Deposits, Petrography, Mineralogy &amp; Geochemistry; Russian Academy of Sciences; Dokuchaev Soil Science Institute; University System of Georgia; University of Georgia</t>
  </si>
  <si>
    <t>Mergelov, N (corresponding author), Russian Acad Sci, Dept Soil Geog &amp; Evolut, Inst Geog, Moscow 119017, Russia.</t>
  </si>
  <si>
    <t>mergelov@igras.ru</t>
  </si>
  <si>
    <t>Zazovskaya, Elya/J-4800-2018; Krupskaya, Victoria V/J-7784-2012; Abrosimov, Konstantin Nikolaevich/N-6887-2015; Zazovskaya, Elya/C-3715-2016; Abrosimov, Konstantin/AAK-6353-2021; Shorkunov, Ilia/A-4818-2014; Prater, Isabel/AAX-6435-2020; Mueller, Carsten W/C-2679-2012; Shishkov, Vasily A./J-2446-2018; Dolgikh, Andrey/D-2575-2015; Prater, Isabel/JCP-4941-2023; Mergelov, Nikita S/D-2585-2015; Добрянский, Александр/AAG-6075-2021</t>
  </si>
  <si>
    <t>Zazovskaya, Elya/0000-0002-1202-657X; Abrosimov, Konstantin Nikolaevich/0000-0002-3552-8054; Zazovskaya, Elya/0000-0002-1202-657X; Abrosimov, Konstantin/0000-0002-3552-8054; Mueller, Carsten W/0000-0003-4119-0544; Dolgikh, Andrey/0000-0002-9316-9440; Krupskaya, Victoria/0000-0002-6127-748X; Shorkunov, Ilia/0000-0003-2465-3893; Prater, Isabel/0000-0001-8195-3150</t>
  </si>
  <si>
    <t>Russian Science Foundation [14-27-00133]; Russian Foundation for Basic Research [16-04-01776]; DFG [SPP1158, MU 3021/8-1]; Russian Antarctic Expedition and Arctic Floating University/Northern (Arctic) Federal University; Russian Science Foundation [17-27-00010] Funding Source: Russian Science Foundation</t>
  </si>
  <si>
    <t>Russian Science Foundation(Russian Science Foundation (RSF)); Russian Foundation for Basic Research(Russian Foundation for Basic Research (RFBR)Spanish Government); DFG(German Research Foundation (DFG)); Russian Antarctic Expedition and Arctic Floating University/Northern (Arctic) Federal University; Russian Science Foundation(Russian Science Foundation (RSF))</t>
  </si>
  <si>
    <t>This work has been supported by the Russian Science Foundation, Project No. 14-27-00133 (data synthesis); Russian Foundation for Basic Research, Project No. 16-04-01776; the DFG (SPP1158; Antarctic Research with Comparable Investigations in Arctic Sea Ice Areas; MU 3021/8-1); Russian Antarctic Expedition and Arctic Floating University/Northern (Arctic) Federal University.</t>
  </si>
  <si>
    <t>10.1038/s41598-018-21682-6</t>
  </si>
  <si>
    <t>FW7KA</t>
  </si>
  <si>
    <t>WOS:000425500300039</t>
  </si>
  <si>
    <t>Muñoz-Villagrán, CM; Mendez, KN; Cornejo, F; Figueroa, M; Undabarrena, A; Morales, EH; Arenas-Salinas, M; Arenas, FA; Castro-Nallar, E; Vásquez, CC</t>
  </si>
  <si>
    <t>Melissa Munoz-Villagran, Claudia; Mendez, Katterinne N.; Cornejo, Fabian; Figueroa, Maximiliano; Undabarrena, Agustina; Hugo Morales, Eduardo; Arenas-Salinas, Mauricio; Alejandro Arenas, Felipe; Castro-Nallar, Eduardo; Christian Vasquez, Claudio</t>
  </si>
  <si>
    <t>Comparative genomic analysis of a new tellurite-resistant Psychrobacter strain isolated from the Antarctic Peninsula</t>
  </si>
  <si>
    <t>Ter genes; Antarctica; Extremophiles; Tellurite resistance; Phylogenomics</t>
  </si>
  <si>
    <t>ESCHERICHIA-COLI; SP-NOV; PSYCHROPHILIC MICROORGANISMS; CHROMATE RESISTANCE; OXIDATIVE STRESS; BACTERIUM; SEQUENCE; IDENTIFICATION; MECHANISMS; HALOTOLERANT</t>
  </si>
  <si>
    <t>The Psychrobacter genus is a cosmopolitan and diverse group of aerobic, cold-adapted, Gram-negative bacteria exhibiting biotechnological potential for low-temperature applications including bioremediation. Here, we present the draft genome sequence of a bacterium from the Psychrobacter genus isolated from a sediment sample from King George Island, Antarctica (3,490,622 bp; 18 scaffolds; G + C = 42.76%). Using phylogenetic analysis, biochemical properties and scanning electron microscopy the bacterium was identified as Psychrobacter glacincola BNF20, making it the first genome sequence reported for this species. P. glacincola BNF20 showed high tellurite (MIC 2.3 mM) and chromate (MIC 6.0 mM) resistance, respectively. Genome-wide nucleotide identity comparisons revealed that P. glacincola BNF20 is highly similar (&gt;90%) to other uncharacterized Psychrobacter spp. such as JCM18903, JCM18902, and P11F6. Bayesian multi-locus phylogenetic analysis showed that P. glacincola BNF20 belongs to a polyphyletic clade with other bacteria isolated from polar regions. A high number of genes related to metal(loid) resistance were found, including tellurite resistance genetic determinants located in two contigs: Contig LIQB01000002.1 exhibited five ter genes, each showing putative promoter sequences (terACDEZ), whereas contig LIQB1000003.2 showed a variant of the terZ gene. Finally, investigating the presence and taxonomic distribution of ter genes in the NCBIs RefSeq bacterial database (5,398 genomes, as January 2017), revealed that 2,623 (48.59%) genomes showed at least one ter gene. At the family level, most (68.7%) genomes harbored one ter gene and 15.6% exhibited five (including P. glacincola BNF20). Overall, our results highlight the diverse nature (genetic and geographic diversity) of the Psychrobacter genus, provide insights into potential mechanisms of metal resistance, and exemplify the benefits of sampling remote locations for prospecting new molecular determinants.</t>
  </si>
  <si>
    <t>[Melissa Munoz-Villagran, Claudia; Cornejo, Fabian; Figueroa, Maximiliano; Hugo Morales, Eduardo; Alejandro Arenas, Felipe; Christian Vasquez, Claudio] Univ Santiago Chile, Dept Biol, Lab Microbiol Mol, Santiago, Chile; [Melissa Munoz-Villagran, Claudia] Univ Santo Tomas, Fac Ciencias, Dept Ciencias Basicas, Sede Santiago, Santiago, Chile; [Mendez, Katterinne N.; Castro-Nallar, Eduardo] Univ Andres Bello, Fac Ciencias Biol, Ctr Bioinformat &amp; Integrat Biol, Santiago, Chile; [Undabarrena, Agustina] Univ Tecn Federico Santa Maria, Lab Microbiol Mol &amp; Biotecnol Ambiental, Dept Quim, Valparaiso, Chile; [Undabarrena, Agustina] Univ Tecn Federico Santa Maria, Ctr Biotecnol Daniel Alkalay Lowitt, Valparaiso, Chile; [Arenas-Salinas, Mauricio] Univ Talca, Ctr Bioinformat &amp; Simulac Mol, Talca, Chile</t>
  </si>
  <si>
    <t>Universidad de Santiago de Chile; Universidad Santo Tomas; Universidad Andres Bello; Universidad Tecnica Federico Santa Maria; Universidad Tecnica Federico Santa Maria; Universidad de Talca</t>
  </si>
  <si>
    <t>Vásquez, CC (corresponding author), Univ Santiago Chile, Dept Biol, Lab Microbiol Mol, Santiago, Chile.;Castro-Nallar, E (corresponding author), Univ Andres Bello, Fac Ciencias Biol, Ctr Bioinformat &amp; Integrat Biol, Santiago, Chile.</t>
  </si>
  <si>
    <t>eduardo.castro@unab.cl; claudio.vasquez@usach.cl</t>
  </si>
  <si>
    <t>Castro-Nallar, Eduardo/I-5925-2019</t>
  </si>
  <si>
    <t>Castro-Nallar, Eduardo/0000-0003-4384-8661; Arenas, Mauricio/0000-0001-5143-1845; Undabarrena, Agustina/0000-0001-9273-0665; Cornejo, Fabian/0000-0002-6633-392X; Mendez, Katterinne/0000-0001-9139-3708</t>
  </si>
  <si>
    <t>Fondecyt (Fondo Nacional de Ciencia y Tecnologia) [1130362, 11140334, 3150004, 1160051]; Conicyt (Comision Nacional de Investigacion Cientifica y Tecnologica) doctoral fellowship [21120154]; INACH (Instituto Antartico Chileno) fellowship [DG_03-13]; Fondo de Proyectos para Investigadores Iniciales-Universidad de Talca; Fondecyt de Iniciacion en Investigacion grant [11160905]</t>
  </si>
  <si>
    <t>Fondecyt (Fondo Nacional de Ciencia y Tecnologia)(Comision Nacional de Investigacion Cientifica y Tecnologica (CONICYT)CONICYT FONDECYT); Conicyt (Comision Nacional de Investigacion Cientifica y Tecnologica) doctoral fellowship; INACH (Instituto Antartico Chileno) fellowship; Fondo de Proyectos para Investigadores Iniciales-Universidad de Talca; Fondecyt de Iniciacion en Investigacion grant</t>
  </si>
  <si>
    <t>This work was supported by Fondecyt (Fondo Nacional de Ciencia y Tecnologia) grants (1130362, 11140334, 3150004, 1160051), Conicyt (Comision Nacional de Investigacion Cientifica y Tecnologica) doctoral fellowship (21120154), INACH (Instituto Antartico Chileno) fellowship (DG_03-13). Mauricio Arenas-Salinas was funded by Fondo de Proyectos para Investigadores Iniciales-Universidad de Talca. Eduardo Castro-Nallar was funded by Fondecyt de Iniciacion en Investigacion grant (11160905). The funders had no role in study design, data collection and analysis, decision to publish, or preparation of the manuscript.</t>
  </si>
  <si>
    <t>FEB 19</t>
  </si>
  <si>
    <t>e4402</t>
  </si>
  <si>
    <t>10.7717/peerj.4402</t>
  </si>
  <si>
    <t>FY0PX</t>
  </si>
  <si>
    <t>WOS:000426515100005</t>
  </si>
  <si>
    <t>Turney, CSM; Palmer, J; Maslin, MA; Hogg, A; Fogwill, CJ; Southon, J; Fenwick, P; Helle, G; Wilmshurst, JM; McGlone, M; Ramsey, CB; Thomas, Z; Lipson, M; Beaven, B; Jones, RT; Andrews, O; Hua, Q</t>
  </si>
  <si>
    <t>Turney, Chris S. M.; Palmer, Jonathan; Maslin, Mark A.; Hogg, Alan; Fogwill, Christopher J.; Southon, John; Fenwick, Pavla; Helle, Gerhard; Wilmshurst, Janet M.; McGlone, Matt; Ramsey, Christopher Bronk; Thomas, Zoe; Lipson, Mathew; Beaven, Brent; Jones, Richard T.; Andrews, Oliver; Hua, Quan</t>
  </si>
  <si>
    <t>Global Peak in Atmospheric Radiocarbon Provides a Potential Definition for the Onset of the Anthropocene Epoch in 1965</t>
  </si>
  <si>
    <t>SUB-ANTARCTIC CAMPBELL; SOUTHERN-OCEAN; BOMB RADIOCARBON; CARBON-CYCLE; NEW-ZEALAND; TREE-RINGS; STRATOTYPE SECTION; ICE-CORE; CLIMATE; CO2</t>
  </si>
  <si>
    <t>Anthropogenic activity is now recognised as having profoundly and permanently altered the Earth system, suggesting we have entered a human-dominated geological epoch, the 'Anthropocene'. To formally define the onset of the Anthropocene, a synchronous global signature within geological-forming materials is required. Here we report a series of precisely-dated tree-ring records from Campbell Island (Southern Ocean) that capture peak atmospheric radiocarbon (C-14) resulting from Northern Hemisphere-dominated thermonuclear bomb tests during the 1950s and 1960s. The only alien tree on the island, a Sitka spruce (Picea sitchensis), allows us to seasonally-resolve Southern Hemisphere atmospheric C-14, demonstrating the 'bomb peak' in this remote and pristine location occurred in the last-quarter of 1965 (October-December), coincident with the broader changes associated with the post-World War II 'Great Acceleration' in industrial capacity and consumption. Our findings provide a precisely-resolved potential Global Stratotype Section and Point (GSSP) or 'golden spike', marking the onset of the Anthropocene Epoch.</t>
  </si>
  <si>
    <t>[Turney, Chris S. M.; Palmer, Jonathan; Fogwill, Christopher J.; Thomas, Zoe] Univ New South Wales, Sch Biol Earth &amp; Environm Sci, Palaeontol Geobiol &amp; Earth Arch Res Ctr, Sydney, NSW 2052, Australia; [Turney, Chris S. M.; Palmer, Jonathan; Fogwill, Christopher J.; Thomas, Zoe; Lipson, Mathew] Univ New South Wales, Climate Change Res Ctr, Sch Biol Earth &amp; Environm Sci, Sydney, NSW 2052, Australia; [Turney, Chris S. M.; Palmer, Jonathan; Thomas, Zoe] Univ New South Wales, Sch Biol Earth &amp; Environm Sci, ARC Ctr Excellence Australian Biodivers &amp; Herita, Sydney, NSW 2052, Australia; [Maslin, Mark A.] UCL, Dept Geog, Gower St, London WC1E 6BT, England; [Hogg, Alan] Univ Waikato, Waikato Radiocarbon Lab, Hamilton 3105, New Zealand; [Southon, John] Univ Calif Irvine, Dept Earth Syst Sci, Irvine, CA 92697 USA; [Fenwick, Pavla] Gondwana Tree Ring Lab, POB 14, Canterbury 7546, New Zealand; [Helle, Gerhard] GFZ German Res Ctr Geosci, Sect 5-2, D-14473 Potsdam, Germany; [Wilmshurst, Janet M.; McGlone, Matt] Landcare Res, Long Term Ecol Lab, POB 69040, Lincoln 7640, New Zealand; [Wilmshurst, Janet M.] Univ Auckland, Sch Environm, Private Bag 92019, Auckland 1142, New Zealand; [Ramsey, Christopher Bronk] Univ Oxford, Res Lab Archaeol &amp; Hist Art, Dyson Perrins Bldg,South Parks Rd, Oxford OX1 3QY, England; [Beaven, Brent] Conservat House,POB 10420, Wellington, New Zealand; [Jones, Richard T.] Univ Exeter, Dept Geog, Exeter EX4 4RJ, Devon, England; [Andrews, Oliver] Univ East Anglia, Sch Environm Sci, Tyndall Ctr Climate Change Res, Norwich Res Pk, Norwich NR4 7TJ, Norfolk, England; [Hua, Quan] ANSTO, Locked Bag 2001, Kirrawee Dc, NSW 2232, Australia; [Fogwill, Christopher J.] Univ Keele, Sch Geog Geol &amp; Environm, Keele, Newcastle Under, England</t>
  </si>
  <si>
    <t>University of New South Wales Sydney; University of New South Wales Sydney; University of New South Wales Sydney; University of London; University College London; University of Waikato; University of California System; University of California Irvine; Helmholtz Association; Helmholtz-Center Potsdam GFZ German Research Center for Geosciences; Landcare Research - New Zealand; University of Auckland; University of Oxford; University of Exeter; University of East Anglia; Australian Nuclear Science &amp; Technology Organisation; Keele University</t>
  </si>
  <si>
    <t>Turney, CSM (corresponding author), Univ New South Wales, Sch Biol Earth &amp; Environm Sci, Palaeontol Geobiol &amp; Earth Arch Res Ctr, Sydney, NSW 2052, Australia.;Turney, CSM (corresponding author), Univ New South Wales, Climate Change Res Ctr, Sch Biol Earth &amp; Environm Sci, Sydney, NSW 2052, Australia.;Turney, CSM (corresponding author), Univ New South Wales, Sch Biol Earth &amp; Environm Sci, ARC Ctr Excellence Australian Biodivers &amp; Herita, Sydney, NSW 2052, Australia.</t>
  </si>
  <si>
    <t>c.turney@unsw.edu.au</t>
  </si>
  <si>
    <t>Wilmshurst, Janet/O-8611-2019; Fogwill, Chris/AAW-3502-2021; Lipson, Mathew/AAP-6977-2021; Fogwill, Christopher/HPF-1150-2023; Palmer, Jonathan/J-7834-2012; Helle, Gerd/G-5380-2013; Ramsey, Christopher Bronk/AAQ-2227-2021; CABAH, ARC/T-6419-2019; Hua, Quan/F-9593-2014; Hogg, Alan G/M-8427-2014; Turney, Chris/P-8701-2018; Thomas, Zoe/D-1656-2016</t>
  </si>
  <si>
    <t>Wilmshurst, Janet/0000-0002-4474-8569; Fogwill, Chris/0000-0002-6471-1106; Palmer, Jonathan/0000-0002-6665-4483; Ramsey, Christopher Bronk/0000-0002-8641-9309; Maslin, Mark/0000-0001-9957-3463; Helle, Gerhard/0000-0001-9988-6638; Turney, Chris/0000-0001-6733-0993; Andrews, Oliver/0000-0002-1921-475X; Lipson, Mathew/0000-0001-5322-1796; Thomas, Zoe/0000-0002-2323-4366</t>
  </si>
  <si>
    <t>Australasian Antarctic Expedition; Australian Research Council [FL100100195, FT120100004, DP130104156]; New Zealand Department of Conservation; University of New South Wales; SSIF from the New Zealand Ministry of Business, Innovation and Employment's Science and Innovation Group; Australian Research Council [FT120100004] Funding Source: Australian Research Council</t>
  </si>
  <si>
    <t>Australasian Antarctic Expedition; Australian Research Council(Australian Research Council); New Zealand Department of Conservation; University of New South Wales; SSIF from the New Zealand Ministry of Business, Innovation and Employment's Science and Innovation Group(New Zealand Ministry of Business, Innovation and Employment (MBIE)); Australian Research Council(Australian Research Council)</t>
  </si>
  <si>
    <t>Our thanks to the captain and crew of the MV Akademik Shokalskiy, and Henk Haazen and Kali Kahn on the Tiama for help in the field. This work was supported by the Australasian Antarctic Expedition 2013-2014, the Australian Research Council (FL100100195, FT120100004, and DP130104156), the New Zealand Department of Conservation and the University of New South Wales. Research on the New Zealand subantarctic Campbell Island was undertaken under Department of Conservation National Authorisation Numbers 37687-FAU and 39761-RES. JMW and MSM were supported by SSIF funding for Crown Research Institutes from the New Zealand Ministry of Business, Innovation and Employment's Science and Innovation Group. We thank two anonymous reviewers for their insightful and helpful comments.</t>
  </si>
  <si>
    <t>10.1038/s41598-018-20970-5</t>
  </si>
  <si>
    <t>FW5TG</t>
  </si>
  <si>
    <t>WOS:000425380900076</t>
  </si>
  <si>
    <t>Rosenfeld, S; Marambio, J; Ojeda, J; Rodríguez, JP; González-Wevar, C; Gerard, K; Contador, T; Pizarro, G; Mansilla, A</t>
  </si>
  <si>
    <t>Rosenfeld, Sebastian; Marambio, Johanna; Ojeda, Jaime; Pablo Rodriguez, Juan; Gonzalez-Wevar, Claudio; Gerard, Karin; Contador, Tamara; Pizarro, Gemita; Mansilla, Andres</t>
  </si>
  <si>
    <t>Trophic ecology of two co-existing Sub-Antarctic limpets of the genus Nacella: spatio-temporal variation in food availability and diet composition of Nacella magellanica and N. deaurata</t>
  </si>
  <si>
    <t>Gastropoda; Magellanic Province; herbivory; macroalgae; Nacellidae; periphyton</t>
  </si>
  <si>
    <t>ROCKY INTERTIDAL ZONE; SEASONAL-VARIATIONS; CHILE; MOLLUSKS; ABUNDANCE; STRAIT; COMMUNITIES; REGION; PATELLOGASTROPODA; ASSEMBLAGES</t>
  </si>
  <si>
    <t>Interactions between algae and herbivores can be affected by various factors, such as seasonality and habitat structure. Among herbivores inhabiting marine systems, species of the order Patellogastropoda are considered key organisms in many rocky coasts of the world. Nacella species are one of the most dominant macro-herbivores on the rocky shores of the sub-Antarctic ecoregion of Magellan. However, the importance of its key role must be associated with its trophic ecology. The objective of this work was to evaluate spatial and temporal variabilities in the dietary composition of two intertidal Nacella species, considering grazing on macro- (macroalgae) and microscopic (periphyton) food. The composition of periphyton and the availability of macroalgae in the winter and summer seasons were examined at two localities of the Magellanic province, alongside the gut contents of N. magellanica and N. deaurata. The dietary composition differed between the two Nacella species, as well as between seasons and locations. The differences observed in the diet of the two species of Nacella may be mainly due to their respective distributions in the intertidal zone. Both species presented a generalist strategy of grazing, which is relationed to the seasonality of micro- and macroalgae availability and to the variability of the assemblages between the localities. This research was the first to perform a detailed study of the diet of intertidal Nacella species.</t>
  </si>
  <si>
    <t>[Rosenfeld, Sebastian; Marambio, Johanna; Ojeda, Jaime; Pablo Rodriguez, Juan; Gonzalez-Wevar, Claudio; Gerard, Karin; Mansilla, Andres] Univ Magallanes, Lab Ecosistemas Marinos Antarticos &amp; Subantartico, Casilla 113-D, Punta Arenas, Chile; [Rosenfeld, Sebastian; Marambio, Johanna; Pablo Rodriguez, Juan; Gonzalez-Wevar, Claudio; Mansilla, Andres] IEB, Casilla 653, Santiago, Chile; [Gonzalez-Wevar, Claudio; Gerard, Karin] Univ Magallanes, GAIA Antartica, Dept Recursos Nat, Bulnes 01890, Punta Arenas, Chile; [Contador, Tamara] Univ Magallanes, Parque Etnobot Omora,Teniente Munoz 396, Puerto Williams, Chile; [Pizarro, Gemita] Inst Fomento Pesquero, Casilla 101, Punta Arenas, Chile</t>
  </si>
  <si>
    <t>Universidad de Magallanes; Universidad de Magallanes; Universidad de Magallanes; Instituto de Fomento Pesquero (Valparaiso)</t>
  </si>
  <si>
    <t>Rosenfeld, S (corresponding author), Univ Magallanes, Lab Ecosistemas Marinos Antarticos &amp; Subantartico, Casilla 113-D, Punta Arenas, Chile.;Rosenfeld, S (corresponding author), IEB, Casilla 653, Santiago, Chile.</t>
  </si>
  <si>
    <t>rosenfeld.sebastian@yahoo.com</t>
  </si>
  <si>
    <t>Provoste, Juan Pablo Rodríguez/W-2988-2019; Gerard, Karin/H-6245-2014; González-Wevar, Claudio Alejandro/AAD-6513-2021; Ojeda, Jaime/HHN-1455-2022; Gérard, Karin/AAC-4911-2021; Contador, Tamara/AAC-2161-2021</t>
  </si>
  <si>
    <t>Gérard, Karin/0000-0003-0596-1348; Contador, Tamara/0000-0002-0250-9877; Rosenfeld, Sebastian/0000-0002-4363-8018; pizarro, gemita/0000-0003-2974-2609; ojeda, jaime/0000-0003-3863-9750; Mansilla, Andres/0000-0003-3505-7018</t>
  </si>
  <si>
    <t>Institute of Ecology and Biodiversity (Chile) [ICM P05-002, PFB-23-2008]; Master of Science in Conservation and Management of Sub-Antarctic Ecosystems of the University of Magellan (UMAG); Chile's National Council for Research in Science and Technology (CONICYT) FONDECYT Program [1110875]; Millennium Scientific Initiative, Chile [P05-002 ICM]; FONDECYT program [1110875, 11140087]; Institute of Ecology and Biodiversity (Chile) grant [ICM P05-002]</t>
  </si>
  <si>
    <t>Institute of Ecology and Biodiversity (Chile); Master of Science in Conservation and Management of Sub-Antarctic Ecosystems of the University of Magellan (UMAG); Chile's National Council for Research in Science and Technology (CONICYT) FONDECYT Program; Millennium Scientific Initiative, Chile; FONDECYT program(Comision Nacional de Investigacion Cientifica y Tecnologica (CONICYT)CONICYT FONDECYT); Institute of Ecology and Biodiversity (Chile) grant</t>
  </si>
  <si>
    <t>S.R. would like to thank Mauricio Rosenfeld for all the information provided about the locality of Otway Sound. S.R. and J.M. acknowledge the scholarship received from the Institute of Ecology and Biodiversity (Chile) (ICM P05-002 and PFB-23-2008, respectively) and the Master of Science in Conservation and Management of Sub-Antarctic Ecosystems of the University of Magellan (UMAG). This research was funded by Chile's National Council for Research in Science and Technology (CONICYT) FONDECYT Program grant 1110875 to A. M., the Millennium Scientific Initiative (grant P05-002 ICM, Chile) and the initiation FONDECYT program grant 11140087 to C.G.-W. The authors would like to thank the people of Patagonia Historica S.A. for their valuable support to our fieldwork in Puerto del Hambre. We thank Jorgue Terrados and Jaime Rau for their contribution to various phases of the work. We thank Mathias Hune for the photo of Nacella deaurata. The authors also thank two anonymous referees for their contribution in improving the manuscript.; This works was funded by scholarship received from the Institute of Ecology and Biodiversity (Chile) grant ICM P05-002 to S.R., FONDECYT Program grant 1110875 to A.M., and the initiation FONDECYT program grant 11140087 to C.G.-W. All Authors declares that we have no conflict of interest.</t>
  </si>
  <si>
    <t>10.3897/zookeys.738.21175</t>
  </si>
  <si>
    <t>FW8LF</t>
  </si>
  <si>
    <t>WOS:000425583800001</t>
  </si>
  <si>
    <t>Weller, R; Legrand, M; Preunkert, S</t>
  </si>
  <si>
    <t>Weller, Rolf; Legrand, Michel; Preunkert, Susanne</t>
  </si>
  <si>
    <t>Size distribution and ionic composition of marine summer aerosol at the continental Antarctic site Kohnen</t>
  </si>
  <si>
    <t>DRONNING MAUD LAND; SEGREGATED AEROSOL; PARTICLE FORMATION; BOUNDARY-LAYER; SOUTHERN-OCEAN; ATMOSPHERIC AEROSOLS; CONCORDIA SITE; DOME C; SULFATE; GROWTH</t>
  </si>
  <si>
    <t>We measured aerosol size distributions and conducted bulk and size-segregated aerosol sampling during two summer campaigns in January 2015 and January 2016 at the continental Antarctic station Kohnen (Dronning Maud Land). Physical and chemical aerosol properties differ conspicuously during the episodic impact of a distinctive low-pressure system in 2015 (LPS15) compared to the prevailing clear sky conditions. The approximately 3-day LPS15 located in the eastern Weddell Sea was associated with the following: marine boundary layer air mass intrusion; enhanced condensation particle concentrations (1400 +/- 700 cm(-3) compared to 250 +/- 120 cm(-3) under clear sky conditions; mean +/- SD); the occurrence of a new particle formation event exhibiting a continuous growth of particle diameters (D-p) from 12 to 43 nm over 44 h (growth rate 0.6 nm h(-1)); peaking methane sulfonate (MS-), non-sea-salt sulfate (nss-SO42-), and Na+ concentrations (190 ng m(-3) MS-, 137 ng m(-3) nss-SO42-, and 53 ng m(-3) Na+ compared to 24 +/- 15, 107 +/- 20, and 4.1 +/- 2.2 ng m(-3), respectively, during clear sky conditions); and finally an increased MS- / nss-SO42- mass ratio beta(MS) of 0.4 up to 2.3 (0.21 +/- 0.1 under clear sky conditions) comparable to typical values found at coastal Antarctic sites. Throughout the observation period a larger part of MS could be found in super-micron aerosol compared to nss-SO42-, i.e., (10 +/- 2) % by mass compared to (3.2 +/- 2) %, respectively. On the whole, under clear sky conditions aged aerosol characterized by usually mono-modal size distributions around D-p = 60 nm was observed. Although our observations indicate that the sporadic impacts of coastal cyclones were associated with enhanced marine aerosol entry, aerosol deposition on-site during austral summer should be largely dominated by typical steady clear sky conditions.</t>
  </si>
  <si>
    <t>[Weller, Rolf] Alfred Wegener Inst Polar &amp; Marine Res, Glaciol Dept, Handelshafen 12, D-27570 Bremerhaven, Germany; [Legrand, Michel; Preunkert, Susanne] Univ Grenoble Alpes, CNRS, LGGE, Grenoble, France</t>
  </si>
  <si>
    <t>Helmholtz Association; Alfred Wegener Institute, Helmholtz Centre for Polar &amp; Marine Research; Centre National de la Recherche Scientifique (CNRS); Communaute Universite Grenoble Alpes; Universite Grenoble Alpes (UGA)</t>
  </si>
  <si>
    <t>Weller, R (corresponding author), Alfred Wegener Inst Polar &amp; Marine Res, Glaciol Dept, Handelshafen 12, D-27570 Bremerhaven, Germany.</t>
  </si>
  <si>
    <t>rolf.weller@awi.de</t>
  </si>
  <si>
    <t>Legrand, Michel/AAU-4678-2020</t>
  </si>
  <si>
    <t>Rolf, Weller/0000-0003-4880-5572</t>
  </si>
  <si>
    <t>10.5194/acp-18-2413-2018</t>
  </si>
  <si>
    <t>FW7LU</t>
  </si>
  <si>
    <t>WOS:000425505500004</t>
  </si>
  <si>
    <t>Lawrence, ZD; Manney, GL</t>
  </si>
  <si>
    <t>Lawrence, Zachary D.; Manney, Gloria L.</t>
  </si>
  <si>
    <t>Characterizing Stratospheric Polar Vortex Variability With Computer Vision Techniques</t>
  </si>
  <si>
    <t>computer vision; stratospheric polar vortex; sudden stratospheric warmings; vortex splits; analysis techniques</t>
  </si>
  <si>
    <t>ROSSBY-WAVE PACKETS; IMAGE SEGMENTATION TECHNIQUES; FEATURE-BASED TRACKING; ARCTIC OZONE LOSS; POTENTIAL VORTICITY; SUDDEN WARMINGS; ELLIPTIC DIAGNOSTICS; WINTER STRATOSPHERE; LIFE-CYCLE; PART I</t>
  </si>
  <si>
    <t>Computer vision techniques are used to characterize the Arctic stratospheric polar vortex in 38years of reanalysis data. Such techniques are typically applied to analyses of digital images, but they represent powerful tools that are more widely applicable: basic techniques and considerations for geophysical applications are outlined herein. Segmentation, descriptive, and tracking algorithms are combined in the Characterization and Analysis of Vortex Evolution using Algorithms for Region Tracking (CAVE-ART) package, which was developed to comprehensively describe dynamical and geometrical evolution of polar vortices. CAVE-ART can characterize and track multiple vortex regions through time, providing an extensive suite of region, moments, and edge diagnostics for each. CAVE-ART is valuable for identifying vortex-splitting events including, but not limited to, previously cataloged vortex-split sudden stratospheric warmings. An algorithm for identifying such events detects 52 potential events between 1980 and 2017; of these, 38 are subjectively classified as distinct split-like events. The algorithm based on CAVE-ART is also compared with moment-based methods previously used to detect split events. Furthermore, vortex edge-averaged wind speeds from CAVE-ART are used to define extreme weak and strong polar vortex events over multiple vertical levels; this allows characterization of their occurrence frequencies and extents in time and altitude. Weak and strong events show distinct signatures in CAVE-ART diagnostics: in contrast to weak events, strong vortices are more cylindrical and pole centered, and less filamented, than the climatological state. These results from CAVE-ART exemplify the value of computer vision techniques for analysis of geophysical phenomena. Plain Language Summary A large-scale cyclone called the stratospheric polar vortex forms in the middle atmosphere over the pole every fall in each hemisphere and lasts until spring. The Arctic and Antarctic vortices share many characteristics, including that they consist of strong eastward winds, and they extend from roughly 14km above the surface to beyond 50km. Understanding the behavior of these vortices is important because they affect stratospheric ozone depletion and influence weather and climate. In general, the Arctic stratospheric vortex exhibits anomalous behavior more often than its Antarctic counterpart; understanding such behavior can be aided by examining vortex geometry-their size, shape, location, etc. Here we use computer vision techniques similar to those used to analyze digital images to analyze the geometry of the Arctic polar vortex over years from 1980 to 2017. With these techniques, we find a large number of split-like events in which the Arctic polar vortex breaks apart into two separate vortices. We also find important differences in vortex geometry when the Arctic vortex is strong versus when it is weak. Our results draw attention to details of stratospheric vortex variability that motivate further investigation of the physics that can help scientists better understand middle atmosphere weather and climate.</t>
  </si>
  <si>
    <t>[Lawrence, Zachary D.; Manney, Gloria L.] New Mexico Inst Min &amp; Technol, Dept Phys, Socorro, NM 87801 USA; [Manney, Gloria L.] NorthWest Res Associates, Socorro, NM USA</t>
  </si>
  <si>
    <t>New Mexico Institute of Mining Technology; NorthWest Research Associates</t>
  </si>
  <si>
    <t>Lawrence, ZD (corresponding author), New Mexico Inst Min &amp; Technol, Dept Phys, Socorro, NM 87801 USA.</t>
  </si>
  <si>
    <t>zachary.lawrence@student.nmt.edu</t>
  </si>
  <si>
    <t>Lawrence, Zachary/X-6766-2019; Manney, Gloria/JED-7207-2023</t>
  </si>
  <si>
    <t>Lawrence, Zachary/0000-0003-0901-3839; Manney, Gloria/0000-0003-4489-4811</t>
  </si>
  <si>
    <t>NASA Earth and Space Science Fellowship [NNX16AO19H]; NASA [NNX14AE85G]; JPL Microwave Limb Sounder project through JPL [1521127]; NASA [NNX14AE85G, 684608] Funding Source: Federal RePORTER</t>
  </si>
  <si>
    <t>NASA Earth and Space Science Fellowship; NASA(National Aeronautics &amp; Space Administration (NASA)); JPL Microwave Limb Sounder project through JPL; NASA(National Aeronautics &amp; Space Administration (NASA))</t>
  </si>
  <si>
    <t>We thank Ken Minschwaner and Peter Hitchcock for helpful comments and discussion regarding this manuscript. We also thank the Microwave Limb Sounder team at the Jet Propulsion Laboratory, especially Brian Knosp, for computational, data management, and data processing support. We are grateful to John Albers and an anonymous reviewer for their thoughtful comments and questions that helped us to improve the paper. Z. D. L. was funded by NASA Earth and Space Science Fellowship NNX16AO19H; Z. D. L. and G. L. M. were both supported under NASA grant NNX14AE85G; G. L. M. was also supported by the JPL Microwave Limb Sounder project through JPL Subcontract 1521127. MERRA-2 data are publicly available at https://disc.sci.gsfc.nasa.gov/uui/datasets?keywords=%22MERRA-2%22. Data from CAVE-ART can be provided upon request; please contact Z. D. L. if you are interested in collaborative work using the CAVE- ART products.</t>
  </si>
  <si>
    <t>FEB 16</t>
  </si>
  <si>
    <t>10.1002/2017JD027556</t>
  </si>
  <si>
    <t>FX4UO</t>
  </si>
  <si>
    <t>WOS:000426074000003</t>
  </si>
  <si>
    <t>Labrousse, S; Williams, G; Tamura, T; Bestley, S; Sallée, JB; Fraser, AD; Sumner, M; Roquet, F; Heerah, K; Picard, B; Guinet, C; Harcourt, R; McMahon, C; Hindell, MA; Charrassin, JB</t>
  </si>
  <si>
    <t>Labrousse, Sara; Williams, Guy; Tamura, Takeshi; Bestley, Sophie; Sallee, Jean-Baptiste; Fraser, Alexander D.; Sumner, Michael; Roquet, Fabien; Heerah, Karine; Picard, Baptiste; Guinet, Christophe; Harcourt, Robert; McMahon, Clive; Hindell, Mark A.; Charrassin, Jean-Benoit</t>
  </si>
  <si>
    <t>Coastal polynyas: Winter oases for subadult southern elephant seals in East Antarctica</t>
  </si>
  <si>
    <t>FORAGING BEHAVIOR; WATER FORMATION; CONTINENTAL-SLOPE; EMPEROR PENGUINS; MIROUNGA-LEONINA; SEASONAL CYCLE; MIXED-LAYER; ICE; KRILL; MASSES</t>
  </si>
  <si>
    <t>Antarctic coastal polynyas are regions of persistent open water and are thought to be key bio-physical features within the sea-ice zone. However, their use by the upper trophic levels of ecosystems remains unclear. A unique bio-physical dataset recorded by southern elephant seals reveals that East Antarctic polynyas are a key winter foraging habitat for male seals. During their post-moult trips from Isles Kerguelen to the Antarctic continental shelf, a total of 18 out of 23 seals visited 9 different polynyas, spending on average 25 +/- 20% (up to 75%) of their total trip time inside polynyas. Changes in seal foraging and diving behaviours are observed inside polynyas as compared to outside polynyas. Two polynya usages by seals are observed for the inactive and active polynya phases, pointing to different seasonal peaks in prey abundance. During the active polynya phase, we link seal foraging behaviour to changes in the physical stability of the water-column, which likely impact the seasonal biological dynamics within polynyas.</t>
  </si>
  <si>
    <t>[Labrousse, Sara; Sallee, Jean-Baptiste; Heerah, Karine; Charrassin, Jean-Benoit] UPMC Univ, Sorbonne Univ, CNRS, UMR 7159,IRD,MNHN,LOCEAN,IPSL, F-75005 Paris, France; [Labrousse, Sara; Williams, Guy; Bestley, Sophie; Heerah, Karine; McMahon, Clive; Hindell, Mark A.] Univ Tasmania, Inst Marine &amp; Antarctic Studies, Private Bag 129, Hobart, Tas 7001, Australia; [Williams, Guy; Tamura, Takeshi; Bestley, Sophie; Fraser, Alexander D.; Sumner, Michael; Hindell, Mark A.] Univ Tasmania, Antarctic Climate &amp; Ecosyst Cooperat Res Ctr, Private Bag 80, Hobart, Tas 7001, Australia; [Tamura, Takeshi] Natl Inst Polar Res, Itabashi Ku, 1-9-10 Kaga, Tokyo 1738515, Japan; [Tamura, Takeshi] SOKENDAI Grad Univ Adv Studies, Tachikawa, Tokyo 1908518, Japan; [Bestley, Sophie; Sumner, Michael] Australian Antarctic Div, Kingston, Tas 7050, Australia; [Sallee, Jean-Baptiste] British Antarctic Survey, Cambridge CB3 0ET, England; [Fraser, Alexander D.] Hokkaido Univ, Inst Low Temp Sci, Kita Ku, N19 W8, Sapporo, Hokkaido 0600819, Japan; [Roquet, Fabien] Stockholm Univ, Dept Meteorol, S-10691 Stockholm, Sweden; [Picard, Baptiste; Guinet, Christophe] Univ Rochelle, CNRS, UMR 7372, CEBC, F-79360 Villiers En Bois, France; [Harcourt, Robert; McMahon, Clive] Macquarie Univ, Dept Biol Sci, Sydney, NSW 2109, Australia; [McMahon, Clive] Sydney Inst Marine Sci, 19 Chowder Bay Rd, Mosman, NSW 2088, Australia</t>
  </si>
  <si>
    <t>Institut de Recherche pour le Developpement (IRD); Sorbonne Universite; Museum National d'Histoire Naturelle (MNHN); Centre National de la Recherche Scientifique (CNRS); CNRS - National Institute for Earth Sciences &amp; Astronomy (INSU); Universite Paris Cite; University of Tasmania; University of Tasmania; Antarctic Climate &amp; Ecosystems Cooperative Research Centre (ACE CRC); Research Organization of Information &amp; Systems (ROIS); National Institute of Polar Research (NIPR) - Japan; Graduate University for Advanced Studies - Japan; Australian Antarctic Division; UK Research &amp; Innovation (UKRI); Natural Environment Research Council (NERC); NERC British Antarctic Survey; Hokkaido University; Stockholm University; Centre National de la Recherche Scientifique (CNRS); CNRS - Institute of Ecology &amp; Environment (INEE); Macquarie University; Sydney Institute of Marine Science</t>
  </si>
  <si>
    <t>Labrousse, S (corresponding author), UPMC Univ, Sorbonne Univ, CNRS, UMR 7159,IRD,MNHN,LOCEAN,IPSL, F-75005 Paris, France.;Labrousse, S (corresponding author), Univ Tasmania, Inst Marine &amp; Antarctic Studies, Private Bag 129, Hobart, Tas 7001, Australia.</t>
  </si>
  <si>
    <t>sara.labrousse@gmail.com</t>
  </si>
  <si>
    <t>Bestley, Sophie/AAN-2483-2021; Hindell, Mark A/K-1131-2013; Heerah, karine/F-5368-2013; Guinet, Christophe/AAR-8457-2020; SALLEE, Jean baptiste/HDO-5355-2022; McMahon, Clive R/D-5713-2013; Fraser, Alexander/AFO-7186-2022; Roquet, Fabien/D-4848-2013; Sumner, Michael D/J-3478-2013; SALLEE, Jean baptiste/A-5837-2010</t>
  </si>
  <si>
    <t>Bestley, Sophie/0000-0001-9342-669X; McMahon, Clive R/0000-0001-5241-8917; Fraser, Alexander/0000-0003-1924-0015; Sumner, Michael/0000-0002-2471-7511; Baptiste, Picard/0000-0001-9565-9446; Hindell, Mark/0000-0002-7823-7185; SALLEE, Jean baptiste/0000-0002-6109-5176; Harcourt, Robert/0000-0003-4666-2934; Roquet, Fabien/0000-0003-1124-4564; Labrousse, Sara/0000-0002-8099-3254</t>
  </si>
  <si>
    <t>French Polar Institute (Institut Paul Emile Victor, IPEV) research project [109]; CNES-TOSCA project (Elephants de mer oceanographes); National Collaborative Research Infrastructure Strategy (NCRIS); Australia Research Council Super Science Initiative [FS110200057]; Future Fellowship Program [FT130100692]; Antarctic Climate &amp; Ecosystems Cooperative Research Centre (ACE CRC); European Research Council (ERC) under the European Union's Horizon research and innovation program [637770]; Australian Government; Australian Research Council [FS110200057] Funding Source: Australian Research Council; Grants-in-Aid for Scientific Research [17H04710, 17H06322] Funding Source: KAKEN; NERC [bas010011] Funding Source: UKRI</t>
  </si>
  <si>
    <t>French Polar Institute (Institut Paul Emile Victor, IPEV) research project; CNES-TOSCA project (Elephants de mer oceanographes); National Collaborative Research Infrastructure Strategy (NCRIS)(Australian GovernmentDepartment of Industry, Innovation and Science); Australia Research Council Super Science Initiative; Future Fellowship Program; Antarctic Climate &amp; Ecosystems Cooperative Research Centre (ACE CRC)(Australian GovernmentDepartment of Industry, Innovation and ScienceCooperative Research Centres (CRC) Programme); European Research Council (ERC) under the European Union's Horizon research and innovation program(European Research Council (ERC)); Australian Government(Australian Government); Australian Research Council(Australian Research Council); Grants-in-Aid for Scientific Research(Ministry of Education, Culture, Sports, Science and Technology, Japan (MEXT)Japan Society for the Promotion of ScienceGrants-in-Aid for Scientific Research (KAKENHI)); NERC(UK Research &amp; Innovation (UKRI)Natural Environment Research Council (NERC))</t>
  </si>
  <si>
    <t>This study is part of French Polar Institute (Institut Paul Emile Victor, IPEV) research project IPEV #109 (PI H. Weimerskirch) and was funded by a CNES-TOSCA project (Elephants de mer oceanographes). Data were sourced from the Integrated Marine Observing System (IMOS) - IMOS is a national collaborative research infrastructure, supported by Australian Government. It is operated by a consortium of institutions as an unincorporated joint venture, with the University of Tasmania as Lead Agent. The CTD data were post-processed and made available by the International MEOP Consortium and the national programs that contribute to it (http://www.meop.net). Further Australian Government support was received through the National Collaborative Research Infrastructure Strategy (NCRIS), the Australia Research Council Super Science Initiative (Project FS110200057), Future Fellowship Program (Project FT130100692) and the Cooperative Research Centres program through the Antarctic Climate &amp; Ecosystems Cooperative Research Centre (ACE CRC). J.B. Sallee received funding from the European Research Council (ERC) under the European Union's Horizon 2020 research and innovation program (grant agreement 637770). Passive microwave sea ice concentration data were obtained from the NASA Earth Observing System Distributed Active Archive Center (DAAC) at the U.S. National Snow and Ice Data Center, University of Colorado (http://www.nsidc.org) for SSMI/S. Special thanks go to M. Authier and Y. David for very useful comments. Finally, we would like to thank N. El Skaby and all colleagues and volunteers involved in the research on southern elephant seals in Kerguelen. All animals in this study were treated in accordance with the IPEV ethical and Polar Environment Committees guidelines.</t>
  </si>
  <si>
    <t>10.1038/s41598-018-21388-9</t>
  </si>
  <si>
    <t>FW4LN</t>
  </si>
  <si>
    <t>WOS:000425285200013</t>
  </si>
  <si>
    <t>Antarctic shelf life, exposed</t>
  </si>
  <si>
    <t>FW2ET</t>
  </si>
  <si>
    <t>WOS:000425116200014</t>
  </si>
  <si>
    <t>Medley, B; McConnell, JR; Neumann, TA; Reijmer, CH; Chellman, N; Sigl, M; Kipfstuhl, S</t>
  </si>
  <si>
    <t>Medley, B.; McConnell, J. R.; Neumann, T. A.; Reijmer, C. H.; Chellman, N.; Sigl, M.; Kipfstuhl, S.</t>
  </si>
  <si>
    <t>Temperature and Snowfall in Western Queen Maud Land Increasing Faster Than Climate Model Projections</t>
  </si>
  <si>
    <t>snow accumulation; climate change; ice sheet mass balance</t>
  </si>
  <si>
    <t>SURFACE MASS-BALANCE; ANTARCTIC ICE-SHEET; PRECIPITATION; ACCUMULATION; 20TH-CENTURY; LAYER</t>
  </si>
  <si>
    <t>East Antarctic Ice Sheet (EAIS) mass balance is largely driven by snowfall. Recently, increased snowfall in Queen Maud Land led to years of EAIS mass gain. It is difficult to determine whether these years of enhanced snowfall are anomalous or part of a longer-term trend, reducing our ability to assess the mitigating impact of snowfall on sea level rise. We determine that the recent snowfall increases in western Queen Maud Land (QML) are part of a long-term trend (+5.2 +/- 3.7% decade(-1)) and are unprecedented over the past two millennia. Warming between 1998 and 2016 is significant and rapid (+1.1 +/- 0.7 degrees C decade(-1)). Using these observations, we determine that the current accumulation and temperature increases in QML from an ensemble of global climate simulations are too low, which suggests that projections of the QML contribution to sea level rise are potentially overestimated with a reduced mitigating impact of enhanced snowfall in a warming world.</t>
  </si>
  <si>
    <t>[Medley, B.; Neumann, T. A.] NASA, Cryospher Sci Lab, Goddard Space Flight Ctr, Greenbelt, MD 20771 USA; [McConnell, J. R.; Chellman, N.] Nevada Syst Higher Educ, Desert Res Inst, Reno, NV USA; [Reijmer, C. H.] Univ Utrecht, Inst Marine &amp; Atmospher Res Utrecht, Utrecht, Netherlands; [Sigl, M.] Paul Scherrer Inst, Lab Environm Chem, Villigen, Switzerland; [Kipfstuhl, S.] Helmholtz Ctr Polar &amp; Marine Res, Alfred Wegener Inst, Bremerhaven, Germany</t>
  </si>
  <si>
    <t>National Aeronautics &amp; Space Administration (NASA); NASA Goddard Space Flight Center; Nevada System of Higher Education (NSHE); Desert Research Institute NSHE; Utrecht University; Swiss Federal Institutes of Technology Domain; Paul Scherrer Institute; Helmholtz Association; Alfred Wegener Institute, Helmholtz Centre for Polar &amp; Marine Research</t>
  </si>
  <si>
    <t>Medley, B (corresponding author), NASA, Cryospher Sci Lab, Goddard Space Flight Ctr, Greenbelt, MD 20771 USA.</t>
  </si>
  <si>
    <t>brooke.c.medley@nasa.gov</t>
  </si>
  <si>
    <t>Neumann, Thomas/JLL-4672-2023; Reijmer, Carleen H/G-8736-2011</t>
  </si>
  <si>
    <t>Reijmer, Carleen H/0000-0001-8299-3883; Kipfstuhl, Sepp/0000-0003-1495-5273; Sigl, Michael/0000-0002-9028-9703</t>
  </si>
  <si>
    <t>NSF [0968391]; Netherlands Organization of Scientific Research (NWO); Netherlands Polar Program (NPP)</t>
  </si>
  <si>
    <t>NSF(National Science Foundation (NSF)); Netherlands Organization of Scientific Research (NWO)(Netherlands Organization for Scientific Research (NWO)); Netherlands Polar Program (NPP)</t>
  </si>
  <si>
    <t>We would like to acknowledge J. T. M. Lenaerts for providing the CESM-LE output and for engaging in fruitful discussions that improved the quality of the work presented. The B40 ice core was analyzed using funds from NSF grant 0968391, and the IMAU AWS are funded by the Netherlands Organization of Scientific Research (NWO) and the Netherlands Polar Program (NPP). The CESM-LE data are available online via the Earth System Grid (https://www.earthsystemgrid.org), the ice core accumulation are available at the NASA Goddard Cryosphere data portal (https://neptune.gsfc.nasa.gov/csb/), and the AWS data are at https://www.projects.science.uu.nl/iceclimate/aws/data_aws/.</t>
  </si>
  <si>
    <t>10.1002/2017GL075992</t>
  </si>
  <si>
    <t>FX5ZT</t>
  </si>
  <si>
    <t>WOS:000426161800033</t>
  </si>
  <si>
    <t>Marshall, L; Schmidt, A; Toohey, M; Carslaw, KS; Mann, GW; Sigl, M; Khodri, M; Timmreck, C; Zanchettin, D; Ball, WT; Bekki, S; Brooke, JSA; Dhomse, S; Johnson, C; Lamarque, JF; LeGrande, AN; Mills, MJ; Niemeier, U; Pope, JO; Poulain, V; Robock, A; Rozanov, E; Stenke, A; Sukhodolov, T; Tilmes, S; Tsigaridis, K; Tummon, F</t>
  </si>
  <si>
    <t>Marshall, Lauren; Schmidt, Anja; Toohey, Matthew; Carslaw, Ken S.; Mann, Graham W.; Sigl, Michael; Khodri, Myriam; Timmreck, Claudia; Zanchettin, Davide; Ball, William T.; Bekki, Slimane; Brooke, James S. A.; Dhomse, Sandip; Johnson, Colin; Lamarque, Jean-Francois; LeGrande, Allegra N.; Mills, Michael J.; Niemeier, Ulrike; Pope, James O.; Poulain, Virginie; Robock, Alan; Rozanov, Eugene; Stenke, Andrea; Sukhodolov, Timofei; Tilmes, Simone; Tsigaridis, Kostas; Tummon, Fiona</t>
  </si>
  <si>
    <t>Multi-model comparison of the volcanic sulfate deposition from the 1815 eruption of Mt. Tambora</t>
  </si>
  <si>
    <t>MODEL INTERCOMPARISON PROJECT; ICE CORE RECORDS; EXPLOSIVE VOLCANISM; STRATOSPHERIC AEROSOLS; ATMOSPHERIC CHEMISTRY; EXPERIMENTAL-DESIGN; CLIMATE MODELS; OPTICAL DEPTH; GLOMAP-MODE; SULFUR</t>
  </si>
  <si>
    <t>The eruption of Mt. Tambora in 1815 was the largest volcanic eruption of the past 500 years. The eruption had significant climatic impacts, leading to the 1816 year without a summer, and remains a valuable event from which to understand the climatic effects of large stratospheric volcanic sulfur dioxide injections. The eruption also resulted in one of the strongest and most easily identifiable volcanic sulfate signals in polar ice cores, which are widely used to reconstruct the timing and atmospheric sulfate loading of past eruptions. As part of the Model Intercomparison Project on the climatic response to Volcanic forcing (VolMIP), five state-of-the-art global aerosol models simulated this eruption. We analyse both simulated background (no Tambora) and volcanic (with Tambora) sulfate deposition to polar regions and compare to ice core records. The models simulate overall similar patterns of background sulfate deposition, although there are differences in regional details and magnitude. However, the volcanic sulfate deposition varies considerably between the models with differences in timing, spatial pattern and magnitude. Mean simulated deposited sulfate on Antarctica ranges from 19 to 264 kg km(-2) and on Greenland from 31 to 194 kg km(-2), as compared to the mean ice-core-derived estimates of roughly 50 kg km(-2) for both Greenland and Antarctica. The ratio of the hemispheric atmospheric sulfate aerosol burden after the eruption to the average ice sheet deposited sulfate varies between models by up to a factor of 15. Sources of this inter-model variability include differences in both the formation and the transport of sulfate aerosol. Our results suggest that deriving relationships between sulfate deposited on ice sheets and atmospheric sulfate burdens from model simulations may be associated with greater uncertainties than previously thought.</t>
  </si>
  <si>
    <t>[Marshall, Lauren; Schmidt, Anja; Carslaw, Ken S.; Mann, Graham W.; Dhomse, Sandip] Univ Leeds, Sch Earth &amp; Environm, Inst Climate &amp; Atmospher Sci, Leeds, W Yorkshire, England; [Toohey, Matthew] GEOMAR Helmholtz Ctr Ocean Res Kiel, Kiel, Germany; [Toohey, Matthew; Timmreck, Claudia; Niemeier, Ulrike] Max Planck Inst Meteorol, Hamburg, Germany; [Mann, Graham W.] Univ Leeds, Natl Ctr Atmospher Sci, Leeds, W Yorkshire, England; [Sigl, Michael] Paul Scherrer Inst, Lab Environm Chem, CH-5232 Villigen, Switzerland; [Khodri, Myriam; Poulain, Virginie] Sorbonne Univ, UPMC, UMR CNRS IRD MNHN, Lab Oceanog Climat Experimentat &amp; Approches Numer, F-75005 Paris, France; [Zanchettin, Davide] Univ Ca Foscari Venice, Dept Environm Sci Informat &amp; Stat, Venice, Italy; [Ball, William T.; Rozanov, Eugene; Stenke, Andrea; Tummon, Fiona] ETH, Inst Atmospher &amp; Climate Sci, Zurich, Switzerland; [Ball, William T.; Rozanov, Eugene; Sukhodolov, Timofei] PMO DWRC, Davos, Switzerland; [Bekki, Slimane] UVSQ Paris Saclay, UPMC Paris Sorbonne, CNRS INSU, LATMOS IPSL, Paris, France; [Brooke, James S. A.] Univ Leeds, Sch Chem, Leeds, W Yorkshire, England; [Johnson, Colin] Met Off Hadley Ctr, Exeter, Devon, England; [Lamarque, Jean-Francois; Mills, Michael J.; Tilmes, Simone] Natl Ctr Atmospher Res, Atmospher Chem Observat &amp; Modeling Lab, POB 3000, Boulder, CO 80307 USA; [LeGrande, Allegra N.; Tsigaridis, Kostas] NASA, Goddard Inst Space Studies, New York, NY 10025 USA; [LeGrande, Allegra N.; Tsigaridis, Kostas] Columbia Univ, Ctr Climate Syst Res, New York, NY USA; [Pope, James O.] British Antarctic Survey, Cambridge, England; [Robock, Alan] Rutgers State Univ, Dept Environm Sci, New Brunswick, NJ USA; [Schmidt, Anja] Univ Cambridge, Dept Chem, Cambridge, England; [Schmidt, Anja] Univ Cambridge, Dept Geog, Cambridge, England; [Tummon, Fiona] UiT Arctic Univ Norway, Fac Biosci Fisheries &amp; Econ, Tromso, Norway</t>
  </si>
  <si>
    <t>University of Leeds; Helmholtz Association; GEOMAR Helmholtz Center for Ocean Research Kiel; Max Planck Society; University of Leeds; UK Research &amp; Innovation (UKRI); Natural Environment Research Council (NERC); NERC National Centre for Atmospheric Science; Swiss Federal Institutes of Technology Domain; Paul Scherrer Institute; Sorbonne Universite; Museum National d'Histoire Naturelle (MNHN); Universita Ca Foscari Venezia; Swiss Federal Institutes of Technology Domain; ETH Zurich; Centre National de la Recherche Scientifique (CNRS); CNRS - National Institute for Earth Sciences &amp; Astronomy (INSU); Sorbonne Universite; Universite Paris Saclay; University of Leeds; Met Office - UK; Hadley Centre; National Center Atmospheric Research (NCAR) - USA; National Aeronautics &amp; Space Administration (NASA); NASA Goddard Space Flight Center; Goddard Institute for Space Studies; Columbia University; UK Research &amp; Innovation (UKRI); Natural Environment Research Council (NERC); NERC British Antarctic Survey; Rutgers University System; Rutgers University New Brunswick; University of Cambridge; University of Cambridge; UiT The Arctic University of Tromso</t>
  </si>
  <si>
    <t>Marshall, L (corresponding author), Univ Leeds, Sch Earth &amp; Environm, Inst Climate &amp; Atmospher Sci, Leeds, W Yorkshire, England.</t>
  </si>
  <si>
    <t>eelrm@leeds.ac.uk</t>
  </si>
  <si>
    <t>Rozanov, Eugene/V-1881-2018; bekki, slimane/J-7221-2015; Lamarque, Jean-Francois/L-2313-2014; Brooke, James SA/H-6533-2013; Sukhodolov, Timofei/U-2561-2019; Robock, Alan/B-6385-2016; Toohey, Matthew/G-3129-2010; Stenke, Andrea/GYJ-6299-2022; Schmidt, Anja/ABD-7113-2021; Mills, Michael J/B-5068-2010; Tsigaridis, Kostas/K-8292-2012; Dhomse, Sandip/C-8198-2011; Carslaw, Ken S/C-8514-2009; Toohey, Matthew/AAL-1896-2021; Tilmes, Simone/JUV-6618-2023; Khodri, Myriam/K-1399-2016; LeGrande, Allegra N./D-8920-2012; Mann, Graham/L-9529-2017; Pope, James/E-9473-2017</t>
  </si>
  <si>
    <t>Rozanov, Eugene/0000-0003-0479-4488; bekki, slimane/0000-0002-5538-0800; Schmidt, Anja/0000-0001-8759-2843; Dhomse, Sandip/0000-0003-3854-5383; Carslaw, Ken S/0000-0002-6800-154X; Toohey, Matthew/0000-0002-7070-405X; Tilmes, Simone/0000-0002-6557-3569; Sukhodolov, Timofei/0000-0001-7100-738X; Timmreck, Claudia/0000-0001-5355-0426; Khodri, Myriam/0000-0003-1941-1646; Marshall, Lauren/0000-0003-1471-9481; LeGrande, Allegra N./0000-0002-5295-0062; Stenke, Andrea/0000-0002-5916-4013; Mann, Graham/0000-0003-1746-2837; Pope, James/0000-0001-8945-4209; Sigl, Michael/0000-0002-9028-9703; Tummon, Fiona/0000-0002-6459-339X</t>
  </si>
  <si>
    <t>Labex L-IPSL - ANR [ANR-10-LABX-0018]; Natural Environment Research Council (NERC), UK, through the Leeds-York NERC Doctoral Training Partnership; Deutsche Forschungsgemeinschaft (DEG) [TO 967/1-1]; Academic Research Fellowship from the University of Leeds; SNSF [163206]; NERC [NEK/K012150/1]; US National Science Foundation [AGS-1430051]; National Science Foundation; German Federal Ministry of Education and Research (BMBF), research program MiKliP [FKZ: 01LP1517B]; European Union FP7 project STRATOCLIM [FP7-ENV.2013.6.1-2, 603557]; Swiss National Science Foundation [20F121_138017, 200021_169241]; Natural Environment Research Council [bas0100032, 1508624] Funding Source: researchfish; Swiss National Science Foundation (SNF) [200021_169241] Funding Source: Swiss National Science Foundation (SNF); NERC [bas0100032, NE/R011222/1] Funding Source: UKRI</t>
  </si>
  <si>
    <t>Labex L-IPSL - ANR(Agence Nationale de la Recherche (ANR)); Natural Environment Research Council (NERC), UK, through the Leeds-York NERC Doctoral Training Partnership(UK Research &amp; Innovation (UKRI)Natural Environment Research Council (NERC)); Deutsche Forschungsgemeinschaft (DEG)(German Research Foundation (DFG)); Academic Research Fellowship from the University of Leeds; SNSF(Swiss National Science Foundation (SNSF)); NERC(UK Research &amp; Innovation (UKRI)Natural Environment Research Council (NERC)); US National Science Foundation(National Science Foundation (NSF)); National Science Foundation(National Science Foundation (NSF)); German Federal Ministry of Education and Research (BMBF), research program MiKliP(Federal Ministry of Education &amp; Research (BMBF)); European Union FP7 project STRATOCLIM; Swiss National Science Foundation(Swiss National Science Foundation (SNSF)); Natural Environment Research Council(UK Research &amp; Innovation (UKRI)Natural Environment Research Council (NERC)); Swiss National Science Foundation (SNF)(Swiss National Science Foundation (SNSF)); NERC(UK Research &amp; Innovation (UKRI)Natural Environment Research Council (NERC))</t>
  </si>
  <si>
    <t>Lauren Marshall is supported by the Natural Environment Research Council (NERC), UK, through the Leeds-York NERC Doctoral Training Partnership. Anja Schmidt was funded by an Academic Research Fellowship from the University of Leeds. Alan Robock is supported by US National Science Foundation grant AGS-1430051. Claudia Timmreck received funding from the German Federal Ministry of Education and Research (BMBF), research program MiKliP (FKZ: 01LP1517B). Ulrike Niemeier, Claudia Timmreck and Slimane Bekki acknowledge support from the European Union FP7 project STRATOCLIM (FP7-ENV.2013.6.1-2; project 603557). MAECHAM5-HAM simulations were performed at the German climate Computer Centre (DKRZ). Fiona Tummon was funded by Swiss National Science Foundation grant 20F121_138017. This study benefited from the support of the Labex L-IPSL, which is funded by the ANR (grant no. ANR-10-LABX-0018). Matthew Toohey acknowledges support by the Deutsche Forschungsgemeinschaft (DEG) in the framework of the priority programme Antarctic Research with comparative investigations in Arctic ice areas through grant TO 967/1-1. Eugene Rozanov and Timofei Sukhodolov acknowledge support from the Swiss National Science Foundation under grant 200021_169241 (VEC). William T. Ball was funded by the SNSF project 163206 (SIMA). James Pope was funded by NERC grant NEK/K012150/1. The National Center for Atmospheric Research is funded by the National Science Foundation. We thank Chaochao Gao and an anonymous reviewer for their comments and insight on the manuscript, which greatly helped to improve the paper.</t>
  </si>
  <si>
    <t>FEB 15</t>
  </si>
  <si>
    <t>10.5194/acp-18-2307-2018</t>
  </si>
  <si>
    <t>FW4UT</t>
  </si>
  <si>
    <t>WOS:000425311300006</t>
  </si>
  <si>
    <t>Rehfeld, K; Münch, T; Ho, SL; Laepple, T</t>
  </si>
  <si>
    <t>Rehfeld, Kira; Muench, Thomas; Ho, Sze Ling; Laepple, Thomas</t>
  </si>
  <si>
    <t>Global patterns of declining temperature variability from the Last Glacial Maximum to the Holocene</t>
  </si>
  <si>
    <t>NATURE</t>
  </si>
  <si>
    <t>HIGH-RESOLUTION RECORD; SEA-ICE; CLIMATE-CHANGE; CENTRAL GREENLAND; CORE; RECONSTRUCTION; ACCUMULATION; CALIBRATION; GRIP; CONSTRAINTS</t>
  </si>
  <si>
    <t>Changes in climate variability are as important for society to address as are changes in mean climate(1). Contrasting temperature variability during the Last Glacial Maximum and the Holocene can provide insights into the relationship between the mean state of the climate and its variability(2,3). However, although glacial-interglacial changes in variability have been quantified for Greenland(2), a global view remains elusive. Here we use a network of marine and terrestrial temperature proxies to show that temperature variability decreased globally by a factor of four as the climate warmed by 3-8 degrees Celsius from the Last Glacial Maximum (around 21,000 years ago) to the Holocene epoch (the past 11,500 years). This decrease had a clear zonal pattern, with little change in the tropics (by a factor of only 1.6-2.8) and greater change in the mid-latitudes of both hemispheres (by a factor of 3.3-14). By contrast, Greenland ice-core records show a reduction in temperature variability by a factor of 73, suggesting influences beyond local temperature or a decoupling of atmospheric and global surface temperature variability for Greenland. The overall pattern of reduced variability can be explained by changes in the meridional temperature gradient, a mechanism that points to further decreases in temperature variability in a warmer future.</t>
  </si>
  <si>
    <t>[Rehfeld, Kira; Muench, Thomas; Ho, Sze Ling; Laepple, Thomas] Alfred Wegener Inst, Helmholtz Ctr Polar &amp; Marine Res, Telegrafenberg A43, D-14473 Potsdam, Germany; [Rehfeld, Kira] British Antarctic Survey, Madingley Rd, Cambridge CB3 0ET, England; [Muench, Thomas] Univ Potsdam, Inst Phys &amp; Astron, Karl Liebknecht Str 24-25, D-14476 Potsdam, Germany; [Ho, Sze Ling] Univ Bergen, Allegaten 41, N-5007 Bergen, Norway; [Ho, Sze Ling] Bjerknes Ctr Climate Res, Allegaten 41, N-5007 Bergen, Norway</t>
  </si>
  <si>
    <t>Helmholtz Association; Alfred Wegener Institute, Helmholtz Centre for Polar &amp; Marine Research; UK Research &amp; Innovation (UKRI); Natural Environment Research Council (NERC); NERC British Antarctic Survey; University of Potsdam; University of Bergen; Bjerknes Centre for Climate Research</t>
  </si>
  <si>
    <t>Rehfeld, K (corresponding author), Alfred Wegener Inst, Helmholtz Ctr Polar &amp; Marine Res, Telegrafenberg A43, D-14473 Potsdam, Germany.;Rehfeld, K (corresponding author), British Antarctic Survey, Madingley Rd, Cambridge CB3 0ET, England.</t>
  </si>
  <si>
    <t>krehfeld@awi.de</t>
  </si>
  <si>
    <t>Rehfeld, Kira/O-1781-2019; Rehfeld, Kira/G-9945-2013; Münch, Thomas/AAC-9281-2019</t>
  </si>
  <si>
    <t>Rehfeld, Kira/0000-0002-9442-5362; Rehfeld, Kira/0000-0002-9442-5362; Münch, Thomas/0000-0002-5492-7544; Ho, Sze Ling/0000-0002-4898-9036</t>
  </si>
  <si>
    <t>Initiative and Networking Fund of the Helmholtz Association [VG-900NH]; German Science Foundation (DFG) [RE 3994/1-1]; European Research Council (ERC) under the European Union [716092]; CEA; CNRS; NERC [bas0100034] Funding Source: UKRI; European Research Council (ERC) [716092] Funding Source: European Research Council (ERC)</t>
  </si>
  <si>
    <t>Initiative and Networking Fund of the Helmholtz Association; German Science Foundation (DFG)(German Research Foundation (DFG)); European Research Council (ERC) under the European Union(European Research Council (ERC)); CEA(French Atomic Energy Commission); CNRS(Centre National de la Recherche Scientifique (CNRS)); NERC(UK Research &amp; Innovation (UKRI)Natural Environment Research Council (NERC)); European Research Council (ERC)(European Research Council (ERC)Spanish Government)</t>
  </si>
  <si>
    <t>This study was supported by the Initiative and Networking Fund of the Helmholtz Association grant no. VG-900NH. K.R. acknowledges funding by the German Science Foundation (DFG, code RE 3994/1-1). This project has received funding from the European Research Council (ERC) under the European Union's Horizon 2020 research and innovation programme (grant agreement no. 716092). We acknowledge P. Huybers, L. Sime, M. Holloway and T. Kunz for comments on the manuscript. We thank all original data contributors who made their proxy data available, and acknowledge the World Climate Research Programmes Working Group on Coupled Modelling, which is responsible for CMIP, and thank the climate modelling groups for producing and making available their model output. The US Department of Energy Programme for Climate Model Diagnosis and Intercomparison provided coordinating support for CMIP5 and led development of software infrastructure in partnership with the Global Organization for Earth System Science Portals. The PMIP3 data archives are supported by CEA and CNRS.</t>
  </si>
  <si>
    <t>0028-0836</t>
  </si>
  <si>
    <t>1476-4687</t>
  </si>
  <si>
    <t>Nature</t>
  </si>
  <si>
    <t>10.1038/nature25454</t>
  </si>
  <si>
    <t>FW0PD</t>
  </si>
  <si>
    <t>WOS:000424996300037</t>
  </si>
  <si>
    <t>de Pablo, MA; Ramos, M; Molina, A; Prieto, M</t>
  </si>
  <si>
    <t>de Pablo, M. A.; Ramos, M.; Molina, A.; Prieto, M.</t>
  </si>
  <si>
    <t>Thaw depth spatial and temporal variability at the Limnopolar Lake CALM-S site, Byers Peninsula, Livingston Island, Antarctica</t>
  </si>
  <si>
    <t>Permafrost; Thaw depth; Snow thickness; CALM; Antarctica</t>
  </si>
  <si>
    <t>ACTIVE-LAYER THICKNESS; SOUTH SHETLAND ISLANDS; MONITORING PERIGLACIAL PROCESSES; KUPARUK RIVER-BASIN; THERMAL REGIME; CLIMATE-CHANGE; SNOW COVER; PERMAFROST; ALASKA; TEMPERATURE</t>
  </si>
  <si>
    <t>A new Circumpolar Active Layer Monitoring (CALM) site was established in 2009 at the Limnopolar Lake watershed in Byers Peninsula, Livingston Island, Antarctica, to provide a node in the western Antarctic Peninsula, one of the regions that recorded the highest air temperature increase in the planet during the last decades. The first detailed analysis of the temporal and spatial evolution of the thaw depth at the Limnopolar Lake CALM-S site is presented here, after eight years of monitoring. The average values range between 48 and 29 cm, decreasing at a ratio of 16 cm/decade. The annual thaw depth observations in the 100 x 100 m CALM grid are variable (Variability Index of 34 to 51%), although both the Variance Coefficient and the Climate Matrix Analysis Residual point to the internal consistency of the data. Those differences could be explained then by the terrain complexity and node-specific variability due to the ground properties. The interannual variability was about 60% during 2009-2012, increasing to 124% due to the presence of snow in 2013, 2015 and 2016. The snow has been proposed here as one of the most important factors controlling the spatial variability of ground thaw depth, since its values correlate with the snow thickness but also with the ground surface temperature and unconfined compression resistance, as measured in 2010. The topography explains the thaw depth spatial distribution pattern, being related to snowmelt water and its accumulation in low-elevation areas (downslope-flow). Patterned grounds and other surface features correlate well with high thaw depth patterns as well. The edaphic factor (E = 0.05842 m(2)/degrees C.day; R-2 = 0.63) is in agreement with other permafrost environments, since frozen index (F &gt; N 0.67) and MAAT (&lt;-2 degrees C) denote a continuous permafrost existence in the area. All these characteristics provided the basis for further comparative analyses between others nearby CALM sites. (C) 2017 Elsevier B.V. All rights reserved.</t>
  </si>
  <si>
    <t>[de Pablo, M. A.; Molina, A.] Univ Alcala, Dept Geol Geog &amp; Environm, Fac Biol Environm Sci &amp; Chem, Madrid 28805, Spain; [Ramos, M.] Univ Alcala, Dept Phys &amp; Math, Fac Biol Environm Sci &amp; Chem, Madrid 28805, Spain; [Prieto, M.] Univ Alcala, Dept Automat, Polytech Sch, Madrid 28805, Spain</t>
  </si>
  <si>
    <t>Universidad de Alcala; Universidad de Alcala; Universidad de Alcala</t>
  </si>
  <si>
    <t>de Pablo, MA (corresponding author), Univ Alcala, Dept Geol Geog &amp; Environm, Fac Biol Environm Sci &amp; Chem, Madrid 28805, Spain.;de Pablo, MA (corresponding author), Univ Alcala, Unidad Geol, Dept Geol Geog &amp; Medio Ambiente, Edificio Ciencias,Campus Cient Tecnol, Madrid 28805, Spain.</t>
  </si>
  <si>
    <t>miguelangel.depablo@uah.es</t>
  </si>
  <si>
    <t>Ramos, Miguel/K-2230-2014; Molina, Antonio/AAE-1314-2020; De Pablo, Miguel Ángel/J-6442-2014; Prieto, Manuel/K-8822-2014</t>
  </si>
  <si>
    <t>Ramos, Miguel/0000-0003-3648-6818; Molina, Antonio/0000-0002-5038-2022; De Pablo, Miguel Ángel/0000-0002-4496-2741; Prieto, Manuel/0000-0003-3050-3445</t>
  </si>
  <si>
    <t>PERMATHERMAL from the Spanish Government [UAH-Convenio2015- 001]; PERMASNOW from the Spanish Government [CTM2014-50521-R]; ANTARPERMA from the Spanish Government [CTM2011-15565-E]; PERMAPLANET from the Spanish Government [CTM2009-10165]</t>
  </si>
  <si>
    <t>PERMATHERMAL from the Spanish Government; PERMASNOW from the Spanish Government; ANTARPERMA from the Spanish Government; PERMAPLANET from the Spanish Government</t>
  </si>
  <si>
    <t>The authors want to thank our colleagues Juan Jose Blanco, Ana Salome, and Cayetana Recio for their help in the field activities to monitor active layer thickness at the Limnopolar Lake CALM-S site. Our special thanks go to the mountain guides Hilo Moreno, Inaki Irastorza, David Hita, Juan Carlos Jimenez, and Arkaitz Yurrita, for their help and support in different field campaigns on the Byers Peninsula, as well as to the leader and the entire crew of the Juan Carlos I Spanish Antarctic Station. Authors also thank the Spanish Polar Program, the Unit of Marine Technology from the Spanish National Research Council, as well as to the Spanish Army and the Spanish Navy crews involved on Antarctic Campaigns for made possible the continuous data acquirement on Byers Peninsula between the 2009 and 2016 years. This research was possible thanks to the financial support of PERMATHERMAL (UAH-Convenio2015- 001), PERMASNOW (CTM2014-50521-R), ANTARPERMA (CTM2011-15565-E), and PERMAPLANET (CTM2009-10165) research projects from the Spanish Government.</t>
  </si>
  <si>
    <t>10.1016/j.scitotenv.2017.09.284</t>
  </si>
  <si>
    <t>FM3QQ</t>
  </si>
  <si>
    <t>WOS:000414922600087</t>
  </si>
  <si>
    <t>Lastochkin, AN; Zhirov, AI; Boltramovich, SF</t>
  </si>
  <si>
    <t>Lastochkin, Alexander N.; Zhirov, Andrey I.; Boltramovich, Sergei F.</t>
  </si>
  <si>
    <t>System-morphological approach: Another look at morphology research and geomorphological mapping</t>
  </si>
  <si>
    <t>GEOMORPHOLOGY</t>
  </si>
  <si>
    <t>Geomorphology; System-morphological approach; Morphology research; Geomorphological mapping</t>
  </si>
  <si>
    <t>MAP</t>
  </si>
  <si>
    <t>A large number of studies require a clear and unambiguous morphological basis. For over thirty years, Russian scientists have been applying a system-morphological approach for the Arctic and Antarctic research, ocean floor investigation, for various infrastructure construction projects (oil and gas, sports, etc.), in landscape and environmental studies. This article is a review aimed to introduce this methodological approach to the international scientific community. The details of the methods and techniques can be found in a series of earlier papers published in the Russian language in 1987-2016. The proposed system-morphological approach includes: 1) partitioning of the Earth surface, i.e. precise identification of linear, point, and areal elements of topography considered as a two-dimensional surface without any geological substance; 2) further identification of larger formations: geomorphological systems and regions; 3) analysis of structural relations and symmetry of topography; and 4) various dynamic (litho- and glaciodynamic, tectonic, etc.) interpretations of the observed morphology. This method can be used to study the morphology of the surface topography as well as less accessible interfaces such as submarine and subglacial ones. (C) 2017 Published by Elsevier B.V.</t>
  </si>
  <si>
    <t>[Lastochkin, Alexander N.; Zhirov, Andrey I.; Boltramovich, Sergei F.] St Petersburg State Univ, Dept Geomorphol, VO, 10th Line 33-35, RU-199178 St Petersburg, Russia</t>
  </si>
  <si>
    <t>Saint Petersburg State University</t>
  </si>
  <si>
    <t>Zhirov, AI (corresponding author), St Petersburg State Univ, Dept Geomorphol, VO, 10th Line 33-35, RU-199178 St Petersburg, Russia.</t>
  </si>
  <si>
    <t>a.zhirov@spbu.ru</t>
  </si>
  <si>
    <t>Zhirov, Andrey Ivanovich/K-8896-2013; Zhirov, Andrey/K-7779-2013</t>
  </si>
  <si>
    <t>Zhirov, Andrey/0000-0002-3672-8920; Boltramovich, Sergey/0000-0001-8521-4750</t>
  </si>
  <si>
    <t>0169-555X</t>
  </si>
  <si>
    <t>1872-695X</t>
  </si>
  <si>
    <t>Geomorphology</t>
  </si>
  <si>
    <t>10.1016/j.geomorph.2017.10.022</t>
  </si>
  <si>
    <t>FX8GM</t>
  </si>
  <si>
    <t>WOS:000426330400037</t>
  </si>
  <si>
    <t>Schrader, DL; Nagashima, K; Waitukaitis, SR; Davidson, J; McCoy, TJ; Connolly, HC; Lauretta, DS</t>
  </si>
  <si>
    <t>Schrader, Devin L.; Nagashima, Kazuhide; Waitukaitis, Scott R.; Davidson, Jemma; McCoy, Timothy J.; Connolly, Harold C., Jr.; Lauretta, Dante S.</t>
  </si>
  <si>
    <t>The retention of dust in protoplanetary disks: Evidence from agglomeratic olivine chondrules from the outer Solar System</t>
  </si>
  <si>
    <t>Protoplanetary disk; Asteroid; Comet Wild 2; CR chondrite; Agglomeratic olivine chondrule; Oxygen isotopes</t>
  </si>
  <si>
    <t>COMET 81P/WILD 2; OXYGEN-ISOTOPE COMPOSITIONS; ALUMINUM-RICH INCLUSIONS; CRYSTALLINE SILICATES; CHONDRITE CHONDRULE; II CHONDRULES; PARTICLE; CHRONOLOGY; AL-26; MG</t>
  </si>
  <si>
    <t>By investigating the in situ chemical and O-isotope compositions of olivine in lightly sintered dust agglomerates from the early Solar System, we constrain their origins and the retention of dust in the protoplanetary disk. The grain sizes of silicates in these agglomeratic olivine (AO) chondrules indicate that the grain sizes of chondrule precursors in the Renazzo-like carbonaceous (CR) chondrites ranged from &lt;1 to 80 mm. We infer this grain size range to be equivalent to the size range for dust in the early Solar System. AO chondrules may contain, but are not solely composed of, recycled fragments of earlier formed chondrules. They also contain 16 O-rich olivine related to amoeboid olivine aggregates and represent the best record of chondrule-precursor materials. AO chondrules contain one or more large grains, sometimes similar to FeO-poor (type I) and/or FeO-rich (type II) chondrules, while others contain a type II chondrule core. These morphologies are consistent with particle agglomeration by electrostatic charging of grains during collision, a process that may explain solid agglomeration in the protoplanetary disk in the micrometer size regime. The petrographic, isotopic, and chemical compositions of AO chondrules are consistent with chondrule formation by large-scale shocks, bow shocks, and current sheets. The petrographic, isotopic, and chemical similarities between AO chondrules in CR chondrites and chondrule-like objects from comet 81P/Wild 2 indicate that comets contain AO chondrules. We infer that these AO chondrules likely formed in the inner Solar System and migrated to the comet forming region at least 3Ma after the formation of the first Solar System solids. Observations made in this study imply that the protoplanetary disk retained a dusty disk at least similar to 3.7 Ma after the formation of the first Solar System solids, longer than half of the dusty accretion disks observed around other stars. (C) 2017 Elsevier Ltd. All rights reserved.</t>
  </si>
  <si>
    <t>[Schrader, Devin L.] Arizona State Univ, Ctr Meteorite Studies, Sch Earth &amp; Space Explorat, POB 871404, Tempe, AZ 85287 USA; [Nagashima, Kazuhide] Univ Hawaii Manoa, Hawaii Inst Geophys &amp; Planetol, Sch Ocean &amp; Earth Sci &amp; Technol, Honolulu, HI 96822 USA; [Waitukaitis, Scott R.] Leiden Univ, Huygens Lab, Niels Bohrweg 2, NL-2333 CA Leiden, Netherlands; [Davidson, Jemma] Carnegie Inst Sci, Dept Terr Magnetism, 5241 Broad Branch Rd NW, Washington, DC 20015 USA; [McCoy, Timothy J.] Smithsonian Inst, Natl Museum Nat Hist, Dept Mineral Sci, 10th &amp; Constitution Ave NW, Washington, DC 20560 USA; [Connolly, Harold C., Jr.] Rowan Univ, Sch Earth &amp; Environm, Dept Geol, 201 Mullica Hill Rd, Glassboro, NJ 08028 USA; [Connolly, Harold C., Jr.; Lauretta, Dante S.] Univ Arizona, Lunar &amp; Planetary Lab, Tucson, AZ 85721 USA</t>
  </si>
  <si>
    <t>Arizona State University; Arizona State University-Tempe; University of Hawaii System; University of Hawaii Manoa; Leiden University; Leiden University - Excl LUMC; Carnegie Institution for Science; Smithsonian Institution; Smithsonian National Museum of Natural History; Rowan University; University of Arizona</t>
  </si>
  <si>
    <t>Schrader, DL (corresponding author), Arizona State Univ, Ctr Meteorite Studies, Sch Earth &amp; Space Explorat, POB 871404, Tempe, AZ 85287 USA.</t>
  </si>
  <si>
    <t>devin.schrader@asu.edu</t>
  </si>
  <si>
    <t>Schrader, Devin L/H-6293-2012; Davidson, Jemma/ABB-2655-2021; Davidson, Jemma/G-5760-2018</t>
  </si>
  <si>
    <t>Davidson, Jemma/0000-0002-3725-2960; Davidson, Jemma/0000-0002-3725-2960; Waitukaitis, Scott/0000-0002-2299-3176; Schrader, Devin/0000-0001-5282-232X; Nagashima, Kazuhide/0000-0002-9322-3187; McCoy, Timothy/0000-0002-4573-3553</t>
  </si>
  <si>
    <t>NSF; NASA; NASA [NNX15AH44H]; Smithsonian Institution; University Center for Meteorite Studies</t>
  </si>
  <si>
    <t>NSF(National Science Foundation (NSF)); NASA(National Aeronautics &amp; Space Administration (NASA)); NASA(National Aeronautics &amp; Space Administration (NASA)); Smithsonian Institution(Smithsonian Institution); University Center for Meteorite Studies</t>
  </si>
  <si>
    <t>For supplying the samples that were necessary for this work, the authors would like to thank: the Smithsonian Institution, the members of the Meteorite Working Group, Cecilia Satterwhite and Kevin Righter (NASA, Johnson Space Center), the National Institute of Polar Research (NIPR), Jack Schrader, and Michael Farmer.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thank Diane Johnson and Ian Franchi for the use of, and assistance with, the SEM at the Open University. We are grateful to Tim Gooding and Adam Mansur for assistance with the SEM at SI, Ken Domanik for assistance with EPMA at UA, Axel Wittmann for assistance with EPMA at ASU, and Tim Rose, Emma Bullock, and Steve Lynton for assistance with EPMA at SI. We are also grateful to Daisuke Nakashima, two anonymous reviewers, and Associate Editor Sara Russell, whose constructive comments improved the quality of the manuscript. This research was funded in part by the Arizona State University Center for Meteorite Studies, NASA grant (NNX15AH44H, KN PI), and the Smithsonian Institution.</t>
  </si>
  <si>
    <t>10.1016/j.gca.2017.12.014</t>
  </si>
  <si>
    <t>FW0HA</t>
  </si>
  <si>
    <t>WOS:000424973200024</t>
  </si>
  <si>
    <t>Jones, TR; Roberts, WHG; Steig, EJ; Cuffey, KM; Markle, BR; White, JWC</t>
  </si>
  <si>
    <t>Jones, T. R.; Roberts, W. H. G.; Steig, E. J.; Cuffey, K. M.; Markle, B. R.; White, J. W. C.</t>
  </si>
  <si>
    <t>Southern Hemisphere climate variability forced by Northern Hemisphere ice-sheet topography</t>
  </si>
  <si>
    <t>LAST GLACIAL MAXIMUM; HIGH-LATITUDE CLIMATE; WEST ANTARCTICA; SEA-LEVEL; EL-NINO; ISOTOPIC DIFFUSION; TROPICAL PACIFIC; LATE PLEISTOCENE; COUPLED MODEL; PART 2</t>
  </si>
  <si>
    <t>The presence of large Northern Hemisphere ice sheets and reduced greenhouse gas concentrations during the Last Glacial Maximum fundamentally altered global ocean-atmosphere climate dynamics(1). Model simulations and palaeoclimate records suggest that glacial boundary conditions affected the El Nino-Southern Oscillation(2,3), a dominant source of short-term global climate variability. Yet little is known about changes in short-term climate variability at mid-to high latitudes. Here we use a high-resolution water isotope record from West Antarctica to demonstrate that interannual to decadal climate variability at high southern latitudes was almost twice as large at the Last Glacial Maximum as during the ensuing Holocene epoch (the past 11,700 years). Climate model simulations indicate that this increased variability reflects an increase in the teleconnection strength between the tropical Pacific and West Antarctica, owing to a shift in the mean location of tropical convection. This shift, in turn, can be attributed to the influence of topography and albedo of the North American ice sheets on atmospheric circulation. As the planet deglaciated, the largest and most abrupt decline in teleconnection strength occurred between approximately 16,000 years and 15,000 years ago, followed by a slower decline into the early Holocene.</t>
  </si>
  <si>
    <t>[Jones, T. R.; White, J. W. C.] Univ Colorado, Inst Arctic &amp; Alpine Res, Boulder, CO 80309 USA; [Roberts, W. H. G.] Univ Bristol, Sch Geog Sci, Bristol Res Initiat Dynam Global Environm, Bristol BS8 1SS, Avon, England; [Roberts, W. H. G.] Univ Bristol, Sch Geog Sci, Bristol Glaciol Ctr, Bristol BS8 1SS, Avon, England; [Steig, E. J.; Markle, B. R.] Univ Washington, Dept Earth &amp; Space Sci, Seattle, WA 98195 USA; [Cuffey, K. M.] Univ Calif Berkeley, Dept Geog, Berkeley, CA 94720 USA; [White, J. W. C.] Univ Colorado, Dept Geol Sci, Boulder, CO 80309 USA</t>
  </si>
  <si>
    <t>University of Colorado System; University of Colorado Boulder; University of Bristol; University of Bristol; University of Washington; University of Washington Seattle; University of California System; University of California Berkeley; University of Colorado System; University of Colorado Boulder</t>
  </si>
  <si>
    <t>Jones, TR (corresponding author), Univ Colorado, Inst Arctic &amp; Alpine Res, Boulder, CO 80309 USA.</t>
  </si>
  <si>
    <t>tyler.jones@colorado.edu</t>
  </si>
  <si>
    <t>Steig, Eric J/G-9088-2015; White, James W.C./A-7845-2009; Markle, Bradley R/I-6132-2019</t>
  </si>
  <si>
    <t>Markle, Bradley/0000-0002-2282-6546; Roberts, William/0000-0002-8249-1901</t>
  </si>
  <si>
    <t>US National Science Foundation (NSF) [0537593, 0537661, 0537930, 0539232, 1043092, 1043167, 1043518, 1142166]; NSF [0230396, 0440817, 0944266, 0944348]; NSF Division of Polar Programs; Leverhulme Trust; Directorate For Geosciences; Office of Polar Programs (OPP) [0537930] Funding Source: National Science Foundation; Directorate For Geosciences; Office of Polar Programs (OPP) [0537593] Funding Source: National Science Foundation; Div Of Information &amp; Intelligent Systems; Direct For Computer &amp; Info Scie &amp; Enginr [1245947] Funding Source: National Science Foundation</t>
  </si>
  <si>
    <t>US National Science Foundation (NSF)(National Science Foundation (NSF)); NSF(National Science Foundation (NSF)); NSF Division of Polar Programs(National Science Foundation (NSF)NSF - Directorate for Geosciences (GEO)); Leverhulme Trust(Leverhulme Trust); Directorate For Geosciences; Office of Polar Programs (OPP)(National Science Foundation (NSF)NSF - Directorate for Geosciences (GEO)); Directorate For Geosciences; Office of Polar Programs (OPP)(National Science Foundation (NSF)NSF - Directorate for Geosciences (GEO)); Div Of Information &amp; Intelligent Systems; Direct For Computer &amp; Info Scie &amp; Enginr(National Science Foundation (NSF)NSF - Directorate for Computer &amp; Information Science &amp; Engineering (CISE))</t>
  </si>
  <si>
    <t>This work was supported by US National Science Foundation (NSF) grants 0537593, 0537661, 0537930, 0539232, 1043092, 1043167, 1043518 and 1142166. Field and logistical activities were managed by the WAIS Divide Science Coordination Office at the Desert Research Institute, USA, and the University of New Hampshire, USA (NSF grants 0230396, 0440817, 0944266 and 0944348). The NSF Division of Polar Programs funded the Ice Drilling Program Office (IDPO), the Ice Drilling Design and Operations (IDDO) group, the National Ice Core Laboratory (NICL), the Antarctic Support Contractor, and the 109th New York Air National Guard. W.H.G.R. was funded by a Leverhulme Trust Research Project Grant. All HadCM3 model simulations were carried out using the computational facilities of the Advanced Computing Research Centre, University of Bristol (http://www.bris.ac.uk/acrc/). We thank P.J. Valdes and J.S. Singarayer for providing their model simulations, as well as the groups that provided climate model data as part of the PMIP2/3.</t>
  </si>
  <si>
    <t>10.1038/nature24669</t>
  </si>
  <si>
    <t>WOS:000424996300036</t>
  </si>
  <si>
    <t>Ma, XL; Tian, J; Ma, WT; Li, K; Yu, JM</t>
  </si>
  <si>
    <t>Ma, Xiaolin; Tian, Jun; Ma, Wentao; Li, Ke; Yu, Jimin</t>
  </si>
  <si>
    <t>Changes of deep Pacific overturning circulation and carbonate chemistry during middle Miocene East Antarctic ice sheet expansion</t>
  </si>
  <si>
    <t>deep Pacific Ocean circulation; middle Miocene; carbonate chemistry; East Antarctic ice sheet expansion</t>
  </si>
  <si>
    <t>SOUTH CHINA SEA; OCEAN CIRCULATION; ATMOSPHERIC CO2; PALEOCEANOGRAPHIC EVOLUTION; ISOTOPE STRATIGRAPHY; TECTONIC EVOLUTION; CLIMATE; RECONSTRUCTIONS; PLATEAU; DIOXIDE</t>
  </si>
  <si>
    <t>East Antarctic ice sheet expansion (EAIE) at similar to 13.9 Ma in the middle Miocene represents a major climatic event during the long-term Cenozoic cooling, but ocean circulation and carbon cycle changes during this event remain unclear. Here, we present new fish teeth isotope (epsilon Nd) and benthic foraminiferal B/Ca records from the South China Sea (SCS), newly integrated meridional Pacific benthic foraminiferal delta O-18 and delta C-13 records and simulated results from a biogeochemical box model to explore the responses of deep Pacific Ocean circulation and carbon cycle across EAIE. The epsilon Nd and meridional benthic delta C-13 records reveal a more isolated Pacific Deep Water (PDW) and a sluggish Pacific meridional overturning circulation during the post-EAIE with respect to the pre-EAIE owing to weakened southern-sourced deep water formation. The deep-water [CO32-] and calcium carbonate mass accumulation rate in the SCS display markedly similar increases followed by recoveries to the pre-EAIE level during EAIE, which were probably caused by a shelf-basin shift of CaCO3 deposition and strengthened weathering due to a sea level fall within EAIE. The model results show that the similar to 1 parts per thousand positive delta C-13 excursion during EAIE could be attributed to increased weathering of high-delta C-13 shelf carbonates and a terrestrial carbon reservoir expansion. The drawdown of atmospheric CO2 over the middle Miocene were probably caused by combined effects of increased shelf carbonate weathering, expanded land biosphere carbon storage and a sluggish deep Pacific meridional overturning circulation. (C) 2017 Elsevier B.V. All rights reserved.</t>
  </si>
  <si>
    <t>[Ma, Xiaolin; Tian, Jun; Ma, Wentao; Li, Ke; Yu, Jimin] Tongji Univ, State Key Lab Marine Geol, Shanghai 200092, Peoples R China; [Ma, Xiaolin] Chinese Acad Sci, Inst Earth Environm, State Key Lab Loess &amp; Quaternary Geol, Xian 710075, Shaanxi, Peoples R China; [Ma, Wentao] SOA, Inst Oceanog 2, State Key Lab Satellite Ocean Environm Dynam, Hangzhou 310012, Zhejiang, Peoples R China; [Yu, Jimin] Australian Natl Univ, Res Sch Earth Sci, Canberra, ACT 2601, Australia</t>
  </si>
  <si>
    <t>Tongji University; Chinese Academy of Sciences; Institute of Earth Environment, CAS; Australian National University</t>
  </si>
  <si>
    <t>Ma, XL; Tian, J (corresponding author), Tongji Univ, State Key Lab Marine Geol, Shanghai 200092, Peoples R China.</t>
  </si>
  <si>
    <t>86_PaleoMa@tongji.edu.cn; tianjun@tongji.edu.cn</t>
  </si>
  <si>
    <t>; Yu, Jimin/I-7770-2012</t>
  </si>
  <si>
    <t>Ma, Xiaolin/0000-0002-5073-418X; Yu, Jimin/0000-0002-3896-1777</t>
  </si>
  <si>
    <t>NSFC [41525020, 91428310, 41676026, 41706071]; Shanghai Human Development Fund [201336]; Program of Shanghai Subject Chief Scientist (A type) [16XD1403000]; SOED [QNHX1605]; ARC [DP140101393, FT140100993]; Australian Research Council [FT140100993] Funding Source: Australian Research Council</t>
  </si>
  <si>
    <t>NSFC(National Natural Science Foundation of China (NSFC)); Shanghai Human Development Fund; Program of Shanghai Subject Chief Scientist (A type); SOED; ARC(Australian Research Council); Australian Research Council(Australian Research Council)</t>
  </si>
  <si>
    <t>We are grateful to the editor and two anonymous reviewers for constructive comments that improve the quality of this paper. This research used samples provided by the Integrated Ocean Drilling Program (IODP). Funding for this research was provided by the NSFC (Grant Nos. 41525020, 91428310, 41676026, 41706071), Shanghai Human Development Fund (201336), and Program of Shanghai Subject Chief Scientist (A type) (16XD1403000). WM thanks the grant of Youth Visiting Ocean-Star Scholars fellowship (QNHX1605) from SOED. JY is also funded by ARC DP140101393 and FT140100993.</t>
  </si>
  <si>
    <t>10.1016/j.epsl.2017.12.002</t>
  </si>
  <si>
    <t>FV6XS</t>
  </si>
  <si>
    <t>WOS:000424726000022</t>
  </si>
  <si>
    <t>Weber, M; Coldewey-Egbers, M; Fioletov, VE; Frith, SM; Wild, JD; Burrows, JP; Long, CS; Loyola, D</t>
  </si>
  <si>
    <t>Weber, Mark; Coldewey-Egbers, Melanie; Fioletov, Vitali E.; Frith, Stacey M.; Wild, Jeannette D.; Burrows, John P.; Long, Craig S.; Loyola, Diego</t>
  </si>
  <si>
    <t>Total ozone trends from 1979 to 2016 derived from five merged observational datasets - the emergence into ozone recovery</t>
  </si>
  <si>
    <t>QUASI-BIENNIAL OSCILLATION; TOTAL-COLUMN OZONE; MONITORING EXPERIMENT GOME; ANTARCTIC OZONE; VERTICAL-DISTRIBUTION; MONTREAL PROTOCOL; CLIMATE-CHANGE; MT. PINATUBO; DATA SETS; SAGE II</t>
  </si>
  <si>
    <t>We report on updated trends using different merged datasets from satellite and ground-based observations for the period from 1979 to 2016. Trends were determined by applying a multiple linear regression (MLR) to annual mean zonal mean data. Merged datasets used here include NASA MOD v8.6 and National Oceanic and Atmospheric Administration (NOAA) merge v8.6, both based on data from the series of Solar Backscatter UltraViolet (SBUV) and SBUV-2 satellite instruments (1978-present) as well as the Global Ozone Monitoring Experiment (GOME)-type Total Ozone (GTO) and GOME-SCIAMACHY-GOME-2 (GSG) merged datasets (1995-present), mainly comprising satellite data from GOME, the Scanning Imaging Absorption Spectrometer for Atmospheric Chartography (SCIA-MACHY), and GOME-2A. The fifth dataset consists of the monthly mean zonal mean data from ground-based measurements collected at World Ozone and UV Data Center (WOUDC). The addition of four more years of data since the last World Meteorological Organization (WMO) ozone assessment (2013-2016) shows that for most datasets and regions the trends since the stratospheric halogen reached its maximum (similar to 1996 globally and similar to 2000 in polar regions) are mostly not significantly different from zero. However, for some latitudes, in particular the Southern Hemisphere extratropics and Northern Hemisphere subtropics, several datasets show small positive trends of slightly below +1% decade 1 that are barely statistically significant at the 2 sigma uncertainty level. In the tropics, only two datasets show significant trends of +0.5 to +0.8% decade(-1), while the others show near-zero trends. Positive trends since 2000 have been observed over Antarctica in September, but near-zero trends are found in October as well as in March over the Arctic. Uncertainties due to possible drifts between the datasets, from the merging procedure used to combine satellite datasets and related to the low sampling of ground-based data, are not accounted for in the trend analysis. Consequently, the retrieved trends can be only considered to be at the brink of becoming significant, but there are indications that we are about to emerge into the expected recovery phase. However, the recent trends are still considerably masked by the observed large year-toyear dynamical variability in total ozone.</t>
  </si>
  <si>
    <t>[Weber, Mark; Burrows, John P.] Univ Bremen, Bremen, Germany; [Coldewey-Egbers, Melanie; Loyola, Diego] German Aerosp Ctr DLR, Oberpfaffenhofen, Germany; [Fioletov, Vitali E.] Environm &amp; Climate Change Canada, Toronto, ON, Canada; [Frith, Stacey M.] Sci Syst &amp; Applicat Inc, Lanham, MD USA; [Wild, Jeannette D.; Long, Craig S.] NOAA, NCEP Climate Predict Ctr, College Pk, MD USA; [Wild, Jeannette D.] INNOVIM, Greenbelt, MD USA</t>
  </si>
  <si>
    <t>University of Bremen; Helmholtz Association; German Aerospace Centre (DLR); Environment &amp; Climate Change Canada; Science Systems and Applications Inc; National Oceanic Atmospheric Admin (NOAA) - USA</t>
  </si>
  <si>
    <t>Weber, M (corresponding author), Univ Bremen, Bremen, Germany.</t>
  </si>
  <si>
    <t>weber@uni-bremen.de</t>
  </si>
  <si>
    <t>Burrows, John Philip/AAF-8468-2019; Loyola, Diego/GYO-3213-2022; Frith, Stacey/HMD-9437-2023; Fioletov, Vitali/AAM-1044-2020; Weber, Mark/F-1409-2011</t>
  </si>
  <si>
    <t>Burrows, John Philip/0000-0002-6821-5580; Frith, Stacey/0000-0001-6894-0574; Fioletov, Vitali/0000-0002-2731-5956; Loyola R., Diego G./0000-0002-8547-9350; Weber, Mark/0000-0001-8217-5450; Coldewey-Egbers, Melanie/0000-0002-9275-498X</t>
  </si>
  <si>
    <t>ESA Climate Change Initiative project ozone_cci; DFG Research Unit SHARP (Stratospheric Change and its Role for Climate Prediction); state of Bremen; NASA Long Term Measurement of Ozone program [WBS 479717]</t>
  </si>
  <si>
    <t>ESA Climate Change Initiative project ozone_cci; DFG Research Unit SHARP (Stratospheric Change and its Role for Climate Prediction); state of Bremen; NASA Long Term Measurement of Ozone program</t>
  </si>
  <si>
    <t>Melanie Coldewey-Egbers and Diego Loyola are grateful for the support by the ESA Climate Change Initiative project ozone_cci. Mark Weber and John P. Burrows acknowledge the financial support of the DFG Research Unit SHARP (Stratospheric Change and its Role for Climate Prediction) and the state of Bremen. Stacey M. Frith is supported by the NASA Long Term Measurement of Ozone program WBS 479717. We are grateful for the very helpful comments by both reviewers.</t>
  </si>
  <si>
    <t>FEB 14</t>
  </si>
  <si>
    <t>10.5194/acp-18-2097-2018</t>
  </si>
  <si>
    <t>FW2UU</t>
  </si>
  <si>
    <t>WOS:000425160800001</t>
  </si>
  <si>
    <t>Marin, J; Rapacciuolo, G; Costa, GC; Graham, CH; Brooks, TM; Young, BE; Radeloff, VC; Behm, JE; Helmus, MR; Hedges, SB</t>
  </si>
  <si>
    <t>Marin, Julie; Rapacciuolo, Giovanni; Costa, Gabriel C.; Graham, Catherine H.; Brooks, Thomas M.; Young, Bruce E.; Radeloff, Volker C.; Behm, Jocelyn E.; Helmus, Matthew R.; Hedges, S. Blair</t>
  </si>
  <si>
    <t>Evolutionary time drives global tetrapod diversity</t>
  </si>
  <si>
    <t>PROCEEDINGS OF THE ROYAL SOCIETY B-BIOLOGICAL SCIENCES</t>
  </si>
  <si>
    <t>climatic stability; energy richness; evolutionary rate; evolutionary time; species richness; tetrapod</t>
  </si>
  <si>
    <t>LATITUDINAL GRADIENTS; SPECIES RICHNESS; DIVERSIFICATION RATES; NICHE CONSERVATISM; BIODIVERSITY; ENERGY; EXTINCTION; SPECIATION; HISTORY; PATTERN</t>
  </si>
  <si>
    <t>Global variation in species richness is widely recognized, but the explanation for what drives it continues to be debated. Previous efforts have focused on a subset of potential drivers, including evolutionary rate, evolutionary time (maximum clade age of species restricted to a region), dispersal (migration from one region to another), ecological factors and climatic stability. However, no study has evaluated these competing hypotheses simultaneously at a broad spatial scale. Here, we examine their relative contribution in determining the richness of the most comprehensive dataset of tetrapods to our knowledge (84% of the described species), distinguishing between the direct influences of evolutionary rate, evolutionary time and dispersal, and the indirect influences of ecological factors and climatic stability through their effect on direct factors. We found that evolutionary time exerted a primary influence on species richness, with evolutionary rate being of secondary importance. By contrast, dispersal did not significantly affect richness patterns. Ecological and climatic stability factors influenced species richness indirectly by modifying evolutionary time (i.e. persistence time) and rate. Overall, our findings suggest that global heterogeneity in tetrapod richness is explained primarily by the length of time species have had to diversify.</t>
  </si>
  <si>
    <t>[Marin, Julie; Behm, Jocelyn E.; Helmus, Matthew R.; Hedges, S. Blair] Temple Univ, Ctr Biodivers, 502 SERC Bldg,1925 N 12th St, Philadelphia, PA 19122 USA; [Marin, Julie] Sorbonne Univ, Museum Natl Hist Nat, Inst Systemat Evolut Biodivers, Dept Systemat &amp; Evolut,UMR 7205, F-75231 Paris 05, France; [Rapacciuolo, Giovanni] Univ Calif Merced, Life &amp; Environm Sci, 5200 N Lake Rd, Merced, CA 95340 USA; [Rapacciuolo, Giovanni; Young, Bruce E.] NatureServe, 4600 N Fairfax Dr,7th Floor, Arlington, VA 22203 USA; [Costa, Gabriel C.] Auburn Univ, Dept Biol, Montgomery, AL 36124 USA; [Graham, Catherine H.] Swiss Fed Inst Forest Snow &amp; Landscape, Birmensdorf, Switzerland; [Brooks, Thomas M.] Int Union Conservat Nat, Gland, Switzerland; [Brooks, Thomas M.] Univ Philippines Los Banos, World Agroforestry Ctr ICRAF, Laguna 4031, Philippines; [Brooks, Thomas M.] Univ Tasmania, Inst Marine &amp; Antarctic Studies, Hobart, Tas 7001, Australia; [Radeloff, Volker C.] Univ Wisconsin, Dept Forestry &amp; Wildlife Ecol, SILVIS Lab, Madison, WI USA; [Behm, Jocelyn E.] Vrije Univ Amsterdam, Dept Anim Ecol, NL-1081 HV Amsterdam, Netherlands</t>
  </si>
  <si>
    <t>Pennsylvania Commonwealth System of Higher Education (PCSHE); Temple University; Centre National de la Recherche Scientifique (CNRS); CNRS - Institute of Ecology &amp; Environment (INEE); Sorbonne Universite; Museum National d'Histoire Naturelle (MNHN); University of California System; University of California Merced; Nature Conservancy; Auburn University System; Auburn University Montgomery; Auburn University; Swiss Federal Institutes of Technology Domain; Swiss Federal Institute for Forest, Snow &amp; Landscape Research; CGIAR; World Agroforestry (ICRAF); University of the Philippines System; University of the Philippines Los Banos; University of Tasmania; University of Wisconsin System; University of Wisconsin Madison; Vrije Universiteit Amsterdam</t>
  </si>
  <si>
    <t>Marin, J (corresponding author), Temple Univ, Ctr Biodivers, 502 SERC Bldg,1925 N 12th St, Philadelphia, PA 19122 USA.</t>
  </si>
  <si>
    <t>juliemarin46@gmail.com</t>
  </si>
  <si>
    <t>Helmus, Matthew R./C-4998-2015; Costa, Gabriel C/A-4147-2008; Radeloff, Volker C/B-6124-2016; Graham, Catherine H/A-9560-2011; Marin, Julie/HDN-8733-2022</t>
  </si>
  <si>
    <t>Helmus, Matthew R./0000-0003-3977-0507; Costa, Gabriel C/0000-0002-6777-6706; Marin, Julie/0000-0002-7160-9302; Rapacciuolo, Giovanni/0000-0003-1494-9017; Brooks, Thomas/0000-0001-8159-3116</t>
  </si>
  <si>
    <t>US National Science Foundation [1136590, 1455762, 1136705, 1136592]; Direct For Biological Sciences; Division Of Environmental Biology [1136705, 1136592] Funding Source: National Science Foundation; Div Of Biological Infrastructure; Direct For Biological Sciences [1455762] Funding Source: National Science Foundation</t>
  </si>
  <si>
    <t>US National Science Foundation(National Science Foundation (NSF)); Direct For Biological Sciences; Division Of Environmental Biology(National Science Foundation (NSF)NSF - Directorate for Biological Sciences (BIO)); Div Of Biological Infrastructure; Direct For Biological Sciences(National Science Foundation (NSF)NSF - Directorate for Biological Sciences (BIO))</t>
  </si>
  <si>
    <t>This work was supported by grants from the US National Science Foundation to S.B.H. (1136590 and 1455762), to T.M.B., G.C.C. and B.E.Y. (1136705), to C.H.G. (1136705) and to V.C.R. (1136592).</t>
  </si>
  <si>
    <t>0962-8452</t>
  </si>
  <si>
    <t>1471-2954</t>
  </si>
  <si>
    <t>P ROY SOC B-BIOL SCI</t>
  </si>
  <si>
    <t>Proc. R. Soc. B-Biol. Sci.</t>
  </si>
  <si>
    <t>10.1098/rspb.2017.2378</t>
  </si>
  <si>
    <t>Biology; Ecology; Evolutionary Biology</t>
  </si>
  <si>
    <t>Life Sciences &amp; Biomedicine - Other Topics; Environmental Sciences &amp; Ecology; Evolutionary Biology</t>
  </si>
  <si>
    <t>FX9ZH</t>
  </si>
  <si>
    <t>WOS:000426469200004</t>
  </si>
  <si>
    <t>Parker, LM; O'Connor, WA; Byrne, M; Dove, M; Coleman, RA; Pörtner, HO; Scanes, E; Virtue, P; Gibbs, M; Ross, PM</t>
  </si>
  <si>
    <t>Parker, Laura M.; O'Connor, Wayne A.; Byrne, Maria; Dove, Michael; Coleman, Ross A.; Poertner, Hans-O; Scanes, Elliot; Virtue, Patti; Gibbs, Mitchell; Ross, Pauline M.</t>
  </si>
  <si>
    <t>Ocean acidification but not warming alters sex determination in the Sydney rock oyster, Saccostrea glomerata</t>
  </si>
  <si>
    <t>ocean acidification; ocean warming; sex determination; gender; oysters</t>
  </si>
  <si>
    <t>CRASSOSTREA-GIGAS; REPRODUCTIVE EFFORT; PACIFIC OYSTER; PEARL OYSTER; TEMPERATURE; PHYSIOLOGY; SEAWATER; CYCLE; PHOTOPERIOD; RESPONSES</t>
  </si>
  <si>
    <t>Whether sex determination of marine organisms can be altered by ocean acidification and warming during this century remains a significant, unanswered question. Here, we show that exposure of the protandric hermaphrodite oyster, Saccostrea glomerata to ocean acidification, but not warming, alters sex determination resulting in changes in sex ratios. After just one reproductive cycle there were 16% more females than males. The rate of gametogenesis, gonad area, fecundity, shell length, extracellular pH and survival decreased in response to ocean acidification. Warming as a sole stressor slightly increased the rate of gametogenesis, gonad area and fecundity, but this increase was masked by the impact of ocean acidification at a level predicted for this century. Alterations to sex determination, sex ratios and reproductive capacity will have flow on effects to reduce larval supply and population size of oysters and potentially other marine organisms.</t>
  </si>
  <si>
    <t>[Parker, Laura M.; Byrne, Maria; Coleman, Ross A.; Scanes, Elliot; Gibbs, Mitchell; Ross, Pauline M.] Univ Sydney, Sch Life &amp; Environm Sci, Sydney, NSW 2006, Australia; [Parker, Laura M.; Byrne, Maria; Coleman, Ross A.; Scanes, Elliot; Gibbs, Mitchell; Ross, Pauline M.] Univ Sydney, Sch Med Sci, Sydney, NSW 2006, Australia; [Byrne, Maria] NSW Dept Primary Ind, Port Stephens Fisheries Inst, Taylors Beach, NSW 2316, Australia; [Poertner, Hans-O] Hermann von Helmholtz Assoc Natl Res Ctr eV HGF, Alfred Wegener Inst Polar &amp; Marine Res, Handelshafen 12, Bremerhaven, Germany; [Virtue, Patti] Univ Tasmania, Inst Marine &amp; Antarctic Studies, Private Bag 129, Hobart, Tas 7001, Australia</t>
  </si>
  <si>
    <t>University of Sydney; University of Sydney; NSW Department of Primary Industries; Helmholtz Association; Alfred Wegener Institute, Helmholtz Centre for Polar &amp; Marine Research; University of Tasmania</t>
  </si>
  <si>
    <t>Parker, LM (corresponding author), Univ Sydney, Sch Life &amp; Environm Sci, Sydney, NSW 2006, Australia.;Parker, LM (corresponding author), Univ Sydney, Sch Med Sci, Sydney, NSW 2006, Australia.</t>
  </si>
  <si>
    <t>l.parker@sydney.edu.au</t>
  </si>
  <si>
    <t>Ross, Pauline Mary/GNH-4973-2022; O'Connor, Wayne/AAL-8097-2020; Pörtner, Hans-O./ISU-9397-2023; Pörtner, Hans-O./K-9429-2016; Byrne, Maria/K-6355-2016; Dove, Michael C/B-4299-2008; Coleman, Ross/B-1314-2008; Scanes, Elliot/W-1244-2018</t>
  </si>
  <si>
    <t>Pörtner, Hans-O./0000-0001-6535-6575; Byrne, Maria/0000-0002-8902-9808; Ross, Pauline/0000-0002-8714-5194; Coleman, Ross/0000-0003-4136-5914; Scanes, Elliot/0000-0001-7520-3804; O'Connor, Wayne/0000-0002-0972-4668; Parker, Laura/0000-0003-3139-1844</t>
  </si>
  <si>
    <t>Australian Research Council Discovery Indigenous grant [IN140100025]; Australian Research Council [IN140100025] Funding Source: Australian Research Council</t>
  </si>
  <si>
    <t>Australian Research Council Discovery Indigenous grant(Australian Research Council); Australian Research Council(Australian Research Council)</t>
  </si>
  <si>
    <t>This research was supported by an Australian Research Council Discovery Indigenous grant to L.M.P., R.C., P.M.R. and P.V. (grant number IN140100025).</t>
  </si>
  <si>
    <t>10.1098/rspb.2017.2869</t>
  </si>
  <si>
    <t>WOS:000426469200019</t>
  </si>
  <si>
    <t>Karanovic, I</t>
  </si>
  <si>
    <t>Karanovic, Ivana</t>
  </si>
  <si>
    <t>A new Candonopsini (Ostracoda) genus from subterranean waters of New South Wales (Australia)</t>
  </si>
  <si>
    <t>Australia; biodiversity; cladistics; stygofauna; taxonomy; zoogeography</t>
  </si>
  <si>
    <t>CANDONINAE CRUSTACEA; AGE</t>
  </si>
  <si>
    <t>The Australian Candonidae ostracod fauna has few surface water representatives, despite Australia being one of the principal centers of Candonidae biodiversity. The majority of Australian species live in subterranean waters, with most genera and one tribe being endemic to the continent. Species in Australia show Tethyan and Gondwana connections, with relatives living in European and Central/South American subterranean waters. I describe Hancockcandonopsis gen. nov. from boreholes in the alluvial aquifers of the Peel River and Hunter Valley, which at present contains five species, of which three are named, H. inachos sp. nov., H. io sp. nov., and H. tamworthi sp. nov., and two are left on the open nomenclature. All species are allopatric and short range endemics. The genus belongs to the almost cosmopolitan Candonopsini tribe, and the major generic autapomorphy is a hook-shaped h3-seta on the cleaning leg. Characters on the prehensile palps and hemipenis of Hancockcandonopsis indicate a close relationship with the Queensland genus Pioneercandonopsis Karanovic, 2005 and two West Indies genera, Cubacandona Danielopol, 1978 and Caribecandona Broodbaker, 1983. A cladistic analysis, based on 32 Candonopsini species and 24 morphological characters, is used to test phylogenetic relationships among Candonopsini genera globally. Several hypotheses about the historical biogeography of this tribe are discussed.</t>
  </si>
  <si>
    <t>[Karanovic, Ivana] Hanyang Univ, Coll Nat Sci, Dept Life Sci, Seoul 133791, South Korea; [Karanovic, Ivana] Univ Tasmania, Inst Marine &amp; Antarctic Studies, Private Bag 49, Hobart, Tas 7001, Australia</t>
  </si>
  <si>
    <t>Hanyang University; University of Tasmania</t>
  </si>
  <si>
    <t>Karanovic, I (corresponding author), Hanyang Univ, Coll Nat Sci, Dept Life Sci, Seoul 133791, South Korea.;Karanovic, I (corresponding author), Univ Tasmania, Inst Marine &amp; Antarctic Studies, Private Bag 49, Hobart, Tas 7001, Australia.</t>
  </si>
  <si>
    <t>National Research Foundation of Korea [2016R1D1A1B01009806]</t>
  </si>
  <si>
    <t>National Research Foundation of Korea(National Research Foundation of Korea)</t>
  </si>
  <si>
    <t>The study is supported by National Research Foundation of Korea (grant no: 2016R1D1A1B01009806). I also want to thank two reviewers, Dr Stuart Halse (Bennelongia Environmental Consultants, Perth, Western Australia) and Dr Dayou Zhai (Yunnan Key Laboratory for Palaeobiology, Yunnan University) who greatly improved this paper.</t>
  </si>
  <si>
    <t>10.11646/zootaxa.4379.2.6</t>
  </si>
  <si>
    <t>FW1VR</t>
  </si>
  <si>
    <t>WOS:000425088700006</t>
  </si>
  <si>
    <t>Haward, M</t>
  </si>
  <si>
    <t>Haward, Marcus</t>
  </si>
  <si>
    <t>Plastic pollution of the world's seas and oceans as a contemporary challenge in ocean governance</t>
  </si>
  <si>
    <t>The pervasive nature of marine plastic pollution was highlighted at the recent United Nations Environment Assembly. This meeting saw strong commitments for action, but at the same time reinforced the challenges for contemporary ocean governance in addressing marine plastic pollution.</t>
  </si>
  <si>
    <t>[Haward, Marcus] Univ Tasmania, Inst Marine &amp; Antarctic Studies, Hobart, Tas 7005, Australia</t>
  </si>
  <si>
    <t>Haward, M (corresponding author), Univ Tasmania, Inst Marine &amp; Antarctic Studies, Hobart, Tas 7005, Australia.</t>
  </si>
  <si>
    <t>Marcus.Haward@utas.edu.au</t>
  </si>
  <si>
    <t>Haward, Marcus/G-3369-2014</t>
  </si>
  <si>
    <t>Haward, Marcus/0000-0003-4775-0864</t>
  </si>
  <si>
    <t>10.1038/s41467-018-03104-3</t>
  </si>
  <si>
    <t>FW0MH</t>
  </si>
  <si>
    <t>WOS:000424988700007</t>
  </si>
  <si>
    <t>Donovan, PD; Gonzalez, G; Higgins, DG; Butler, G; Ito, K</t>
  </si>
  <si>
    <t>Donovan, Paul D.; Gonzalez, Gabriel; Higgins, Desmond G.; Butler, Geraldine; Ito, Kimihito</t>
  </si>
  <si>
    <t>Identification of fungi in shotgun metagenomics datasets</t>
  </si>
  <si>
    <t>INTERNAL TRANSCRIBED SPACER; ENTEROCYTOZOON-BIENEUSI; GENOME; PREVALENCE; ALIGNMENT; CLASSIFICATION; PROTEINS; SEQUENCE; REVEALS; NUCLEAR</t>
  </si>
  <si>
    <t>Metagenomics uses nucleic acid sequencing to characterize species diversity in different niches such as environmental biomes or the human microbiome. Most studies have used 16S rRNA amplicon sequencing to identify bacteria. However, the decreasing cost of sequencing has resulted in a gradual shift away from amplicon analyses and towards shotgun metagenomic sequencing. Shotgun metagenomic data can be used to identify a wide range of species, but have rarely been applied to fungal identification. Here, we develop a sequence classification pipeline, FindFungi, and use it to identify fungal sequences in public metagenome datasets. We focus primarily on animal metagenomes, especially those from pig and mouse microbiomes. We identified fungi in 39 of 70 datasets comprising 71 fungal species. At least 11 pathogenic species with zoonotic potential were identified, including Candida tropicalis. We identified Pseudogymnoascus species from 13 Antarctic soil samples initially analyzed for the presence of bacteria capable of degrading diesel oil. We also show that Candida tropicalis and Candida loboi are likely the same species. In addition, we identify several examples where contaminating DNA was erroneously included in fungal genome assemblies.</t>
  </si>
  <si>
    <t>[Donovan, Paul D.; Butler, Geraldine] Univ Coll Dublin, Sch Biomed &amp; Biomol Sci, Dublin, Ireland; [Donovan, Paul D.; Butler, Geraldine] Univ Coll Dublin, Conway Inst Biomol &amp; Biomed Res, Conway Inst, Dublin, Ireland; [Gonzalez, Gabriel; Ito, Kimihito] Hokkaido Univ, Div Bioinformat, Res Ctr Zoonosis Control, Sapporo, Hokkaido, Japan; [Higgins, Desmond G.] Univ Coll Dublin, Sch Med, Dublin, Ireland; [Higgins, Desmond G.] Univ Coll Dublin, Conway Inst Biomol &amp; Biomed Res, Dublin, Ireland; [Ito, Kimihito] Hokkaido Univ, Global Inst Collaborat Res &amp; Educ, Global Stn Zoonosis Control, Sapporo, Hokkaido, Japan</t>
  </si>
  <si>
    <t>University College Dublin; University College Dublin; Hokkaido University; University College Dublin; University College Dublin; Hokkaido University</t>
  </si>
  <si>
    <t>Butler, G (corresponding author), Univ Coll Dublin, Sch Biomed &amp; Biomol Sci, Dublin, Ireland.;Butler, G (corresponding author), Univ Coll Dublin, Conway Inst Biomol &amp; Biomed Res, Conway Inst, Dublin, Ireland.</t>
  </si>
  <si>
    <t>gbutler@ucd.ie</t>
  </si>
  <si>
    <t>Gonzalez, Gabriel/T-8010-2018; Ito, Kimihito/E-9975-2012</t>
  </si>
  <si>
    <t>Gonzalez, Gabriel/0000-0002-2180-2120; Ito, Kimihito/0000-0003-4986-1795; Donovan, Paul/0000-0002-3927-8961; Butler, Geraldine/0000-0002-1770-5301</t>
  </si>
  <si>
    <t>Science Foundation Ireland [12/IA/1343]; Wellcome Trust [102406/Z/13/Z]; Wellcome Trust [102406/Z/13/Z] Funding Source: Wellcome Trust; Science Foundation Ireland (SFI) [12/IA/1343] Funding Source: Science Foundation Ireland (SFI)</t>
  </si>
  <si>
    <t>Science Foundation Ireland(Science Foundation Ireland); Wellcome Trust(Wellcome Trust); Wellcome Trust(Wellcome Trust); Science Foundation Ireland (SFI)(Science Foundation Ireland)</t>
  </si>
  <si>
    <t>This work was supported by an award from Science Foundation Ireland (grant number 12/IA/1343, https://www.fi.ie) to GB and from the Wellcome Trust (102406/Z/13/Z, https://wellcome.ac.uk) to GB and PDD. The funders had no role in study design, data collection and analysis, decision to publish, or preparation of the manuscript.</t>
  </si>
  <si>
    <t>e0192898</t>
  </si>
  <si>
    <t>10.1371/journal.pone.0192898</t>
  </si>
  <si>
    <t>FW3CM</t>
  </si>
  <si>
    <t>WOS:000425183500104</t>
  </si>
  <si>
    <t>Gillies, CL; McLeod, IM; Alleway, HK; Cook, P; Crawford, C; Creighton, C; Diggles, B; Ford, J; Hamer, P; Heller-Wagner, G; Lebrault, E; Le Port, A; Russell, K; Sheaves, M; Warnock, B</t>
  </si>
  <si>
    <t>Gillies, Chris L.; McLeod, Ian M.; Alleway, Heidi K.; Cook, Peter; Crawford, Christine; Creighton, Colin; Diggles, Ben; Ford, John; Hamer, Paul; Heller-Wagner, Gideon; Lebrault, Emma; Le Port, Agnes; Russell, Kylie; Sheaves, Marcus; Warnock, Bryn</t>
  </si>
  <si>
    <t>Australian shellfish ecosystems: Past distribution, current status and future direction</t>
  </si>
  <si>
    <t>OYSTER SACCOSTREA-GLOMERATA; REEF RESTORATION; WATER-QUALITY; BASE-LINE; HABITAT; CONSERVATION; DECLINE; MARINE</t>
  </si>
  <si>
    <t>We review the status of marine shellfish ecosystems formed primarily by bivalves in Australia, including: identifying ecosystem-forming species, assessing their historical and current extent, causes for decline and past and present management. Fourteen species of bivalves were identified as developing complex, three-dimensional reef or bed ecosystems in intertidal and subtidal areas across tropical, subtropical and temperate Australia. A dramatic decline in the extent and condition of Australia's two most common shellfish ecosystems, developed by Saccostrea glomerata and Ostrea angasi oysters, occurred during the mid-1800s to early 1900s in concurrence with extensive harvesting for food and lime production, ecosystem modification, disease outbreaks and a decline in water quality. Out of 118 historical locations containing O. angasi-developed ecosystems, only one location still contains the ecosystem whilst only six locations are known to still contain S. glomerata-developed ecosystems out of 60 historical locations. Ecosystems developed by the introduced oyster Crasostrea gigas are likely to be increasing in extent, whilst data on the remaining 11 ecosystem-forming species are limited, preventing a detailed assessment of their current ecosystem-forming status. Our analysis identifies that current knowledge on extent, physical characteristics, biodiversity and ecosystem services of Australian shellfish ecosystems is extremely limited. Despite the limited information on shellfish ecosystems, a number of restoration projects have recently been initiated across Australia and we propose a number of existing government policies and conservation mechanisms, if enacted, would readily serve to support the future conservation and recovery of Australia's shellfish ecosystems.</t>
  </si>
  <si>
    <t>[Gillies, Chris L.] Nat Conservancy Australia, Carlton, Vic, Australia; [McLeod, Ian M.; Creighton, Colin; Heller-Wagner, Gideon; Le Port, Agnes; Sheaves, Marcus] James Cook Univ, TropWATER Ctr Trop Water &amp; Aquat Ecosyst Res, Townsville, Qld, Australia; [Alleway, Heidi K.] Primary Ind &amp; Reg South Australia, Adelaide, SA, Australia; [Cook, Peter; Warnock, Bryn] Univ Western Australia, Ctr Excellence Nat Resource Management, Albany, WA, Australia; [Crawford, Christine] Univ Tasmania, Inst Marine &amp; Antarctic Studies, Hobart, Tas, Australia; [Diggles, Ben] DigsFish Serv, Banksia Beach, Qld, Australia; [Ford, John] Univ Melbourne, Sch Biosci, Parkville, Vic, Australia; [Hamer, Paul] Victorian Fisheries Author, Queenscliff, Vic, Australia; [Lebrault, Emma; Russell, Kylie] NSW Dept Primary Ind, Fisheries NSW, Port Stephens, NSW, Australia; [Sheaves, Marcus] James Cook Univ, Coll Sci &amp; Engn, Townsville, Qld, Australia</t>
  </si>
  <si>
    <t>James Cook University; University of Western Australia; University of Tasmania; DigsFish Services Pty Ltd; University of Melbourne; NSW Department of Primary Industries; James Cook University</t>
  </si>
  <si>
    <t>Gillies, CL (corresponding author), Nat Conservancy Australia, Carlton, Vic, Australia.</t>
  </si>
  <si>
    <t>chris.gillies@tnc.org</t>
  </si>
  <si>
    <t>Alleway, Heidi/X-2161-2019; Sheaves, Marcus J/G-4283-2012; McLeod, Ian/J-9062-2014</t>
  </si>
  <si>
    <t>Alleway, Heidi/0000-0002-9322-5967; Sheaves, Marcus J/0000-0003-0662-3439; McLeod, Ian/0000-0001-5375-4402</t>
  </si>
  <si>
    <t>Marine Biodiversity Hub through Australian Government's National Environmental Science Programme Marine Biodiversity Hub - NESP; Nature Conservancy's Great Southern Seascapes program; Thomas Foundation; NESP Marine Biodiversity Hub</t>
  </si>
  <si>
    <t>This work was supported by the Marine Biodiversity Hub, a collaborative partnership supported through funding from the Australian Government's National Environmental Science Programme Marine Biodiversity Hub - NESP (http://www.nespmarine.edu.au/), The Nature Conservancy's Great Southern Seascapes program (http.//www.natureaustralia.org.au/our-impact/oceans/) and the Thomas Foundation (http://thomasfoundation.org.au/). All authors received a research grant from the NESP Marine Biodiversity Hub to carry out this research. All authors hold faculty/government positions in their respective institutions with the exception of BD (employed by Digsfish Services Pry Ltd) and GH, EL, BW. The funders had no role in study design, data collection and analysis, decision to publish, or preparation of the manuscript.; This work was undertaken for the Marine Biodiversity Hub, a collaborative partnership supported through funding from the Australian Government's National Environmental Science Program (NESP) and The Nature Conservancy's Great Southern Seascapes program (generously supported by The Thomas Foundation). The Authors would like to thank Loren Coen, James Fitzsimons and three anonymous reviewers for reviewing early drafts and providing valuable improvements to this manuscript. We thank members of the Australian Shellfish Reef Restoration Network for contributing to early discussions and providing the initial impetus for this work.</t>
  </si>
  <si>
    <t>e0190914</t>
  </si>
  <si>
    <t>10.1371/journal.pone.0190914</t>
  </si>
  <si>
    <t>WOS:000425183500011</t>
  </si>
  <si>
    <t>Leis, JM</t>
  </si>
  <si>
    <t>Leis, Jeffrey M.</t>
  </si>
  <si>
    <t>Paradigm Lost: Ocean Acidification Will Overturn the Concept of Larval-Fish Biophysical Dispersal</t>
  </si>
  <si>
    <t>fish; larva; dispersal; sensory ability; CO2; acidification; behaviour; connectivity</t>
  </si>
  <si>
    <t>EARLY-LIFE HISTORY; ELEVATED CO2; POPULATION CONNECTIVITY; SWIMMING PERFORMANCE; CARBON-DIOXIDE; CLIMATE-CHANGE; IN-SITU; BEHAVIOR; ONTOGENY; TEMPERATURE</t>
  </si>
  <si>
    <t>Most marine ecologists have in the past 25 years changed from supporting a passive-dispersal paradigm for larval marine fishes to supporting a biophysical-dispersal paradigm wherein the behaviour of larvae plays a central role. Research shows larvae of demersal perciform fishes have considerable swimming and orientation abilities over a major portion of their pelagic larval duration. These abilities depend on sensory function, and some recent research has indicated anthropogenic acidification of the oceans will by the end of the century result in sensory dysfunction. This could strongly alter the ability of fish larvae to orientate in the pelagic environment, to locate suitable settlement habitat, to bet-hedge, and to colonize new locations. This paper evaluates the available publications on the effects of acidification on senses and behaviours relevant to dispersal of fish early life-history stages. A large majority of studies tested CO2 values predicted for the middle to end of the century. Larvae of fourteen families-all but two perciform-were studied. However, half of studies used Damselfishes (Pomacentridae), and except for swimming, most studies used settlement-stage larvae or later stages. In spite of these taxonomic and ontogenetic restrictions, all but two studies on sensory function (chemosensation, hearing, vision, detection of estuarine cues) found deleterious effects from acidification. The four studies on lateralization and settlement timing all found deleterious effects from acidification. No clear effect of acidification on swimming ability was found. If fish larvae cannot orientate due to sensory dysfunction, their dispersal will, in effect, conform to the passive dispersal paradigm. Modelling incorporating larval behaviour derived from empirical studies indicates that relative to active larvae, passive larvae will have less self-recruitment, higher median and mean dispersal distances, and lower settlement rates: further, bet hedging and colonization of new locations will decrease. The biophysical dispersal paradigm will be lost in theory and in fact, which is predicted to result in lower recruitment and less bet hedging for demersal, perciform fishes. More research is required to determine if the larvae of other Orders will be effected in the same way, or if warm-and cold-water fish faunas will be similarly effected.</t>
  </si>
  <si>
    <t>[Leis, Jeffrey M.] Univ Tasmania, Inst Marine &amp; Antarctic Studies, Ecol &amp; Biodivers Ctr, Hobart, Tas, Australia; [Leis, Jeffrey M.] Australian Museum Res Inst, Ichthyol, Sydney, NSW, Australia</t>
  </si>
  <si>
    <t>University of Tasmania; Australian Museum</t>
  </si>
  <si>
    <t>Leis, JM (corresponding author), Univ Tasmania, Inst Marine &amp; Antarctic Studies, Ecol &amp; Biodivers Ctr, Hobart, Tas, Australia.;Leis, JM (corresponding author), Australian Museum Res Inst, Ichthyol, Sydney, NSW, Australia.</t>
  </si>
  <si>
    <t>jeffrey.leis@utas.edu.au</t>
  </si>
  <si>
    <t>Leis, Jeffrey M/E-7502-2012; Leis, Jeffrey M/JCE-0397-2023</t>
  </si>
  <si>
    <t>Leis, Jeffrey M/0000-0003-0603-3447; Leis, Jeffrey M/0000-0003-0603-3447</t>
  </si>
  <si>
    <t>FEB 13</t>
  </si>
  <si>
    <t>10.3389/fmars.2018.00047</t>
  </si>
  <si>
    <t>HJ1ME</t>
  </si>
  <si>
    <t>WOS:000456926300001</t>
  </si>
  <si>
    <t>Frieling, J; Huurdeman, EP; Rem, CCM; Donders, TH; Pross, J; Bohaty, SM; Holdgate, GR; Gallagher, SJ; McGowran, B; Bijl, PK</t>
  </si>
  <si>
    <t>Frieling, Joost; Huurdeman, Emiel P.; Rem, Charlotte C. M.; Donders, Timme H.; Pross, Joerg; Bohaty, Steven M.; Holdgate, Guy R.; Gallagher, Stephen J.; McGowran, Brian; Bijl, Peter K.</t>
  </si>
  <si>
    <t>Identification of the Paleocene-Eocene boundary in coastal strata in the Otway Basin, Victoria, Australia</t>
  </si>
  <si>
    <t>JOURNAL OF MICROPALAEONTOLOGY</t>
  </si>
  <si>
    <t>THERMAL MAXIMUM; NEW-ZEALAND; SOUTH-PACIFIC; CARBON-CYCLE; SEA-LEVEL; CLIMATE; MARGIN; EVOLUTION; OCEAN; TEMPERATURES</t>
  </si>
  <si>
    <t>Detailed, stratigraphically well-constrained environmental reconstructions are available for Paleocene and Eocene strata at a range of sites in the southwest Pacific Ocean (New Zealand and East Tasman Plateau; ETP) and Integrated Ocean Discovery Program (IODP) Site U1356 in the south of the Australo-Antarctic Gulf (AAG). These reconstructions have revealed a large discrepancy between temperature proxy data and climate models in this region, suggesting a crucial error in model, proxy data or both. To resolve the origin of this discrepancy, detailed reconstructions are needed from both sides of the Tasmanian Gateway. Paleocene-Eocene sedimentary archives from the west of the Tasmanian Gateway have unfortunately remained scarce (only IODP Site U1356), and no well-dated successions are available for the northern sector of the AAG. Here we present new stratigraphic data for upper Paleocene and lower Eocene strata from the Otway Basin, southeast Australia, on the (north) west side of the Tasmanian Gateway. We analyzed sediments recovered from exploration drilling (Latrobe-1 drill core) and outcrop sampling (Point Margaret) and performed high-resolution carbon isotope geochemistry of bulk organic matter and dinoflagellate cyst (dinocyst) and pollen biostratigraphy on sediments from the regional lithostratigraphic units, including the Pebble Point Formation, Pember Mudstone and Dilwyn Formation. Pollen and dinocyst assemblages are assigned to previously established Australian pollen and dinocyst zonations and tied to available zonations for the SW Pacific. Based on our dinocyst stratigraphy and previously published planktic foraminifer biostratigraphy, the Pebble Point Formation at Point Margaret is dated to the latest Paleocene. The globally synchronous negative carbon isotope excursion that marks the Paleocene-Eocene boundary is identified within the top part of the Pember Mudstone in the Latrobe-1 borehole and at Point Margaret. However, the high abundances of the dinocyst Apectodinium prior to this negative carbon isotope excursion prohibit a direct correlation of this regional bio-event with the quasi-global Apectodinium acme at the Paleocene-Eocene Thermal Maximum (PETM; 56 Ma). Therefore, the first occurrence of the pollen species Spinizonocolpites prominatus and the dinocyst species Florentinia reichartii are here designated as regional markers for the PETM. In the Latrobe-1 drill core, dinocyst biostratigraphy further indicates that the early Eocene (similar to 56-51 Ma) sediments are truncated by a similar to 10 Myr long hiatus overlain by middle Eocene (similar to 40 Ma) strata. These sedimentary archives from southeast Australia may prove key in resolving the model-data discrepancy in this region, and the new stratigraphic data presented here allow for detailed comparisons between paleoclimate records on both sides of the Tasmanian Gateway.</t>
  </si>
  <si>
    <t>[Frieling, Joost; Huurdeman, Emiel P.; Rem, Charlotte C. M.; Bijl, Peter K.] Univ Utrecht, Marine Palynol &amp; Paleoceanog, Lab Palaeobot &amp; Palynol, Dept Earth Sci,Fac Geosci, Heidelberglaan 2, NL-3584 CS Utrecht, Netherlands; [Donders, Timme H.] Univ Utrecht, Palaeoecol, Lab Palaeobot &amp; Palynol, Dept Phys Geog,Fac Geosci, Heidelberglaan 2, NL-3584 CS Utrecht, Netherlands; [Pross, Joerg] Heidelberg Univ, Inst Earth Sci, Paleoenvironm Dynam Grp, Neuenheimer Feld 234, D-69120 Heidelberg, Germany; [Bohaty, Steven M.] Univ Southampton, Natl Oceanog Ctr Southampton, Ocean &amp; Earth Sci, Southampton, Hants, England; [Holdgate, Guy R.; Gallagher, Stephen J.] Univ Melbourne, Sch Earth Sci, Melbourne, Vic, Australia; [McGowran, Brian] Univ Adelaide, Dept Earth Sci, Adelaide, SA, Australia</t>
  </si>
  <si>
    <t>Utrecht University; Utrecht University; Ruprecht Karls University Heidelberg; University of Southampton; NERC National Oceanography Centre; University of Melbourne; Melbourne Bioinformatics; University of Adelaide</t>
  </si>
  <si>
    <t>Frieling, J (corresponding author), Univ Utrecht, Marine Palynol &amp; Paleoceanog, Lab Palaeobot &amp; Palynol, Dept Earth Sci,Fac Geosci, Heidelberglaan 2, NL-3584 CS Utrecht, Netherlands.</t>
  </si>
  <si>
    <t>j.frieling1@uu.nl</t>
  </si>
  <si>
    <t>Gallagher, Stephen/AFL-9448-2022; Donders, Timme H/J-5044-2012</t>
  </si>
  <si>
    <t>Gallagher, Stephen/0000-0002-5593-2740; Bijl, Peter/0000-0002-1710-4012; Donders, Timme/0000-0003-4698-3463; Frieling, Joost/0000-0002-5374-1625</t>
  </si>
  <si>
    <t>NWO VENI [863.13.002]; Heidelberg University; ARC Basin Genesis Hub</t>
  </si>
  <si>
    <t>NWO VENI(Netherlands Organization for Scientific Research (NWO)); Heidelberg University; ARC Basin Genesis Hub</t>
  </si>
  <si>
    <t>This research was funded through NWO VENI grant no. 863.13.002 to Peter K. Bijl. Jorg Pross acknowledges financial support by Heidelberg University. Stephen J. Gallagher was partly funded by the ARC Basin Genesis Hub. We thank Natasja Welters, Giovanni Dammers and Arnold van Dijk (Utrecht University) and Rineke Gieles, Marcel van der Meer and Ronald van Bommel (Netherlands Institute for Sea Research (NIOZ)) for technical assistance. Wim Hoek (Utrecht University) and Marcel van der Linden and Johan van Heerwaarden (NIOZ) are thanked for help developing the casing technique of sampling. We thank Erica Crouch and an anonymous reviewer for their constructive comments.</t>
  </si>
  <si>
    <t>GEOLOGICAL SOC PUBL HOUSE</t>
  </si>
  <si>
    <t>BATH</t>
  </si>
  <si>
    <t>UNIT 7, BRASSMILL ENTERPRISE CENTRE, BRASSMILL LANE, BATH BA1 3JN, AVON, ENGLAND</t>
  </si>
  <si>
    <t>0262-821X</t>
  </si>
  <si>
    <t>J MICROPALAEONTOL</t>
  </si>
  <si>
    <t>J. Micropalaentol.</t>
  </si>
  <si>
    <t>10.5194/jm-37-317-2018</t>
  </si>
  <si>
    <t>FW1FG</t>
  </si>
  <si>
    <t>WOS:000425041400001</t>
  </si>
  <si>
    <t>Gardner, AS; Moholdt, G; Scambos, T; Fahnstock, M; Ligtenberg, S; van den Broeke, M; Nilsson, J</t>
  </si>
  <si>
    <t>Gardner, Alex S.; Moholdt, Geir; Scambos, Ted; Fahnstock, Mark; Ligtenberg, Stefan; van den Broeke, Michiel; Nilsson, Johan</t>
  </si>
  <si>
    <t>Increased West Antarctic and unchanged East Antarctic ice discharge over the last 7 years</t>
  </si>
  <si>
    <t>GROUNDING LINE RETREAT; AMUNDSEN SEA EMBAYMENT; SURFACE MASS-BALANCE; PINE ISLAND GLACIER; RECONCILED ESTIMATE; KOHLER GLACIERS; MELT RATES; FLOW; SHELF; GREENLAND</t>
  </si>
  <si>
    <t>Ice discharge from large ice sheets plays a direct role in determining rates of sea-level rise. We map present-day Antarctic-wide surface velocities using Landsat 7 and 8 imagery spanning 2013-2015 and compare to earlier estimates derived from synthetic aperture radar, revealing heterogeneous changes in ice flow since similar to 2008. The new mapping provides complete coastal and inland coverage of ice velocity north of 82.4 degrees S with a mean error of &lt; 10 m yr(-1), resulting from multiple overlapping image pairs acquired during the daylight period. Using an optimized flux gate, ice discharge from Antarctica is 1929 +/- 40 Gigatons per year (Gt yr(-1)) in 2015, an increase of 36 +/- 15 Gt yr(-1) from the time of the radar mapping. Flow accelerations across the grounding lines of West Antarctica's Amundsen Sea Embayment, Getz Ice Shelf and Marguerite Bay on the western Antarctic Peninsula, account for 88% of this increase. In contrast, glaciers draining the East Antarctic Ice Sheet have been remarkably constant over the period of observation. Including modeled rates of snow accumulation and basal melt, the Antarctic ice sheet lost ice at an average rate of 183 +/- 94 Gt yr(-1) between 2008 and 2015. The modest increase in ice discharge over the past 7 years is contrasted by high rates of ice sheet mass loss and distinct spatial patters of elevation lowering. The West Antarctic Ice Sheet is experiencing high rates of mass loss and displays distinct patterns of elevation lowering that point to a dynamic imbalance. We find modest increase in ice discharge over the past 7 years, which suggests that the recent pattern of mass loss in Antarctica is part of a longer-term phase of enhanced glacier flow initiated in the decades leading up to the first continent-wide radar mapping of ice flow.</t>
  </si>
  <si>
    <t>[Gardner, Alex S.; Nilsson, Johan] CALTECH, Jet Prop Lab, Pasadena, CA 91109 USA; [Moholdt, Geir] Fram Ctr, Norwegian Polar Inst, N-9296 Tromso, Norway; [Scambos, Ted] Univ Colorado, NSIDC, Boulder, CO 80303 USA; [Fahnstock, Mark] Univ Alaska Fairbanks, Inst Geophys, Fairbanks, AK 99775 USA; [Ligtenberg, Stefan; van den Broeke, Michiel] Univ Utrecht, Inst Marine &amp; Atmospher Res Utrecht IMAU, Utrecht, Netherlands</t>
  </si>
  <si>
    <t>California Institute of Technology; National Aeronautics &amp; Space Administration (NASA); NASA Jet Propulsion Laboratory (JPL); Norwegian Polar Institute; University of Colorado System; University of Colorado Boulder; University of Alaska System; University of Alaska Fairbanks; Utrecht University</t>
  </si>
  <si>
    <t>Gardner, AS (corresponding author), CALTECH, Jet Prop Lab, Pasadena, CA 91109 USA.</t>
  </si>
  <si>
    <t>alex.s.gardner@jpl.nasa.gov</t>
  </si>
  <si>
    <t>Nilsson, Johan/F-1888-2019; Ligtenberg, Stefan/AAF-8290-2020; Van den Broeke, Michiel R./F-7867-2011</t>
  </si>
  <si>
    <t>Van den Broeke, Michiel R./0000-0003-4662-7565; SCAMBOS, Ted A./0000-0003-4268-6322; Nilsson, Johan/0000-0002-1496-122X; Gardner, Alex/0000-0002-8394-8889</t>
  </si>
  <si>
    <t>NASA Cryosphere program; National Aeronautics and Space Administration; University of Alaska Fairbanks under NASA [NNX16AJ88G]; NASA [902240, NNX16AJ88G] Funding Source: Federal RePORTER</t>
  </si>
  <si>
    <t>NASA Cryosphere program; National Aeronautics and Space Administration(National Aeronautics &amp; Space Administration (NASA)); University of Alaska Fairbanks under NASA; NASA(National Aeronautics &amp; Space Administration (NASA))</t>
  </si>
  <si>
    <t>We thank Brice Van Liefferinge and Frank Pattyn for kindly sharing their modeled estimates of basal melt rates, Bert Wouters for helpful discussions regarding Bellingshausen Sea glacier mass changes, Ala Khazendar for helping to provide context for observed changes in glacier velocity, Ian Joughin for helpful discussion regarding SAR velocities and sharing of data not used in this study, Peter Fretwell for providing information on Bedmap-2 and Eric Rignot, Jeremie Mouginot and Bernd Scheuchl for making their SAR velocities publically available, without which this study would not have been possible. Ted Scambos is deeply appreciative of Terry Haran and Marin Klinger for all of their hard work creating the NSIDC velocity maps. This work was supported by funding from the NASA Cryosphere program. The research was conducted at the Jet Propulsion Laboratory, California Institute of Technology, under contract with the National Aeronautics and Space Administration and at University of Colorado Boulder and University of Alaska Fairbanks under NASA grant NNX16AJ88G.</t>
  </si>
  <si>
    <t>10.5194/tc-12-521-2018</t>
  </si>
  <si>
    <t>FW1ES</t>
  </si>
  <si>
    <t>WOS:000425039600001</t>
  </si>
  <si>
    <t>Oppedal, LT; Bakke, J; Paasche, O; Werner, JP; van der Bilt, WGM</t>
  </si>
  <si>
    <t>Oppedal, Lea T.; Bakke, Jostein; Paasche, Oyvind; Werner, Johannes P.; van der Bilt, Willem G. M.</t>
  </si>
  <si>
    <t>Cirque Glacier on South Georgia Shows Centennial Variability over the Last 7000 Years</t>
  </si>
  <si>
    <t>glacier; distal glacier-fed lake; distal glacier-fed bog; glacial sediments; holocene; neoglacial; Southern Ocean; sub-Antarctica</t>
  </si>
  <si>
    <t>EQUILIBRIUM-LINE ALTITUDES; HOLOCENE CLIMATE; FLUCTUATIONS; HISTORY; RECORD; ICE; RECONSTRUCTION; SEDIMENTS; OCEAN; GEOMORPHOLOGY</t>
  </si>
  <si>
    <t>A 7000 year-long cirque glacier reconstruction from South Georgia, based on detailed analysis of fine-grained sediments deposited downstream in a bog and a lake, suggests continued presence during most of the Holocene. Glacier activity is inferred from various sedimentary properties including magnetic susceptibility (MS), dry bulk density (DBD), loss-on-ignition (LOI) and geochemical elements (XRF), and tallied to a set of terminal moraines. The two independently dated sediment records document concurring events of enhanced glacigenic sediment influx to the bog and lake, whereas the upstream moraines afford the opportunity to calculate past Equilibrium Line Altitudes (ELA) which has varied in the order of 70m altitude. Combined, the records provide new evidence of cirque glacier fluctuations on South Georgia. Based on the onset of peat formation, the study site was deglaciated prior to 9900 +/- 250 years ago when Neumayer tidewater glacier retreated up-fjord. Changes in the lake and bog sediment properties indicate that the cirque glacier was close to its maximum Holocene extent between 7200 +/- 400 and 4800 +/- 200 cal BP, 2700 +/- 150 and 2000 +/- 200 cal BP, 500 +/- 150-300 +/- 100 cal BP, and in the Twentieth century (likely 1930s). The glacier fluctuations are largely in-phase with reconstructed Patagonian glaciers, implying that they respond to centennial climate variability possibly connected to corresponding modulations of the Southern Westerly Winds.</t>
  </si>
  <si>
    <t>[Oppedal, Lea T.; Bakke, Jostein; Werner, Johannes P.; van der Bilt, Willem G. M.] Univ Bergen, Dept Earth Sci, Bergen, Norway; [Oppedal, Lea T.; Bakke, Jostein; Paasche, Oyvind; Werner, Johannes P.; van der Bilt, Willem G. M.] Bjerknes Ctr Climate Res, Bergen, Norway</t>
  </si>
  <si>
    <t>University of Bergen; Bjerknes Centre for Climate Research</t>
  </si>
  <si>
    <t>Oppedal, LT (corresponding author), Univ Bergen, Dept Earth Sci, Bergen, Norway.;Oppedal, LT (corresponding author), Bjerknes Ctr Climate Res, Bergen, Norway.</t>
  </si>
  <si>
    <t>lea.oppedal@gmail.com</t>
  </si>
  <si>
    <t>Bakke, Jostein/AAI-1145-2020; AL, Ramanathan -/E-7217-2012</t>
  </si>
  <si>
    <t>AL, Ramanathan -/0000-0002-3491-2273; van der Bilt, Willem/0000-0003-3157-451X; Paasche, Oyvind/0000-0003-0329-9063</t>
  </si>
  <si>
    <t>Norwegian Research Council [210004]</t>
  </si>
  <si>
    <t>Norwegian Research Council(Research Council of Norway)</t>
  </si>
  <si>
    <t>This is a contribution from the project Shifting Climate States of the Polar Regions, funded by the Norwegian Research Council (Grant 210004). We would like to thank Anne Bjune, Bjorn Christian Kvisvik, Asmund Bakke, Sunniva Solheim Vatle, and Thom Whitfield for their effort during fieldwork, and British Antarctic Survey for their field support. We would also like to thank Sven Lukas and Gunhild Rosqvist for contributing to the manuscript, and Lubna S. J. Al-Saadi and Eivind W. N. Storen for help with grain size measurements. Finally, thank you to reviewers Olga N. Solomina and Bethan J. Davies, whose comments helped improve and clearify the manuscript.</t>
  </si>
  <si>
    <t>10.3389/feart.2018.00002</t>
  </si>
  <si>
    <t>GC5VA</t>
  </si>
  <si>
    <t>WOS:000429857000001</t>
  </si>
  <si>
    <t>Lambert, A; Santee, ML</t>
  </si>
  <si>
    <t>Lambert, Alyn; Santee, Michelle L.</t>
  </si>
  <si>
    <t>Accuracy and precision of polar lower stratospheric temperatures from reanalyses evaluated from A-Train CALIOP and MLS, COSMIC GPS RO, and the equilibrium thermodynamics of supercooled ternary solutions and ice clouds</t>
  </si>
  <si>
    <t>DURATION BALLOON FLIGHTS; WATER-VAPOR MEASUREMENTS; RADIO OCCULTATION DATA; GRAVITY-WAVE ACTIVITY; WINTER ARCTIC VORTEX; OZONE DEPLETION; METEOROLOGICAL ANALYSES; ERA-INTERIM; NITRIC-ACID; HETEROGENEOUS FORMATION</t>
  </si>
  <si>
    <t>We investigate the accuracy and precision of polar lower stratospheric temperatures (100-10 hPa during 2008-2013) reported in several contemporary reanalysis datasets comprising two versions of the Modern-Era Retrospective analysis for Research and Applications (MERRA and MERRA-2), the Japanese 55-year Reanalysis (JRA-55), the European Centre for Medium-Range Weather Forecasts (ECMWF) interim reanalysis (ERA-I), and the National Oceanic and Atmospheric Administration (NOAA) National Centers for Environmental Prediction (NCEP) Climate Forecast System Reanalysis (NCEP-CFSR). We also include the Goddard Earth Observing System model version 5.9.1 near-real-time analysis (GEOS-5.9.1). Comparisons of these datasets are made with respect to retrieved temperatures from the Aura Microwave Limb Sounder (MLS), Constellation Observing System for Meteorology, Ionosphere and Climate (COSMIC) Global Positioning System (GPS) radio occultation (RO) temperatures, and independent absolute temperature references defined by the equilibrium thermodynamics of supercooled ternary solutions (STSs) and ice clouds. Cloud-Aerosol Lidar with Orthogonal Polarization (CALIOP) observations of polar stratospheric clouds are used to determine the cloud particle types within the Aura MLS geometric field of view. The thermodynamic calculations for STS and the ice frost point use the colocated MLS gas-phase measurements of HNO3 and H2O. The estimated bias and precision for the STS temperature reference, over the 68 to 21 hPa pressure range, are 0.6-1.5 and 0.3-0.6 K, respectively; for the ice temperature reference, they are 0.4 and 0.3 K, respectively. These uncertainties are smaller than those estimated for the retrieved MLS temperatures and also comparable to GPS RO uncertainties (bias &lt; 0.2 K, precision &gt; 0.7 K) in the same pressure range. We examine a case study of the time-varying temperature structure associated with layered ice clouds formed by orographic gravity waves forced by flow over the Palmer Peninsula and compare how the wave amplitudes are reproduced by each reanalysis dataset. We find that the spatial and temporal distribution of temperatures below the ice frost point, and hence the potential to form ice polar stratospheric clouds (PSCs) in model studies driven by the reanalyses, varies significantly because of the underlying differences in the representation of mountain wave activity. High-accuracy COSMIC temperatures are used as a common reference to intercompare the reanalysis temperatures. Over the 68-21 hPa pressure range, the biases of the reanalyses with respect to COSMIC temperatures for both polar regions fall within the narrow range of -0.6 K to +0.5 K. GEOS-5.9.1, MERRA, MERRA-2, and JRA-55 have predominantly cold biases, whereas ERA-I has a predominantly warm bias. NCEP-CFSR has a warm bias in the Arctic but becomes substantially colder in the Antarctic. Reanalysis temperatures are also compared with the PSC reference temperatures. Over the 68-21 hPa pressure range, the reanalysis temperature biases are in the range -1.6 to -0.3 K with standard deviations similar to 0.6 K for the CALIOP STS reference, and in the range -0.9 to + 0.1 K with standard deviations similar to 0.7 K for the CALIOP ice reference. Comparisons of MLS temperatures with the PSC reference temperatures reveal vertical oscillations in the MLS temperatures and a significant low bias in MLS temperatures of up to 3 K.</t>
  </si>
  <si>
    <t>[Lambert, Alyn; Santee, Michelle L.] CALTECH, Jet Prop Lab, Pasadena, CA 91125 USA</t>
  </si>
  <si>
    <t>National Aeronautics &amp; Space Administration (NASA); NASA Jet Propulsion Laboratory (JPL); California Institute of Technology</t>
  </si>
  <si>
    <t>Lambert, A (corresponding author), CALTECH, Jet Prop Lab, Pasadena, CA 91125 USA.</t>
  </si>
  <si>
    <t>alyn.lambert@jpl.nasa.gov</t>
  </si>
  <si>
    <t>Lambert, Alyn/I-8415-2014; Santee, MIchelle/R-5762-2019</t>
  </si>
  <si>
    <t>Lambert, Alyn/0000-0003-3182-1824;</t>
  </si>
  <si>
    <t>World Climate Research Programme</t>
  </si>
  <si>
    <t>We gratefully acknowledge members of the teams associated with the CALIOP and MLS instruments, and the reanalysis data centers. Work at the Jet Propulsion Laboratory, California Institute of Technology, was carried out under a contract with the National Aeronautics and Space Administration. This research was conducted as a component of the SPARC (Stratosphere-troposphere Processes And their Role in Climate) S-RIP activity, under the guidance and sponsorship of the World Climate Research Programme. We thank the anonymous reviewers for their careful reading of the paper and their comments and suggestions. Government sponsorship is acknowledged.</t>
  </si>
  <si>
    <t>FEB 12</t>
  </si>
  <si>
    <t>10.5194/acp-18-1945-2018</t>
  </si>
  <si>
    <t>FV8GW</t>
  </si>
  <si>
    <t>WOS:000424825400002</t>
  </si>
  <si>
    <t>Nuez-Ortín, WG; Carter, CG; Nichols, PD; Cooke, IR; Wilson, R</t>
  </si>
  <si>
    <t>Nuez-Ortin, Waldo G.; Carter, Chris G.; Nichols, Peter D.; Cooke, Ira R.; Wilson, Richard</t>
  </si>
  <si>
    <t>Liver proteome response of pre-harvest Atlantic salmon following exposure to elevated temperature</t>
  </si>
  <si>
    <t>Proteomics; Heat stress; Aquaculture; Climate change</t>
  </si>
  <si>
    <t>FRESH-WATER FISH; OXIDATIVE STRESS; JUVENILE BARRAMUNDI; LATES-CALCARIFER; TRANSCRIPTOMIC RESPONSES; ENDOPLASMIC-RETICULUM; GROWTH EFFICIENCY; CLIMATE-CHANGE; EMERGING ROLE; NORMALIZATION</t>
  </si>
  <si>
    <t>Background: Atlantic salmon production in Tasmania (Southern Australia) occurs near the upper limits of the species thermal tolerance. Summer water temperatures can average over 19 degrees C over several weeks and have negative effects on performance and health. Liver tissue exerts important metabolic functions in thermal adaptation. With the aim of identifying mechanisms underlying liver plasticity in response to chronic elevated temperature in Atlantic salmon, label-free shotgun proteomics was used to explore quantitative protein changes after 43 days of exposure to elevated temperature. Results: A total of 276 proteins were differentially (adjusted p-value &lt; 0.05) expressed between the control (15 degrees C) and elevated (21 degrees C) temperature treatments. As identified by Ingenuity Pathway Analysis (IPA), transcription and translation mechanisms, protein degradation via the proteasome, and cytoskeletal components were down-regulated at elevated temperature. In contrast, an up-regulated response was identified for NRF2-mediated oxidative stress, endoplasmic reticulum stress, and amino acid degradation. The proteome response was paralleled by reduced fish condition factor and hepato-somatic index at elevated temperature. Conclusions: The present study provides new evidence of the interplay among different cellular machineries in a scenario of heat-induced energy deficit and oxidative stress, and refines present understanding of how Atlantic salmon cope with chronic exposure to temperature near the upper limits of thermal tolerance.</t>
  </si>
  <si>
    <t>[Nuez-Ortin, Waldo G.; Carter, Chris G.; Nichols, Peter D.] Univ Tasmania, Inst Marine &amp; Antarctic Studies, Private Bag 49, Hobart, Tas 7001, Australia; [Nichols, Peter D.] CSIRO Food Nutr &amp; Biobased Prod, Oceans &amp; Atmosphere, GPO Box 1538, Hobart, Tas 7001, Australia; [Cooke, Ira R.] James Cook Univ, Comparat Genom Ctr, Townsville, Qld 4811, Australia; [Wilson, Richard] Univ Tasmania, Cent Sci Lab, Bag 74, Hobart, Tas 7001, Australia</t>
  </si>
  <si>
    <t>University of Tasmania; Commonwealth Scientific &amp; Industrial Research Organisation (CSIRO); James Cook University; University of Tasmania</t>
  </si>
  <si>
    <t>Nuez-Ortín, WG (corresponding author), Univ Tasmania, Inst Marine &amp; Antarctic Studies, Private Bag 49, Hobart, Tas 7001, Australia.</t>
  </si>
  <si>
    <t>waldo.nuezortin@jcu.edu.au</t>
  </si>
  <si>
    <t>Carter, Chris Guy/A-3438-2008; Nichols, Peter D/C-5128-2011; Cooke, Ira R/B-4409-2008; Wilson, Richard/H-8429-2012</t>
  </si>
  <si>
    <t>Carter, Chris Guy/0000-0001-5210-1282; Cooke, Ira/0000-0001-6520-1397; Wilson, Richard/0000-0003-0152-4394</t>
  </si>
  <si>
    <t>Nuseed Pty Ltd.; CSIRO Ocean and Atmosphere; Australian government</t>
  </si>
  <si>
    <t>Nuseed Pty Ltd.; CSIRO Ocean and Atmosphere; Australian government(Australian Government)</t>
  </si>
  <si>
    <t>This research was funded by Nuseed Pty Ltd. and CSIRO Ocean and Atmosphere, formerly as the Food Futures Flagship. WGN was supported by an International Postgraduate Research Scholarship funded by the Australian government.</t>
  </si>
  <si>
    <t>10.1186/s12864-018-4517-0</t>
  </si>
  <si>
    <t>FV7RE</t>
  </si>
  <si>
    <t>WOS:000424781700002</t>
  </si>
  <si>
    <t>Jones, DB; Harrison, S; Anderson, K; Betts, RA</t>
  </si>
  <si>
    <t>Jones, D. B.; Harrison, S.; Anderson, K.; Betts, R. A.</t>
  </si>
  <si>
    <t>Mountain rock glaciers contain globally significant water stores</t>
  </si>
  <si>
    <t>DEBRIS-COVERED GLACIERS; CLIMATE-CHANGE; HYDROLOGICAL SIGNIFICANCE; INTERNAL STRUCTURE; PROTALUS RAMPARTS; DRY ANDES; INVENTORY; PERMAFROST; RESOURCES; GEOMORPHOLOGY</t>
  </si>
  <si>
    <t>Glacier-and snowpack-derived meltwaters are threatened by climate change. Features such as rock glaciers (RGs) are climatically more resilient than glaciers and potentially contain hydrologically valuable ice volumes. However, while the distribution and hydrological significance of glaciers is well studied, RGs have received comparatively little attention. Here, we present the first near-global RG database (RGDB) through an analysis of current inventories and this contains &gt; 73,000 RGs. Using the RGDB, we identify key data-deficient regions as research priorities (e.g., Central Asia). We provide the first approximation of near-global RG water volume equivalent and this is 83.72 +/- 16.74 Gt. Excluding the Antarctic and Subantarctic, Greenland Periphery, and regions lacking data, we estimate a near-global RG to glacier water volume equivalent ratio of 1: 456. Significant RG water stores occur in arid and semi-arid regions (e.g., South Asia East, 1: 57). These results represent a first-order approximation. Uncertainty in the water storage estimates includes errors within the RGDB, inherent flaws in the meta-analysis methodology, and RG thickness estimation. Here, only errors associated with the assumption of RG ice content are quantified and overall uncertainty is likely larger than that quantified. We suggest that RG water stores will become increasingly important under future climate warming.</t>
  </si>
  <si>
    <t>[Jones, D. B.; Harrison, S.] Univ Exeter, Coll Life &amp; Environm Sci, Penryn Campus, Penryn TR10 9EZ, Cornwall, England; [Anderson, K.] Univ Exeter, Environm &amp; Sustainabil Inst, Penryn Campus, Penryn TR10 9EZ, Cornwall, England; [Betts, R. A.] Univ Exeter, Coll Life &amp; Environm Sci, Streatham Campus, Exeter EX4 4QE, Devon, England; [Betts, R. A.] Met Off, FitzRoy Rd, Exeter EX1 3PB, Devon, England</t>
  </si>
  <si>
    <t>University of Exeter; University of Exeter; University of Exeter; Met Office - UK</t>
  </si>
  <si>
    <t>Jones, DB (corresponding author), Univ Exeter, Coll Life &amp; Environm Sci, Penryn Campus, Penryn TR10 9EZ, Cornwall, England.</t>
  </si>
  <si>
    <t>dj281@exeter.ac.uk</t>
  </si>
  <si>
    <t>Betts, Richard A/P-8976-2015; Anderson, Karen/ABC-3524-2021</t>
  </si>
  <si>
    <t>Betts, Richard A/0000-0002-4929-0307; Anderson, Karen/0000-0002-3289-2598; Jones, Darren/0000-0001-5046-9163</t>
  </si>
  <si>
    <t>Natural Environment Research Council [NE/L002434/1]; European Union Seventh Framework Programme [603864]; Natural Environment Research Council [1627583] Funding Source: researchfish</t>
  </si>
  <si>
    <t>Natural Environment Research Council(UK Research &amp; Innovation (UKRI)Natural Environment Research Council (NERC)); European Union Seventh Framework Programme(European Union (EU)); Natural Environment Research Council(UK Research &amp; Innovation (UKRI)Natural Environment Research Council (NERC))</t>
  </si>
  <si>
    <t>This work was supported by the Natural Environment Research Council (grant number NE/L002434/1 to D.B.J.). S.H. and R.A.B. received funding from the European Union Seventh Framework Programme FP7/2007-2013 under grant agreement no 603864 (HELIX: High-End cLimate Impacts and eXtremes; www.helixclimate.eu). The work of R.A.B. forms part of the BEIS/Defra Met Office Hadley Centre Climate Programme GA01101.</t>
  </si>
  <si>
    <t>10.1038/s41598-018-21244-w</t>
  </si>
  <si>
    <t>FV7DP</t>
  </si>
  <si>
    <t>WOS:000424743500050</t>
  </si>
  <si>
    <t>Stark, JS; Roden, NP; Johnstone, GJ; Milnes, M; Black, JG; Whiteside, S; Kirkwood, W; Newbery, K; Stark, S; van Ooijen, E; Tilbrook, B; Peltzer, ET; Berry, K; Roberts, D</t>
  </si>
  <si>
    <t>Stark, J. S.; Roden, N. P.; Johnstone, G. J.; Milnes, M.; Black, J. G.; Whiteside, S.; Kirkwood, W.; Newbery, K.; Stark, S.; van Ooijen, E.; Tilbrook, B.; Peltzer, E. T.; Berry, K.; Roberts, D.</t>
  </si>
  <si>
    <t>Carbonate chemistry of an in-situ free-ocean CO2 enrichment experiment (antFOCE) in comparison to short term variation in Antarctic coastal waters</t>
  </si>
  <si>
    <t>SEASONAL CYCLE; SOUTHERN-OCEAN; SEAWATER PH; RYDER BAY; PRYDZ BAY; SEA-ICE; ACIDIFICATION; VULNERABILITY; WEST; TEMPERATURES</t>
  </si>
  <si>
    <t>Free-ocean CO2 enrichment (FOCE) experiments have been deployed in marine ecosystems to manipulate carbonate system conditions to those predicted in future oceans. We investigated whether the pH/carbonate chemistry of extremely cold polar waters can be manipulated in an ecologically relevant way, to represent conditions under future atmospheric CO2 levels, in an in-situ FOCE experiment in Antarctica. We examined spatial and temporal variation in local ambient carbonate chemistry at hourly intervals at two sites between December and February and compared these with experimental conditions. We successfully maintained a mean pH offset in acidified benthic chambers of -0.38 (+/- 0.07) from ambient for approximately 8 weeks. Local diel and seasonal fluctuations in ambient pH were duplicated in the FOCE system. Large temporal variability in acidified chambers resulted from system stoppages. The mean pH, Omega(arag) and fCO(2) values in the acidified chambers were 7.688 +/- 0.079, 0.62 +/- 0.13 and 912 +/- 150 mu atm, respectively. Variation in ambient pH appeared to be mainly driven by salinity and biological production and ranged from 8.019 to 8.192 with significant spatio-temporal variation. This experiment demonstrates the utility of FOCE systems to create conditions expected in future oceans that represent ecologically relevant variation, even under polar conditions.</t>
  </si>
  <si>
    <t>[Stark, J. S.; Roden, N. P.; Johnstone, G. J.; Milnes, M.; Whiteside, S.; Newbery, K.; Stark, S.] Australian Antarctic Div, Antarctic Conservat &amp; Management Theme, 203 Channel Hwy, Kingston, Tas 7050, Australia; [Roden, N. P.; Black, J. G.] Univ Tasmania, Inst Marine &amp; Antarctic Studies, 20 Castray Esplanade, Hobart, Tas, Australia; [Kirkwood, W.; Peltzer, E. T.] Monterey Bay Aquarium Res Inst, 7700 Sandholdt Rd, Moss Landing, CA 95039 USA; [van Ooijen, E.; Tilbrook, B.; Berry, K.] CSIRO Oceans &amp; Atmosphere, Hobart, Tas 7000, Australia; [van Ooijen, E.; Tilbrook, B.; Berry, K.; Roberts, D.] Univ Tasmania, Antarctic Climate &amp; Ecosyst Cooperat Res Ctr, 20 Castray Esplanade, Hobart, Tas 7000, Australia</t>
  </si>
  <si>
    <t>Australian Antarctic Division; University of Tasmania; Monterey Bay Aquarium Research Institute; Commonwealth Scientific &amp; Industrial Research Organisation (CSIRO); University of Tasmania; Antarctic Climate &amp; Ecosystems Cooperative Research Centre (ACE CRC)</t>
  </si>
  <si>
    <t>Stark, JS (corresponding author), Australian Antarctic Div, Antarctic Conservat &amp; Management Theme, 203 Channel Hwy, Kingston, Tas 7050, Australia.</t>
  </si>
  <si>
    <t>jonny.stark@aad.gov.au</t>
  </si>
  <si>
    <t>Roden, Nick/T-1206-2019; Roden, Nicholas/M-3801-2016; Tilbrook, Bronte/W-4007-2019; Stark, Jonathan/ABF-4025-2020; van Ooijen, Eikbert D/C-9502-2009</t>
  </si>
  <si>
    <t>Roden, Nicholas/0000-0001-5623-0284; Tilbrook, Bronte/0000-0001-9385-3827; Stark, Jonathan/0000-0002-4268-8072; Roberts, Donna/0000-0001-6701-6662; Peltzer, Edward/0000-0003-2821-3553; van Ooijen, Erik/0000-0002-5059-5271; Johnstone, Glenn/0000-0002-9302-4794</t>
  </si>
  <si>
    <t>Australian Research Council - Antarctic Gateway Partnership; Australian Antarctic Division [AAS 4127]; Australian Research Council [LE130100220]; University of Tasmania Institute for Marine and Antarctic Studies; Monterey Bay Aquarium Research Institute (USA); Plymouth Marine Laboratory (UK); Australian Postgraduate Award; CSIRO Oceans and Atmosphere; Australian Research Council [LE130100220] Funding Source: Australian Research Council</t>
  </si>
  <si>
    <t>Australian Research Council - Antarctic Gateway Partnership(Australian Research CouncilMonash University); Australian Antarctic Division; Australian Research Council(Australian Research Council); University of Tasmania Institute for Marine and Antarctic Studies; Monterey Bay Aquarium Research Institute (USA); Plymouth Marine Laboratory (UK); Australian Postgraduate Award(Australian Government); CSIRO Oceans and Atmosphere(Commonwealth Scientific &amp; Industrial Research Organisation (CSIRO)); Australian Research Council(Australian Research Council)</t>
  </si>
  <si>
    <t>The antFOCE project was funded by the Australian Research Council - Antarctic Gateway Partnership, the Australian Antarctic Division (AAS 4127), an Australian Research Council Linkage Infrastructure, Equipment and Facilities grant (LE130100220) and supported by the University of Tasmania Institute for Marine and Antarctic Studies, CSIRO Oceans and Atmosphere, the Monterey Bay Aquarium Research Institute (USA) and Plymouth Marine Laboratory (UK). NR was supported by an Australian Postgraduate Award and a CSIRO Oceans and Atmosphere scholarship. The authors would like to thank the many people who contributed to the development and deployment of the antFOCE system, in particular Jono Reeve, Matthew Wright, Helena Baird, Cathryn Wynn- Edwards, Martin Riddle, Ian Snape, Lizzy Elliot, Andrew Cawthorn, Clint Berry, Mike Sparg, Kate Stanford, John Runcie, Glenn Dunshea, Tony Press, Nick Gales, David Lyons and the personnel at Casey Research Station for their logistical support throughout the field season. Permits from the Department of the Environment, Australian Government, were provided to conduct this research.</t>
  </si>
  <si>
    <t>10.1038/s41598-018-21029-1</t>
  </si>
  <si>
    <t>WOS:000424743500032</t>
  </si>
  <si>
    <t>Telesca, L; Michalek, K; Sanders, T; Peck, LS; Thyrring, J; Harper, EM</t>
  </si>
  <si>
    <t>Telesca, Luca; Michalek, Kati; Sanders, Trystan; Peck, Lloyd S.; Thyrring, Jakob; Harper, Elizabeth M.</t>
  </si>
  <si>
    <t>Blue mussel shell shape plasticity and natural environments: a quantitative approach</t>
  </si>
  <si>
    <t>MYTILUS-EDULIS; OCEAN ACIDIFICATION; LOCAL ADAPTATION; GROWTH; POPULATIONS; TROSSULUS; IMPACT; RANGE; GALLOPROVINCIALIS; PERFORMANCE</t>
  </si>
  <si>
    <t>Shape variability represents an important direct response of organisms to selective environments. Here, we use a combination of geometric morphometrics and generalised additive mixed models (GAMMs) to identify spatial patterns of natural shell shape variation in the North Atlantic and Arctic blue mussels, Mytilus edulis and M. trossulus, with environmental gradients of temperature, salinity and food availability across 3980 km of coastlines. New statistical methods and multiple study systems at various geographical scales allowed the uncoupling of the developmental and genetic contributions to shell shape and made it possible to identify general relationships between blue mussel shape variation and environment that are independent of age and species influences. We find salinity had the strongest effect on the latitudinal patterns of Mytilus shape, producing shells that were more elongated, narrower and with more parallel dorsoventral margins at lower salinities. Temperature and food supply, however, were the main drivers of mussel shape heterogeneity. Our findings revealed similar shell shape responses in Mytilus to less favourable environmental conditions across the different geographical scales analysed. Our results show how shell shape plasticity represents a powerful indicator to understand the alterations of blue mussel communities in rapidly changing environments.</t>
  </si>
  <si>
    <t>[Telesca, Luca; Harper, Elizabeth M.] Univ Cambridge, Dept Earth Sci, Cambridge CB2 3EQ, England; [Telesca, Luca; Peck, Lloyd S.] British Antarctic Survey, Cambridge CB3 0ET, England; [Michalek, Kati] Scottish Assoc Marine Sci, Oban PA37 1QA, Argyll, Scotland; [Sanders, Trystan] GEOMAR Helmholtz Ctr Ocean Res, D-24148 Kiel, Germany; [Thyrring, Jakob] Aarhus Univ, Dept Biosci, Arctic Res Ctr, DK-8000 Aarhus C, Denmark; [Thyrring, Jakob] Aarhus Univ, Dept Biosci, Marine Ecol, DK-8600 Silkeborg, Denmark</t>
  </si>
  <si>
    <t>University of Cambridge; UK Research &amp; Innovation (UKRI); Natural Environment Research Council (NERC); NERC British Antarctic Survey; UHI Millennium Institute; Helmholtz Association; GEOMAR Helmholtz Center for Ocean Research Kiel; Aarhus University; Aarhus University</t>
  </si>
  <si>
    <t>Telesca, L; Harper, EM (corresponding author), Univ Cambridge, Dept Earth Sci, Cambridge CB2 3EQ, England.;Telesca, L (corresponding author), British Antarctic Survey, Cambridge CB3 0ET, England.</t>
  </si>
  <si>
    <t>lt401@cam.ac.uk; emh21@cam.ac.uk</t>
  </si>
  <si>
    <t>Harper, Elizabeth M/B-3890-2008; Thyrring, Jakob/M-9479-2015</t>
  </si>
  <si>
    <t>Telesca, Luca/0000-0002-9060-2261; Thyrring, Jakob/0000-0002-1029-3105; Sanders, Trystan/0000-0002-7605-0747; Michalek, Kati/0000-0002-5531-837X</t>
  </si>
  <si>
    <t>European Union Seventh Framework Programme, Marie Curie ITN [605051]; NERC [bas0100036] Funding Source: UKRI</t>
  </si>
  <si>
    <t>European Union Seventh Framework Programme, Marie Curie ITN(European Union (EU)); NERC(UK Research &amp; Innovation (UKRI)Natural Environment Research Council (NERC))</t>
  </si>
  <si>
    <t>We thank the three anonymous reviewers whose comments and suggestions helped to clarify and substantially improve this manuscript. We are also grateful to Iain Johnston (Scottish Oceans Institute, St Andrews, UK), Dr. Coleen Suckling (School of Ocean Sciences, Bangor, UK), Sarah Dashfield (Plymouth Marine Laboratory, Plymouth, UK), Dr. Peter Thor (Norwegian Polar Institute, Tromso, Norway), Alexander Ventura (University of Gothenburg, Kristineberg, Sweden), Kirti Ramesh (GEOMAR, Kiel, Germany), Dr. Henk van der Veer and Rob Dekker (Royal Netherlands Institute for Sea Research, Texel, Netherlands) for their help with mussel specimen collection, the Statistics Clinic (University of Cambridge, UK) for useful statistical advice and Dr. Vincent Bonhomme (Institut des Sciences de l'Evolution, Montpellier, France) for help on the use of the Momocs package. The work was funded by the European Union Seventh Framework Programme, Marie Curie ITN under grant agreement no 605051.</t>
  </si>
  <si>
    <t>10.1038/s41598-018-20122-9</t>
  </si>
  <si>
    <t>Green Published, gold, Green Submitted, Green Accepted</t>
  </si>
  <si>
    <t>WOS:000424743500081</t>
  </si>
  <si>
    <t>Pisitsak, P; Tungsombatvisit, N; Singhanu, K</t>
  </si>
  <si>
    <t>Pisitsak, Penwisa; Tungsombatvisit, Nilobol; Singhanu, Kornkanok</t>
  </si>
  <si>
    <t>Utilization of waste protein from Antarctic krill oil production and natural dye to impart durable UV-properties to cotton textiles</t>
  </si>
  <si>
    <t>JOURNAL OF CLEANER PRODUCTION</t>
  </si>
  <si>
    <t>Cellulose; Euphausia superba; Textile dyeing; UV protection factor; Xylocarpus granatum</t>
  </si>
  <si>
    <t>EUPHAUSIA-SUPERBA; ISOELECTRIC SOLUBILIZATION/PRECIPITATION; ULTRAVIOLET PROTECTION; COVER FACTOR; ISOLATE; FIBERS; ADSORPTION; EXTRACTION; FASTNESS; FABRICS</t>
  </si>
  <si>
    <t>Cleaner production in the textile industry may be realized by replacing certain synthetic substances with natural materials, especially those that are industrial by-products, which offer the added benefit of increasing the value of the textiles. Since natural materials generally pose a low risk to both the human health and the environment owing to their biodegradability, the wastewater released from their manufacturing processes is less polluting, and therefore, it requires less resources and energy for treatment compared to wastewater loaded with synthetic substances. Herein, we report the use of a protein by-product recovered from the oil extraction process of Antarctic krill (Euphausia superba) to replace traditional mordanting agents in the dyeing of cotton with tannin-rich natural dye extracted from the bark of Xylocarpus granatum. Antarctic krill protein pretreatment successfully improved the dyeability of the fabrics through the formation of insoluble complexes between the protein and tannin. The color parameters of the dyed samples were measured based on the CIE L*a*b* system. The obtained reddish-brown fabrics exhibited mostly good to excellent color fastness ratings in response to washing and other wet treatments. They also displayed durable UV protection properties, with the UPF rating reaching the maximum (50+) level, despite being washed for 50 cycles. Both the Antarctic krill protein and tannin contributed to improved UV protection efficiency due to the presence of UV-absorbing moieties and slight changes in the resulting fabric thickness and cover factor. (C) 2017 Elsevier Ltd. All rights reserved.</t>
  </si>
  <si>
    <t>[Pisitsak, Penwisa; Tungsombatvisit, Nilobol; Singhanu, Kornkanok] Thammasat Univ, Fac Sci &amp; Technol, Dept Text Sci &amp; Technol, Pathum Thani 12121, Thailand</t>
  </si>
  <si>
    <t>Thammasat University</t>
  </si>
  <si>
    <t>Pisitsak, P (corresponding author), Thammasat Univ, Fac Sci &amp; Technol, Dept Text Sci &amp; Technol, Pathum Thani 12121, Thailand.</t>
  </si>
  <si>
    <t>penwisa@tu.ac.th</t>
  </si>
  <si>
    <t>Thammasat University [2/1/2560]; Central Scientific Instrument Center (CSIC), Faculty of Science and Technology, Thammasat University</t>
  </si>
  <si>
    <t>Thammasat University; Central Scientific Instrument Center (CSIC), Faculty of Science and Technology, Thammasat University</t>
  </si>
  <si>
    <t>The authors gratefully acknowledge the financial support provided by Thammasat University Research Fund under the TU Research Scholar, Contract No. 2/1/2560, and the partial support provided by Central Scientific Instrument Center (CSIC), Faculty of Science and Technology, Thammasat University.</t>
  </si>
  <si>
    <t>0959-6526</t>
  </si>
  <si>
    <t>1879-1786</t>
  </si>
  <si>
    <t>J CLEAN PROD</t>
  </si>
  <si>
    <t>J. Clean Prod.</t>
  </si>
  <si>
    <t>FEB 10</t>
  </si>
  <si>
    <t>10.1016/j.jclepro.2017.11.010</t>
  </si>
  <si>
    <t>Green &amp; Sustainable Science &amp; Technology; Engineering, Environmental; Environmental Sciences</t>
  </si>
  <si>
    <t>Science &amp; Technology - Other Topics; Engineering; Environmental Sciences &amp; Ecology</t>
  </si>
  <si>
    <t>FV6YD</t>
  </si>
  <si>
    <t>WOS:000424727100109</t>
  </si>
  <si>
    <t>De Rydt, J; Gudmundsson, GH; Nagler, T; Wuite, J; King, EC</t>
  </si>
  <si>
    <t>De Rydt, Jan; Gudmundsson, G. Hilmar; Nagler, Thomas; Wuite, Jan; King, Edward C.</t>
  </si>
  <si>
    <t>Recent rift formation and impact on the structural integrity of the Brunt Ice Shelf, East Antarctica</t>
  </si>
  <si>
    <t>FRACTURE PROPAGATION; RADAR INTERFEROMETRY; PINNING POINTS; STABILITY; FLOW; HALLEY</t>
  </si>
  <si>
    <t>We report on the recent reactivation of a large rift in the Brunt Ice Shelf, East Antarctica, in December 2012 and the formation of a 50 km long new rift in October 2016. Observations from a suite of ground-based and remote sensing instruments between January 2000 and July 2017 were used to track progress of both rifts in unprecedented detail. Results reveal a steady accelerating trend in their width, in combination with alternating episodes of fast (&gt; 600 m day(-1)) and slow propagation of the rift tip, controlled by the heterogeneous structure of the ice shelf. A numerical ice flow model and a simple propagation algorithm based on the stress distribution in the ice shelf were successfully used to hindcast the observed trajectories and to simulate future rift progression under different assumptions. Results show a high likelihood of ice loss at the McDonald Ice Rumples, the only pinning point of the ice shelf. The nascent iceberg calving and associated reduction in pinning of the Brunt Ice Shelf may provide a uniquely monitored natural experiment of ice shelf variability and provoke a deeper understanding of similar processes elsewhere in Antarctica.</t>
  </si>
  <si>
    <t>[De Rydt, Jan; Gudmundsson, G. Hilmar; King, Edward C.] British Antarctic Survey, Madingley Rd, Cambridge CB3 0ET, England; [Nagler, Thomas; Wuite, Jan] ENVEO, ICT Technol Pk,Tech Str 21A, A-6020 Innsbruck, Austria; [De Rydt, Jan; Gudmundsson, G. Hilmar] Northumbria Univ, Geog &amp; Environm Sci, Newcastle Upon Tyne, Tyne &amp; Wear, England</t>
  </si>
  <si>
    <t>UK Research &amp; Innovation (UKRI); Natural Environment Research Council (NERC); NERC British Antarctic Survey; Northumbria University</t>
  </si>
  <si>
    <t>De Rydt, J (corresponding author), British Antarctic Survey, Madingley Rd, Cambridge CB3 0ET, England.;De Rydt, J (corresponding author), Northumbria Univ, Geog &amp; Environm Sci, Newcastle Upon Tyne, Tyne &amp; Wear, England.</t>
  </si>
  <si>
    <t>jan.rydt@northumbria.ac.uk</t>
  </si>
  <si>
    <t>Gudmundsson, Gudmundur Hilmar/AAU-5987-2020; De Rydt, Jan/H-5692-2018</t>
  </si>
  <si>
    <t>Gudmundsson, Gudmundur Hilmar/0000-0003-4236-5369; Wuite, Jan/0000-0001-9333-1586; De Rydt, Jan/0000-0002-2978-8706</t>
  </si>
  <si>
    <t>Austrian Space Applications Programme/Austrian Research Promotion Agency; ESA Antarctic ice sheet CCI project; Polar Science for Planet Earth funding from the Natural Environment Research Council (NERC); NERC [bas0100034] Funding Source: UKRI</t>
  </si>
  <si>
    <t>Austrian Space Applications Programme/Austrian Research Promotion Agency; ESA Antarctic ice sheet CCI project; Polar Science for Planet Earth funding from the Natural Environment Research Council (NERC); NERC(UK Research &amp; Innovation (UKRI)Natural Environment Research Council (NERC))</t>
  </si>
  <si>
    <t>We like to thank two anonymous reviewers and the editor for their valuable insights and suggestions. We are grateful to all staff at Halley Research Station for supporting this work and their great help with instrument servicing and data acquisition. Processing of Sentinel-1 ice velocity maps by ENVEO was supported by the Austrian Space Applications Programme/Austrian Research Promotion Agency (FFG) and the ESA Antarctic ice sheet CCI project and with contributions by Markus Hetzenecker and Joanna Ossowska, both at ENVEO. Copernicus Sentinel-1 data were made available through the ESA Sentinel Scientific Data Hub. Jan De Rydt, G. Hilmar Gudmundsson and Edward C. King were partly supported as part of the Polar Science for Planet Earth funding from the Natural Environment Research Council (NERC) to the British Antarctic Survey.</t>
  </si>
  <si>
    <t>FEB 9</t>
  </si>
  <si>
    <t>10.5194/tc-12-505-2018</t>
  </si>
  <si>
    <t>FV7VL</t>
  </si>
  <si>
    <t>WOS:000424793400001</t>
  </si>
  <si>
    <t>Goodge, JW</t>
  </si>
  <si>
    <t>Goodge, John W.</t>
  </si>
  <si>
    <t>Crustal heat production and estimate of terrestrial heat flow in central East Antarctica, with implications for thermal input to the East Antarctic ice sheet</t>
  </si>
  <si>
    <t>TRANSANTARCTIC MOUNTAINS; FLUX BENEATH; WILKES LAND; OLD ICE; EVOLUTION; ROCKS; LITHOSPHERE; ORIGIN; REGIME; MODEL</t>
  </si>
  <si>
    <t>Terrestrial heat flow is a critical first-order factor governing the thermal condition and, therefore, mechanical stability of Antarctic ice sheets, yet heat flow across Antarctica is poorly known. Previous estimates of terrestrial heat flow in East Antarctica come from inversion of seismic and magnetic geophysical data, by modeling temperature profiles in ice boreholes, and by calculation from heat production values reported for exposed bedrock. Although accurate estimates of surface heat flow are important as an input parameter for ice-sheet growth and stability models, there are no direct measurements of terrestrial heat flow in East Antarctica coupled to either subglacial sediment or bedrock. As has been done with bedrock exposed along coastal margins and in rare inland outcrops, valuable estimates of heat flow in central East Antarctica can be extrapolated from heat production determined by the geochemical composition of glacial rock clasts eroded from the continental interior. In this study, U, Th, and K concentrations in a suite of Proterozoic (1.2-2.0 Ga) granitoids sourced within the Byrd and Nimrod glacial drainages of central East Antarctica indicate average upper crustal heat production (H-o) of about 2.6 +/- 1.9 mu Wm(-3). Assuming typical mantle and lower crustal heat flux for stable continental shields, and a length scale for the distribution of heat production in the upper crust, the heat production values determined for individual samples yield estimates of surface heat flow (q(o)) ranging from 33 to 84mWm(-2) and an average of 48.0 +/- 13.6mWm(-2). Estimates of heat production obtained for this suite of glacially sourced granitoids therefore indicate that the interior of the East Antarctic ice sheet is underlain in part by Proterozoic continental lithosphere with an average surface heat flow, providing constraints on both geodynamic history and ice-sheet stability. The ages and geothermal characteristics of the granites indicate that crust in central East Antarctica resembles that in the Proterozoic Arunta and Tennant Creek inliers of Australia but is dissimilar to other areas like the Central Australian Heat Flow Province that are characterized by anomalously high heat flow. Age variation within the sample suite indicates that central East Antarctic lithosphere is heterogeneous, yet the average heat production and heat flow of four age subgroups cluster around the group mean, indicating minor variation in the thermal contribution to the overlying ice sheet from upper crustal heat production. Despite these minor differences, ice-sheet models may favor a geologically realistic input of crustal heat flow represented by the distribution of ages and geothermal characteristics found in these glacial clasts.</t>
  </si>
  <si>
    <t>[Goodge, John W.] Univ Minnesota, Dept Earth &amp; Environm Sci, Duluth, MN 55812 USA</t>
  </si>
  <si>
    <t>University of Minnesota System; University of Minnesota Duluth</t>
  </si>
  <si>
    <t>Goodge, JW (corresponding author), Univ Minnesota, Dept Earth &amp; Environm Sci, Duluth, MN 55812 USA.</t>
  </si>
  <si>
    <t>jgoodge@d.umn.edu</t>
  </si>
  <si>
    <t>Goodge, John/GQI-3878-2022</t>
  </si>
  <si>
    <t>Goodge, John/0000-0003-2578-3147</t>
  </si>
  <si>
    <t>National Science Foundation [0944645]; Division Of Polar Programs; Directorate For Geosciences [0944645] Funding Source: National Science Foundation</t>
  </si>
  <si>
    <t>National Science Foundation(National Science Foundation (NSF)); Division Of Polar Programs; Directorate For Geosciences(National Science Foundation (NSF)NSF - Directorate for Geosciences (GEO))</t>
  </si>
  <si>
    <t>Field and analytical portions of this project were supported by the National Science Foundation (award 0944645). Jacqueline Halpin and Jean-Claude Mareschal provided helpful feedback on the approach to estimating heat production and heat flow, and Jeff Severinghaus kindly reviewed an earlier draft manuscript. John Swenson generously provided insight into the treatment of uncertainties.</t>
  </si>
  <si>
    <t>FEB 8</t>
  </si>
  <si>
    <t>10.5194/tc-12-491-2018</t>
  </si>
  <si>
    <t>FV5QT</t>
  </si>
  <si>
    <t>WOS:000424638100001</t>
  </si>
  <si>
    <t>Richerson, K; Driscoll, R; Mangel, M</t>
  </si>
  <si>
    <t>Richerson, Kate; Driscoll, Ryan; Mangel, Marc</t>
  </si>
  <si>
    <t>Increasing temperature may shift availability of euphausiid prey in the Southern Ocean</t>
  </si>
  <si>
    <t>Thysanoessa macrura; Euphausia superba; Growth; Temperature; Climate change; Krill predators; Southern Ocean; Euphausiids; Modeling</t>
  </si>
  <si>
    <t>THYSANOESSA-MACRURA EUPHAUSIACEA; WEST ANTARCTIC PENINSULA; CLIMATE-CHANGE; SEA-ICE; SPATIAL VARIABILITY; FORAGING BEHAVIOR; DEPENDENT GROWTH; ELEPHANT ISLAND; SUPERBA DANA; LAZAREV SEA</t>
  </si>
  <si>
    <t>Climate change is predicted to affect Southern Ocean biota in complex ways. Euphausiids play a crucial role in the trophodynamics of the ecosystem, and their status under future environmental scenarios is the subject of much concern. Thysanoessa macrura is the most widely distributed, numerically abundant, and ubiquitous euphausiid south of the Polar Front and may be an underappreciated prey species. T. macrura is eurythermic and may be better able to tolerate warming ocean temperatures in comparison to the more stenothermic Antarctic krill Euphausia superba. We use temperature-dependent growth models and biomass per recruit to investigate how the availability of this euphausiid to predators may change under a range of temperature scenarios. We contrast this with the availability of E. superba and find that, under some ranges of temperature change, increasing T. macrura growth may be able to partially compensate for decreasing E. superba growth in terms of biomass available for predators. However, in spite of its considerable biomass, other aspects of this species, such as its size and habitat, may limit its potential to replace E. superba in the diet of many predators.</t>
  </si>
  <si>
    <t>[Richerson, Kate; Driscoll, Ryan; Mangel, Marc] Univ Calif Santa Cruz, Dept Appl Math &amp; Stat, Ctr Stock Assessment Res, Santa Cruz, CA 95064 USA; [Richerson, Kate] Univ Calif Santa Cruz, Dept Ecol &amp; Evolutionary Biol, Santa Cruz, CA 95064 USA; [Driscoll, Ryan] Univ Calif Santa Cruz, Dept Ocean Sci, Santa Cruz, CA 95064 USA; [Mangel, Marc] Univ Bergen, Dept Biol, Theoret Ecol Grp, N-9020 Bergen, Norway; [Richerson, Kate] Univ Washington, Sch Aquat &amp; Fishery Sci, Seattle, WA 98105 USA</t>
  </si>
  <si>
    <t>University of California System; University of California Santa Cruz; University of California System; University of California Santa Cruz; University of California System; University of California Santa Cruz; University of Bergen; University of Washington; University of Washington Seattle</t>
  </si>
  <si>
    <t>Richerson, K (corresponding author), Univ Calif Santa Cruz, Dept Appl Math &amp; Stat, Ctr Stock Assessment Res, Santa Cruz, CA 95064 USA.;Richerson, K (corresponding author), Univ Calif Santa Cruz, Dept Ecol &amp; Evolutionary Biol, Santa Cruz, CA 95064 USA.;Richerson, K (corresponding author), Univ Washington, Sch Aquat &amp; Fishery Sci, Seattle, WA 98105 USA.</t>
  </si>
  <si>
    <t>katericherson@gmail.com</t>
  </si>
  <si>
    <t>NSF fellowship; Center for Stock Assessment Research; NSF [DEB 14-51931, DEB 1555729]</t>
  </si>
  <si>
    <t>NSF fellowship(National Science Foundation (NSF)); Center for Stock Assessment Research; NSF(National Science Foundation (NSF))</t>
  </si>
  <si>
    <t>We thank the United States Antarctic Living Resources Program for their help on this project. This work was partially supported by a NSF fellowship to K.R.; by the Center for Stock Assessment Research, a partnership between NOAA Fisheries Santa Cruz Laboratory and UC Santa Cruz; and by NSF grants DEB 14-51931 and DEB 1555729 to M.M.</t>
  </si>
  <si>
    <t>10.3354/meps12460</t>
  </si>
  <si>
    <t>FX7HD</t>
  </si>
  <si>
    <t>WOS:000426258100005</t>
  </si>
  <si>
    <t>Hillary, RM; Bravington, MV; Patterson, TA; Grewe, P; Bradford, R; Feutry, P; Gunasekera, R; Peddemors, V; Werry, J; Francis, MP; Duffy, CAJ; Bruce, BD</t>
  </si>
  <si>
    <t>Hillary, R. M.; Bravington, M. V.; Patterson, T. A.; Grewe, P.; Bradford, R.; Feutry, P.; Gunasekera, R.; Peddemors, V.; Werry, J.; Francis, M. P.; Duffy, C. A. J.; Bruce, B. D.</t>
  </si>
  <si>
    <t>Genetic relatedness reveals total population size of white sharks in eastern Australia and New Zealand</t>
  </si>
  <si>
    <t>OVERLAPPING GENERATIONS; ELASMOBRANCHS; CONSERVATION; ABUNDANCE</t>
  </si>
  <si>
    <t>Conservation concerns exist for many sharks but robust estimates of abundance are often lacking. Improving population status is a performance measure for species under conservation or recovery plans, yet the lack of data permitting estimation of population size means the efficacy of management actions can be difficult to assess, and achieving the goal of removing species from conservation listing challenging. For potentially dangerous species, like the white shark, balancing conservation and public safety demands is politically and socially complex, often leading to vigorous debate about their population status. This increases the need for robust information to inform policy decisions. We developed a novel method for estimating the total abundance of white sharks in eastern Australia and New Zealand using the genetic-relatedness of juveniles and applying a close-kin mark-recapture framework and demographic model. Estimated numbers of adults are small (ca. 280-650), as is total population size (ca. 2,500-6,750). However, estimates of survival probability are high for adults (over 90%), and fairly high for juveniles (around 73%). This represents the first direct estimate of total white shark abundance and survival calculated from data across both the spatial and temporal life-history of the animal and provides a pathway to estimate population trend.</t>
  </si>
  <si>
    <t>[Hillary, R. M.; Patterson, T. A.; Grewe, P.; Bradford, R.; Feutry, P.; Gunasekera, R.; Bruce, B. D.] CSIRO Oceans &amp; Atmosphere, GPO Box 1538, Hobart, Tas 7000, Australia; [Bravington, M. V.] CSIRO Data61, GPO Box 1538, Hobart, Tas 7000, Australia; [Peddemors, V.] Sydney Inst Marine Sci, New South Wales Dept Primary Ind, 19 Chowder Bay Rd, Mosman, NSW 2088, Australia; [Werry, J.] Griffith Univ, Griffith Ctr Coastal Management, Southport, Qld 4226, Australia; [Francis, M. P.] Natl Inst Water &amp; Atmospher Res, Private Bag 14901, Wellington 6022, New Zealand; [Duffy, C. A. J.] Dept Conservat, Private Bag 68908, Auckland 1145, New Zealand</t>
  </si>
  <si>
    <t>Commonwealth Scientific &amp; Industrial Research Organisation (CSIRO); Commonwealth Scientific &amp; Industrial Research Organisation (CSIRO); NSW Department of Primary Industries; Sydney Institute of Marine Science; Griffith University; Griffith University - Gold Coast Campus; National Institute of Water &amp; Atmospheric Research (NIWA) - New Zealand</t>
  </si>
  <si>
    <t>Hillary, RM (corresponding author), CSIRO Oceans &amp; Atmosphere, GPO Box 1538, Hobart, Tas 7000, Australia.</t>
  </si>
  <si>
    <t>Rich.Hillary@csiro.au</t>
  </si>
  <si>
    <t>Peddemors, Victor M/Q-4281-2016; Grewe, Peter/AAJ-5227-2021; Patterson, Toby A/B-3836-2011; Bravington, Mark V/E-8897-2010; Hillary, Richard M/L-3300-2013; Feutry, Pierre/D-7469-2011; Bradford, Russell/N-3442-2015; Gunasekera, Rasanthi/A-2318-2012</t>
  </si>
  <si>
    <t>Grewe, Peter/0000-0001-7111-4150; Patterson, Toby/0000-0002-7150-9205; Peddemors, Victor/0000-0002-8743-9782; Feutry, Pierre/0000-0001-8492-5382; Bradford, Russell/0000-0003-0291-3180; Gunasekera, Rasanthi/0000-0003-1990-2752</t>
  </si>
  <si>
    <t>Australian Government's National Environmental Science Programme (NESP); Australian Government through the National Collaborative Research Infrastructure Strategy and the Super Science Initiative; Tasmanian Department of Primary Industries, Parks, Water and the Environment (DPIPWE) AEC Project [1/2013-14]</t>
  </si>
  <si>
    <t>Australian Government's National Environmental Science Programme (NESP)(Australian Government); Australian Government through the National Collaborative Research Infrastructure Strategy and the Super Science Initiative(Australian GovernmentDepartment of Industry, Innovation and Science); Tasmanian Department of Primary Industries, Parks, Water and the Environment (DPIPWE) AEC Project</t>
  </si>
  <si>
    <t>This work was undertaken for the Marine Biodiversity Hub, a collaborative partnership supported through funding from the Australian Government's National Environmental Science Programme (NESP). NESP Marine Biodiversity Hub partners include the Institute for Marine and Antarctic Studies, University of Tasmania; CSIRO, Geoscience Australia, Australian Institute of Marine Science, Museum Victoria, Charles Darwin University, University of Western Australia, NSW Office of Environment and Heritage, NSW Department of Primary Industries and the Integrated Marine Observing System. Additional acoustic tag detection data was sourced from the Integrated Marine Observing System (IMOS) - IMOS is supported by the Australian Government through the National Collaborative Research Infrastructure Strategy and the Super Science Initiative. Tagging of sharks and collection of samples were approved under Tasmanian Department of Primary Industries, Parks, Water and the Environment (DPIPWE) AEC Project 1/2013-14 (and previous derivations), DPIPWE Living Marine Resources Management Act 1995 Permit 15008 (and previous derivations), DPIPWE Threatened Fauna for Scientific Purposes permit 14239; Victorian Department of Environment and Primary Industries (VDPI) Research permit 10006912, VDPI Protected Aquatic Biota permit PA38; New South Wales Department of Primary Industries (NSW DPI) Animal Care and Ethics permit ACEC 14/07 and NSW DPI Scientific Collection permit P07/0099. QLD white shark samples collected under Animal Care and Ethics permits ENV15/14/AEC and ENV17/09/AEC to JW. The authors are indebted to Nic Bax, Kent Stannard, David Harasti, Chris Gallen, Charlie Huveneers, Paul Rogers, Rory McAuley, James Marthic, Andrew Fox and Andrew Wright. The manuscript was greatly improved by comments from Andre Punt, Tony Smith, Robin Waples and Nic Bax.</t>
  </si>
  <si>
    <t>10.1038/s41598-018-20593-w</t>
  </si>
  <si>
    <t>FV3DV</t>
  </si>
  <si>
    <t>WOS:000424449100039</t>
  </si>
  <si>
    <t>Koutsouveli, V; Taboada, S; Moles, J; Cristobo, J; Ríos, P; Bertran, A; Solà, J; Avila, C; Riesgo, A</t>
  </si>
  <si>
    <t>Koutsouveli, Vasiliki; Taboada, Sergi; Moles, Juan; Cristobo, Javier; Rios, Pilar; Bertran, Andrea; Sola, Joan; Avila, Conxita; Riesgo, Ana</t>
  </si>
  <si>
    <t>Insights into the reproduction of some Antarctic dendroceratid, poecilosclerid, and haplosclerid demosponges</t>
  </si>
  <si>
    <t>EMBRYONIC-DEVELOPMENT; PROTEIN-SYNTHESIS; SPONGE; PORIFERA; RECRUITMENT; SEA; ECOLOGY; LARVA; WATER; PATTERNS</t>
  </si>
  <si>
    <t>Sponges are a dominant element of the Antarctic benthic communities, posing both high species richness and large population densities. Despite their importance in Antarctic ecosystems, very little is known about their reproductive patterns and strategies. In our study, we surveyed the tissue of six different species for reproductive elements, namely, Dendrilla antarctica Topsent, 1905 (order Dendroceratida), Phorbas areolatus (Thiele, 1905), Kirkpatrickia variolosa (Kirkpatrick, 1907), and Isodictya kerguelenensis (Ridley &amp; Dendy, 1886) (order Poecilosclerida), and Hemigellius pilosus (Kirkpatrick, 1907) and Haliclona penicillata (Topsent, 1908) (Haplosclerida). Samples of these six species containing various reproductive elements were collected in Deception Island and were processed for both light and transmission electron microscopy (TEM). Even though we were not able to monitor the entire reproductive cycle, due to time and meteorological conditions, we report important aspects of the reproduction of these species. This includes oocyte and embryo morphology and cell ultrastructure, follicular structures and nurse cell activity, as well as vitellogenesis. All species were brooding their embryos within their mesohyl. Both oocytes and embryos were registered in the majority of the studied species, and a single sperm cell being carried to an egg for fertilization was observed in H. penicillata. While the reproductive periods of all species coincided temporally, some of them seemed to rely on a single spawning event, this being suggested by the synchronic oogenesis and embryogenesis occurrence of D. antarctica, P. areolatus and I. kerguelenensis. In contrast, K. variolosa had an asynchronous embryo development, which suggests several larval release events. Our results suggest that differences in the reproductive strategies and morphological traits might succeed in the coexistence of these species at the same habitat avoiding the direct competition between them.</t>
  </si>
  <si>
    <t>[Koutsouveli, Vasiliki; Taboada, Sergi; Riesgo, Ana] Nat Hist Museum London, Dept Life Sci, Invertebrate Div, London, England; [Moles, Juan; Bertran, Andrea; Sola, Joan; Avila, Conxita] Univ Barcelona, Dept Evolutionary Biol Ecol &amp; Environm Sci, Fac Biol, Barcelona, Catalonia, Spain; [Moles, Juan; Bertran, Andrea; Sola, Joan; Avila, Conxita] Univ Barcelona, IRBio Biodivers Res Inst, Barcelona, Catalonia, Spain; [Cristobo, Javier; Rios, Pilar] IEO, Gijon, Spain</t>
  </si>
  <si>
    <t>Natural History Museum London; University of Barcelona; University of Barcelona</t>
  </si>
  <si>
    <t>Riesgo, A (corresponding author), Nat Hist Museum London, Dept Life Sci, Invertebrate Div, London, England.</t>
  </si>
  <si>
    <t>A.Riesgo@nhm.ac.uk</t>
  </si>
  <si>
    <t>Taboada, Sergi/AAB-9390-2021; Avila, Conxita/B-9466-2008; Moles, Juan/H-4786-2018; Cristobo, Javier/M-1949-2014; Riesgo, Ana/E-3341-2014; Rios, Pilar/L-1293-2014</t>
  </si>
  <si>
    <t>Taboada, Sergi/0000-0003-1669-1152; Avila, Conxita/0000-0002-5489-8376; Moles, Juan/0000-0003-4511-4055; Riesgo, Ana/0000-0002-7993-1523; Rios, Pilar/0000-0001-9710-9114</t>
  </si>
  <si>
    <t>Spanish Ministry of Economy and Competitivity [ACTIQUIM-II CGL2010-17415/ANT, DISTANTCOM CTM2013-42667/ANT]; European Union's Horizon research and innovation program [679849]; DIF grant of the Natural History Museum of London [SDF14032]</t>
  </si>
  <si>
    <t>Spanish Ministry of Economy and Competitivity(Spanish Government); European Union's Horizon research and innovation program; DIF grant of the Natural History Museum of London</t>
  </si>
  <si>
    <t>This work was carried out within two research grants from the Spanish Ministry of Economy and Competitivity, http.//www.idi.mineco.gob.es/ (ACTIQUIM-II CGL2010-17415/ANT, and DISTANTCOM CTM2013-42667/ANT) to CA, a grant from the European Union's Horizon 2020 research and innovation program under Grant Agreement No. 679849 ('SponGES') to AR and JC, and a DIF grant of the Natural History Museum of London, www.nhm.ac.uk (SDF14032) to AR.</t>
  </si>
  <si>
    <t>e0192267</t>
  </si>
  <si>
    <t>10.1371/journal.pone.0192267</t>
  </si>
  <si>
    <t>FV4BG</t>
  </si>
  <si>
    <t>WOS:000424517900059</t>
  </si>
  <si>
    <t>Chambers, DP</t>
  </si>
  <si>
    <t>Chambers, Don P.</t>
  </si>
  <si>
    <t>Using kinetic energy measurements from altimetry to detect shifts in the positions of fronts in the Southern Ocean</t>
  </si>
  <si>
    <t>OCEAN SCIENCE</t>
  </si>
  <si>
    <t>ANTARCTIC CIRCUMPOLAR CURRENT; POLAR FRONT; VARIABILITY; TOPEX/POSEIDON; CIRCULATION; TRENDS; JETS</t>
  </si>
  <si>
    <t>A novel analysis is performed utilizing cross-track kinetic energy (CKE) computed from along-track sea surface height anomalies. The midpoint of enhanced kinetic energy averaged over 3-year periods from 1993 to 2016 is determined across the Southern Ocean and examined to detect shifts in frontal positions, based on previous observations that kinetic energy is high around fronts in the Antarctic Circumpolar Current system due to jet instabilities. It is demonstrated that although the CKE does not represent the full eddy kinetic energy (computed from crossovers), the shape of the enhanced regions along ground tracks is the same, and CKE has a much finer spatial sampling of 6.9 km. Results indicate no significant shift in the front positions across the Southern Ocean, on average, although there are some localized, large movements. This is consistent with other studies utilizing sea surface temperature gradients, the latitude of mean transport, and the probability of jet occurrence, but is inconsistent with studies utilizing the movement of contours of dynamic topography.</t>
  </si>
  <si>
    <t>[Chambers, Don P.] Univ S Florida, Coll Marine Sci, St Petersburg, FL 33701 USA</t>
  </si>
  <si>
    <t>State University System of Florida; University of South Florida</t>
  </si>
  <si>
    <t>Chambers, DP (corresponding author), Univ S Florida, Coll Marine Sci, St Petersburg, FL 33701 USA.</t>
  </si>
  <si>
    <t>donc@usf.edu</t>
  </si>
  <si>
    <t>Chambers, Don/0000-0002-5439-0257</t>
  </si>
  <si>
    <t>NASA [NNX13AG98G]; NOAA; NASA [NNX13AG98G, 473868] Funding Source: Federal RePORTER</t>
  </si>
  <si>
    <t>NASA(National Aeronautics &amp; Space Administration (NASA)); NOAA(National Oceanic Atmospheric Admin (NOAA) - USA); NASA(National Aeronautics &amp; Space Administration (NASA))</t>
  </si>
  <si>
    <t>The author would like to thank Christopher Chapman and an anonymous reviewer for their extensive comments on an earlier draft of this paper. Their many suggestions helped the author improve the paper substantially. This research was carried out under grant number NNX13AG98G from NASA and a grant from NOAA for the NASA/NOAA Ocean Surface Topography Science Team.</t>
  </si>
  <si>
    <t>1812-0784</t>
  </si>
  <si>
    <t>OCEAN SCI</t>
  </si>
  <si>
    <t>Ocean Sci.</t>
  </si>
  <si>
    <t>10.5194/os-14-105-2018</t>
  </si>
  <si>
    <t>FV5QP</t>
  </si>
  <si>
    <t>WOS:000424637600001</t>
  </si>
  <si>
    <t>Benforte, FC; Colonnella, MA; Ricardi, MM; Venero, ECS; Lizarraga, L; López, NI; Tribelli, PM</t>
  </si>
  <si>
    <t>Benforte, Florencia C.; Colonnella, Maria A.; Ricardi, Martiniano M.; Solar Venero, Esmeralda C.; Lizarraga, Leonardo; Lopez, Nancy I.; Tribelli, Paula M.</t>
  </si>
  <si>
    <t>Novel role of the LPS core glycosyltransferase WapH for cold adaptation in the Antarctic bacterium Pseudomonas extremaustralis</t>
  </si>
  <si>
    <t>ESCHERICHIA-COLI; LOW-TEMPERATURE; BIOFILM FORMATION; CELL-ENVELOPE; POLYMYXIN-B; STRESS; LIPOPOLYSACCHARIDES; FLUORESCENS; RESISTANCE; SYRINGAE</t>
  </si>
  <si>
    <t>Psychrotroph microorganisms have developed cellular mechanisms to cope with cold stress. Cell envelopes are key components for bacterial survival. Outer membrane is a constituent of Gram negative bacterial envelopes, consisting of several components, such as lipopolysaccharides (LPS). In this work we investigated the relevance of envelope characteristics for cold adaptation in the Antarctic bacterium Pseudomonas extremaustralis by analyzing a mini Tn5 wapH mutant strain, encoding a core LPS glycosyltransferase. Our results showed that wapH strain is impaired to grow under low temperature but not for cold survival. The mutation in wapH, provoked a strong aggregative phenotype and modifications of envelope nanomechanical properties such as lower flexibility and higher turgor pressure, cell permeability and surface area to volume ratio (S/V). Changes in these characteristics were also observed in the wild type strain grown at different temperatures, showing higher cell flexibility but lower turgor pressure under cold conditions. Cold shock experiments indicated that an acclimation period in the wild type is necessary for cell flexibility and S/V ratio adjustments. Alteration in cell-cell interaction capabilities was observed in wapH strain. Mixed cells of wild type and wapH strains, as well as those of the wild type strain grown at different temperatures, showed a mosaic pattern of aggregation. These results indicate that wapH mutation provoked marked envelope alterations showing that LPS core conservation appears as a novel essential feature for active growth under cold conditions.</t>
  </si>
  <si>
    <t>[Benforte, Florencia C.; Lopez, Nancy I.; Tribelli, Paula M.] Univ Buenos Aires, Fac Ciencias Exactas &amp; Nat, Dept Quim Biol, Buenos Aires, DF, Argentina; [Colonnella, Maria A.; Lizarraga, Leonardo] Consejo Nacl Invest Cient &amp; Tecn, Ctr Invest Bionanociencias, Buenos Aires, DF, Argentina; [Ricardi, Martiniano M.] Univ Buenos Aires, Fac Ciencias Exactas &amp; Nat, Inst Fisiol Biol Mol &amp; Neurociencias, Buenos Aires, DF, Argentina; [Solar Venero, Esmeralda C.; Lopez, Nancy I.; Tribelli, Paula M.] Consejo Nacl Invest Cient &amp; Tecn, IQUIBICEN, Buenos Aires, DF, Argentina</t>
  </si>
  <si>
    <t>University of Buenos Aires; Consejo Nacional de Investigaciones Cientificas y Tecnicas (CONICET); University of Buenos Aires; Consejo Nacional de Investigaciones Cientificas y Tecnicas (CONICET)</t>
  </si>
  <si>
    <t>López, NI; Tribelli, PM (corresponding author), Univ Buenos Aires, Fac Ciencias Exactas &amp; Nat, Dept Quim Biol, Buenos Aires, DF, Argentina.;López, NI; Tribelli, PM (corresponding author), Consejo Nacl Invest Cient &amp; Tecn, IQUIBICEN, Buenos Aires, DF, Argentina.</t>
  </si>
  <si>
    <t>nan@qb.fcen.uba.ar; paulatrib@qb.fcen.uba.ar</t>
  </si>
  <si>
    <t>Solar Venero, Esmeralda/0000-0003-3516-8535; Ricardi, Martiniano Maria/0000-0002-7904-6305; Tribelli, Paula Maria/0000-0001-9558-6275; Lizarraga, Leonardo/0000-0003-3476-495X</t>
  </si>
  <si>
    <t>Agencia Nacional de Promocion Cientifica y Tecnologica Prestamo [BID-PICT 2259]; Consejo Nacional de Investigaciones Cientificas y Tecnicas [PIP 2014-2017]; Universidad de Buenos Aires [Codigo 20020130100451BA]; Agencia Nacional de Promocion Cientifica y Tecnologica [PRH-2013-0017-PICT 2015-0031]; CONICET; UBA</t>
  </si>
  <si>
    <t>Agencia Nacional de Promocion Cientifica y Tecnologica Prestamo; Consejo Nacional de Investigaciones Cientificas y Tecnicas(Consejo Nacional de Investigaciones Cientificas y Tecnicas (CONICET)); Universidad de Buenos Aires(University of Buenos Aires); Agencia Nacional de Promocion Cientifica y Tecnologica(ANPCyTSpanish Government); CONICET(Consejo Nacional de Investigaciones Cientificas y Tecnicas (CONICET)); UBA(University of Buenos Aires)</t>
  </si>
  <si>
    <t>This work was supported by the Agencia Nacional de Promocion Cientifica y Tecnologica Prestamo BID-PICT 2259. NIL, PMT, ESV; Consejo Nacional de Investigaciones Cientificas y Tecnicas. PIP 2014-2017. NIL. PMT, ESV; Universidad de Buenos Aires.Codigo 20020130100451BA. NIL, PMT, ESV, FCB and the Agencia Nacional de Promocion Cientifica y Tecnologica (grant PRH-2013-0017-PICT 2015-0031). LL, ESV and MAC have a graduate student fellowship from CONICET. FCB has an undergraduate student fellowship from UBA. The funders had no role in study design, data collection and analysis, decision to publish, or preparation of the manuscript.; MMR, LL, PMT, and NIL are career investigators from Consejo Nacional de Investigaciones Cientificas y Tecnicas (CONICET, Argentina). ESV and MAC have a graduate student fellowship from CONICET. FCB has an undergraduate student fellowship from UBA.</t>
  </si>
  <si>
    <t>FEB 7</t>
  </si>
  <si>
    <t>e0192559</t>
  </si>
  <si>
    <t>10.1371/journal.pone.0192559</t>
  </si>
  <si>
    <t>FV1MC</t>
  </si>
  <si>
    <t>WOS:000424325300086</t>
  </si>
  <si>
    <t>Petty, AA; Stroeve, JC; Holland, PR; Boisvert, LN; Bliss, AC; Kimura, N; Meier, WN</t>
  </si>
  <si>
    <t>Petty, Alek A.; Stroeve, Julienne C.; Holland, Paul R.; Boisvert, Linette N.; Bliss, Angela C.; Kimura, Noriaki; Meier, Walter N.</t>
  </si>
  <si>
    <t>The Arctic sea ice cover of 2016: a year of record-low highs and higher-than-expected lows</t>
  </si>
  <si>
    <t>SURFACE TEMPERATURE; CLIMATE MODELS; CYCLONE; TRENDS; IMPACT; DRIFT; MELT; AMPLIFICATION; ALGORITHMS; FORECASTS</t>
  </si>
  <si>
    <t>The Arctic sea ice cover of 2016 was highly noteworthy, as it featured record low monthly sea ice extents at the start of the year but a summer (September) extent that was higher than expected by most seasonal forecasts. Here we explore the 2016 Arctic sea ice state in terms of its monthly sea ice cover, placing this in the context of the sea ice conditions observed since 2000. We demonstrate the sensitivity of monthly Arctic sea ice extent and area estimates, in terms of their magnitude and annual rankings, to the ice concentration input data (using two widely used datasets) and to the averaging methodology used to convert concentration to extent (daily or monthly extent calculations). We use estimates of sea ice area over sea ice extent to analyse the relative compactness of the Arctic sea ice cover, highlighting anomalously low compactness in the summer of 2016 which contributed to the higher-than-expected September ice extent. Two cyclones that entered the Arctic Ocean during August appear to have driven this low-concentration/compactness ice cover but were not sufficient to cause more widespread melt-out and a new record-low September ice extent. We use concentration budgets to explore the regions and processes (thermodynamics/dynamics) contributing to the monthly 2016 extent/area estimates highlighting, amongst other things, rapid ice intensification across the central eastern Arctic through September. Two different products show significant early melt on-set across the Arctic Ocean in 2016, including record-early melt onset in the North Atlantic sector of the Arctic. Our results also show record-late 2016 freeze-up in the central Arctic, North Atlantic and the Alaskan Arctic sector in particular, associated with strong sea surface temperature anomalies that appeared shortly after the 2016 minimum (October onwards). We explore the implications of this low summer ice compactness for seasonal forecasting, suggesting that sea ice area could be a more reliable metric to forecast in this more seasonal, New Arctic, sea ice regime.</t>
  </si>
  <si>
    <t>[Petty, Alek A.; Boisvert, Linette N.; Bliss, Angela C.] Univ Maryland, Earth Syst Sci Interdisciplinary Ctr, College Pk, MD 20742 USA; [Petty, Alek A.; Boisvert, Linette N.; Bliss, Angela C.] NASA, Goddard Space Flight Ctr, Cryospher Sci Lab, Greenbelt, MD 20771 USA; [Stroeve, Julienne C.] UCL, Ctr Polar Observat &amp; Modelling, London, England; [Stroeve, Julienne C.; Meier, Walter N.] Univ Colorado, Cooperat Inst Res Environm Sci, Natl Snow &amp; Ice Data Ctr, Boulder, CO USA; [Holland, Paul R.] British Antarctic Survey, Cambridge, England; [Kimura, Noriaki] Univ Tokyo, Atmosphere &amp; Ocean Res Inst, Tokyo, Japan</t>
  </si>
  <si>
    <t>University System of Maryland; University of Maryland College Park; National Aeronautics &amp; Space Administration (NASA); NASA Goddard Space Flight Center; University of London; University College London; University of Colorado System; University of Colorado Boulder; UK Research &amp; Innovation (UKRI); Natural Environment Research Council (NERC); NERC British Antarctic Survey; University of Tokyo</t>
  </si>
  <si>
    <t>Petty, AA (corresponding author), Univ Maryland, Earth Syst Sci Interdisciplinary Ctr, College Pk, MD 20742 USA.;Petty, AA (corresponding author), NASA, Goddard Space Flight Ctr, Cryospher Sci Lab, Greenbelt, MD 20771 USA.</t>
  </si>
  <si>
    <t>alek.a.petty@nasa.gov</t>
  </si>
  <si>
    <t>Holland, Paul R/G-2796-2012; Meier, Walter/AAI-9583-2021; Stroeve, Julienne/ABE-7227-2020; Petty, Alek/K-1839-2014</t>
  </si>
  <si>
    <t>Bliss, Angela/0000-0001-9208-7024; Petty, Alek/0000-0003-0307-3216; Meier, Walter/0000-0003-2857-0550</t>
  </si>
  <si>
    <t>Grants-in-Aid for Scientific Research [16K00511] Funding Source: KAKEN; NERC [bas0100033] Funding Source: UKRI</t>
  </si>
  <si>
    <t>Grants-in-Aid for Scientific Research(Ministry of Education, Culture, Sports, Science and Technology, Japan (MEXT)Japan Society for the Promotion of ScienceGrants-in-Aid for Scientific Research (KAKENHI)); NERC(UK Research &amp; Innovation (UKRI)Natural Environment Research Council (NERC))</t>
  </si>
  <si>
    <t>FEB 6</t>
  </si>
  <si>
    <t>10.5194/tc-12-433-2018</t>
  </si>
  <si>
    <t>FV0XZ</t>
  </si>
  <si>
    <t>WOS:000424286200002</t>
  </si>
  <si>
    <t>Mueller, RD; Hattermann, T; Howard, SL; Padman, L</t>
  </si>
  <si>
    <t>Mueller, Rachael D.; Hattermann, Tore; Howard, Susan L.; Padman, Laurie</t>
  </si>
  <si>
    <t>Tidal influences on a future evolution of the Filchner-Ronne Ice Shelf cavity in the Weddell Sea, Antarctica</t>
  </si>
  <si>
    <t>PINE ISLAND GLACIER; WEST ANTARCTICA; CONTINENTAL-SHELF; THERMOHALINE CIRCULATION; BOUNDARY-CONDITIONS; GROUNDING LINE; MASS-LOSS; MODEL; WATER; SENSITIVITY</t>
  </si>
  <si>
    <t>Recent modeling studies of ocean circulation in the southern Weddell Sea, Antarctica, project an increase over this century of ocean heat into the cavity beneath Filchner-Ronne Ice Shelf (FRIS). This increase in ocean heat would lead to more basal melting and a modification of the FRIS ice draft. The corresponding change in cavity shape will affect advective pathways and the spatial distribution of tidal currents, which play important roles in basal melting under FRIS. These feedbacks between heat flux, basal melting, and tides will affect the evolution of FRIS under the influence of a changing climate. We explore these feedbacks with a three-dimensional ocean model of the southern Weddell Sea that is forced by thermodynamic exchange beneath the ice shelf and tides along the open boundaries. Our results show regionally dependent feedbacks that, in some areas, substantially modify the melt rates near the grounding lines of buttressed ice streams that flow into FRIS. These feedbacks are introduced by variations in meltwater production as well as the circulation of this meltwater within the FRIS cavity; they are influenced locally by sensitivity of tidal currents to water column thickness (wct) and non-locally by changes in circulation pathways that transport an integrated history of mixing and meltwater entrainment along flow paths. Our results highlight the importance of including explicit tidal forcing in models of future mass loss from FRIS and from the adjacent grounded ice sheet as individual ice-stream grounding zones experience different responses to warming of the ocean inflow.</t>
  </si>
  <si>
    <t>[Mueller, Rachael D.] Earth &amp; Space Res, Bellingham, WA 98225 USA; [Hattermann, Tore] Akvaplan Niva, N-9296 Tromso, Norway; [Hattermann, Tore] Alfred Wegener Inst, Helmholtz Ctr Polar &amp; Marine Res, D-27570 Bremerhaven, Germany; [Howard, Susan L.] Earth &amp; Space Res, Seattle, WA 98121 USA; [Padman, Laurie] Earth &amp; Space Res, Corvallis, OR 97333 USA</t>
  </si>
  <si>
    <t>Akvaplan-niva; Helmholtz Association; Alfred Wegener Institute, Helmholtz Centre for Polar &amp; Marine Research</t>
  </si>
  <si>
    <t>Mueller, RD (corresponding author), Earth &amp; Space Res, Bellingham, WA 98225 USA.</t>
  </si>
  <si>
    <t>mueller@esr.org</t>
  </si>
  <si>
    <t>Hattermann, Tore/0000-0002-5538-2267; Howard, Susan/0000-0002-9183-0178; Padman, Laurence/0000-0003-2010-642X</t>
  </si>
  <si>
    <t>NASA [NNX10AG19G, NNX13AP60G, 07-Earth07F-0095]; Research Council of Norway [231549]; NASA [NNX10AG19G, 466837, NNX13AP60G, 134135] Funding Source: Federal RePORTER</t>
  </si>
  <si>
    <t>NASA(National Aeronautics &amp; Space Administration (NASA)); Research Council of Norway(Research Council of Norway); NASA(National Aeronautics &amp; Space Administration (NASA))</t>
  </si>
  <si>
    <t>We thank Mike Dinniman (Old Dominion University) for his invaluable help in developing ROMS for use in simulating ice shelves, Scott Springer (Earth &amp; Space Research, ESR) for his help in creating the model grid, and Keith Makinson and Hartmut Hellmer for their careful and detailed reviews of this paper. Rachael Mueller is also grateful to Invent Coworking for providing an excellent work space. This study was funded by NASA grants NNX10AG19G and NNX13AP60G; NASA Earth and Space Science Fellowship, 07-Earth07F-0095; and The Research Council of Norway, program FRINATEK, project Warm Deep Water on the Antarctic Continental Shelves no. 231549. This is ESR publication number 160.</t>
  </si>
  <si>
    <t>10.5194/tc-12-453-2018</t>
  </si>
  <si>
    <t>WOS:000424286200003</t>
  </si>
  <si>
    <t>Lisovski, S; Schmaljohann, H; Bridge, ES; Bauer, S; Farnsworth, A; Gauthreaux, SA; Hahn, S; Hallworth, MT; Hewson, CM; Kelly, JF; Liechti, F; Marra, PP; Rakhimberdiev, E; Ross, JD; Seavy, NE; Sumner, MD; Taylor, CM; Winkler, DW; Wotherspoon, SJ; Wunder, MB</t>
  </si>
  <si>
    <t>Lisovski, Simeon; Schmaljohann, Heiko; Bridge, Eli S.; Bauer, Silke; Farnsworth, Andrew; Gauthreaux, Sidney A., Jr.; Hahn, Steffen; Hallworth, Michael T.; Hewson, Chris M.; Kelly, Jeffrey F.; Liechti, Felix; Marra, Peter P.; Rakhimberdiev, Eldar; Ross, Jeremy D.; Seavy, Nathaniel E.; Sumner, Michael D.; Taylor, Caz M.; Winkler, David W.; Wotherspoon, Simon J.; Wunder, Michael B.</t>
  </si>
  <si>
    <t>Inherent limits of light-level geolocation may lead to over-interpretation</t>
  </si>
  <si>
    <t>CURRENT BIOLOGY</t>
  </si>
  <si>
    <t>[Lisovski, Simeon; Bauer, Silke; Hahn, Steffen; Liechti, Felix] Swiss Ornithol Inst, Dept Bird Migrat, CH-6204 Sempach, Switzerland; [Lisovski, Simeon] Univ Calif Davis, Dept Neurobiol Physiol &amp; Behav, Davis, CA 95616 USA; [Schmaljohann, Heiko] Inst Avian Res Vogelwarte Helgoland, D-26386 Wilhelmshaven, Germany; [Schmaljohann, Heiko] Carl von Ossietzky Univ Oldenburg, Fac Biol Environm Sci, D-26111 Oldenburg, Germany; [Bridge, Eli S.; Kelly, Jeffrey F.; Ross, Jeremy D.] Univ Oklahoma, Oklahoma Biol Survey, Norman, OK 73019 USA; [Farnsworth, Andrew] Cornell Lab Ornithol Ithaca, Informat Sci Program, Ithaca, NY 14853 USA; [Gauthreaux, Sidney A., Jr.] POB 9, Edisto Isl, SC 29438 USA; [Hallworth, Michael T.; Marra, Peter P.] Natl Zool Pk, Smithsonian Conservat Biol Inst, Migratory Bird Ctr, Washington, DC 20013 USA; [Hewson, Chris M.] British Trust Ornithol, Thetford IP24 2PU, Norfolk, England; [Rakhimberdiev, Eldar] NIOZ Royal Netherlands Inst Sea Res, Dept Coastal Syst, NL-1790 AB Den Burg, Texel, Netherlands; [Rakhimberdiev, Eldar] Univ Utrecht, NL-1790 AB Den Burg, Texel, Netherlands; [Rakhimberdiev, Eldar] Lomonosov Moscow State Univ, Dept Vertebrate Zool, Moscow 119991, Russia; [Seavy, Nathaniel E.] Point Blue Conservat Sci, Petaluma, CA 94954 USA; [Sumner, Michael D.] Australian Antarctic Div, Kingston, Tas 7054, Australia; [Taylor, Caz M.] Tulane Univ, Dept Ecol &amp; Evolutionary Biol, New Orleans, LA 70118 USA; [Winkler, David W.] Cornell Univ, Dept Ecol &amp; Evolutionary Biol, Museum Vertebrates, Corson Hall, Ithaca, NY 14853 USA; [Winkler, David W.] Cornell Univ, Ornithol Lab, Corson Hall, Ithaca, NY 14853 USA; [Wotherspoon, Simon J.] Univ Tasmania, Inst Marine &amp; Antarctic Studies, Hobart, Tas 7001, Australia; [Wunder, Michael B.] Univ Colorado, Dept Integrat Biol, Denver, CO 80202 USA</t>
  </si>
  <si>
    <t>Swiss Ornithological Institute; University of California System; University of California Davis; Carl von Ossietzky Universitat Oldenburg; University of Oklahoma System; University of Oklahoma - Norman; Smithsonian Institution; Smithsonian National Zoological Park &amp; Conservation Biology Institute; British Trust for Ornithology; Utrecht University; Royal Netherlands Institute for Sea Research (NIOZ); Utrecht University; Lomonosov Moscow State University; Australian Antarctic Division; Tulane University; Cornell University; Cornell University; University of Tasmania; University of Colorado System; University of Colorado Denver</t>
  </si>
  <si>
    <t>Lisovski, S (corresponding author), Swiss Ornithol Inst, Dept Bird Migrat, CH-6204 Sempach, Switzerland.;Lisovski, S (corresponding author), Univ Calif Davis, Dept Neurobiol Physiol &amp; Behav, Davis, CA 95616 USA.</t>
  </si>
  <si>
    <t>simeon.lisovski@gmail.com</t>
  </si>
  <si>
    <t>Wotherspoon, Simon J/B-2390-2013; Schmaljohann, Heiko/A-2284-2011; Kelly, Jeffrey F/B-2029-2015; Sumner, Michael D/J-3478-2013; Bauer, Silke/M-9811-2019; Rakhimberdiev, Eldar/V-6325-2018; Bridge, Eli/AAN-1928-2020; Bridge, Eli/JBJ-7098-2023; Gauthreaux, Sidney/Q-3930-2019; Lisovski, Simeon/AAD-4201-2019; Bauer, Silke/C-3524-2008; Ross, Jeremy/B-9918-2014; Hallworth, Michael/N-4076-2017</t>
  </si>
  <si>
    <t>Wotherspoon, Simon J/0000-0002-6947-4445; Schmaljohann, Heiko/0000-0002-0886-4319; Bauer, Silke/0000-0002-0844-164X; Rakhimberdiev, Eldar/0000-0001-6357-6187; Bauer, Silke/0000-0002-0844-164X; Lisovski, Simeon/0000-0002-6399-0035; Sumner, Michael/0000-0002-2471-7511; Farnsworth, Andrew/0000-0002-9854-4449; Ross, Jeremy/0000-0001-7518-5845; Hallworth, Michael/0000-0002-6385-3815; Hahn, Steffen/0000-0002-4924-495X; Taylor, Caz/0000-0002-8293-1014</t>
  </si>
  <si>
    <t>CELL PRESS</t>
  </si>
  <si>
    <t>50 HAMPSHIRE ST, FLOOR 5, CAMBRIDGE, MA 02139 USA</t>
  </si>
  <si>
    <t>0960-9822</t>
  </si>
  <si>
    <t>1879-0445</t>
  </si>
  <si>
    <t>CURR BIOL</t>
  </si>
  <si>
    <t>Curr. Biol.</t>
  </si>
  <si>
    <t>FEB 5</t>
  </si>
  <si>
    <t>R99</t>
  </si>
  <si>
    <t>R100</t>
  </si>
  <si>
    <t>10.1016/j.cub.2017.11.072</t>
  </si>
  <si>
    <t>FU8AX</t>
  </si>
  <si>
    <t>WOS:000424075300004</t>
  </si>
  <si>
    <t>Solstorm, D; Oldham, T; Solstorm, F; Klebert, P; Stien, LH; Vågseth, T; Oppedal, F</t>
  </si>
  <si>
    <t>Solstorm, David; Oldham, Tina; Solstorm, Frida; Klebert, Pascal; Stien, Lars Helge; Vagseth, Tone; Oppedal, Frode</t>
  </si>
  <si>
    <t>Dissolved oxygen variability in a commercial sea-cage exposes farmed Atlantic salmon to growth limiting conditions</t>
  </si>
  <si>
    <t>Salmo salar; Aquaculture; Hypoxia; Behaviour; Dissolved oxygen; Fish welfare</t>
  </si>
  <si>
    <t>SALAR L.; SWIMMING DEPTH; ENVIRONMENTAL HYPOXIA; FEED-INTAKE; FISH CAGES; BEHAVIOR; NET; ACCLIMATION; TEMPERATURE; SUBMERGENCE</t>
  </si>
  <si>
    <t>Understanding dissolved O-2 flux in marine cages, and how individual fish respond to and experience such variation, is critical to optimizing growth and production performance of farmed salmon. We used a high resolution environmental monitoring system to create a 3-dimensional map of a commercial marine cage with respect to salinity, temperature and dissolved O-2 through time, while also tracking the oxygen experience of 4 individually tagged Atlantic salmon. Despite all of the dissolved O-2 measurements at the reference site being physiologically suitable for maximum growth, 1 in 4 of the recordings collected within the cage were below dissolved O-2 levels known to reduce feed intake and growth. Recorded dissolved O-2 in the cage ranged from 26 to 90% saturation with a high degree of vertical, horizontal and temporal variation. Poorest dissolved O-2 conditions consistently occurred at night in the central and down-current cage positions. Dissolved O-2 levels experienced by individual fish ranged from 30 to 90% saturation, with variation within 5 minute intervals as large as 32 percentage points. These results expand the current body of knowledge on environmental variability in marine cages, and provide valuable insights to aid farm managers in focusing mitigation and monitoring efforts when and where they are most needed.</t>
  </si>
  <si>
    <t>[Solstorm, David; Solstorm, Frida; Stien, Lars Helge; Vagseth, Tone; Oppedal, Frode] Inst Marine Res, N-5984 Matredal, Norway; [Oldham, Tina] Univ Tasmania, Inst Marine &amp; Antarctic Studies, Launceston, Tas 7250, Australia; [Klebert, Pascal] Sintef Ocean AS, N-7465 Trondheim, Norway</t>
  </si>
  <si>
    <t>Institute of Marine Research - Norway; University of Tasmania; SINTEF</t>
  </si>
  <si>
    <t>Oldham, T (corresponding author), Univ Tasmania, Inst Marine &amp; Antarctic Studies, Launceston, Tas 7250, Australia.</t>
  </si>
  <si>
    <t>Tina.Oldham@utas.edu.au</t>
  </si>
  <si>
    <t>klebert, pascal/DSX-4164-2022; Oldham, Tina Marie Weier/E-4779-2015</t>
  </si>
  <si>
    <t>Oldham, Tina Marie Weier/0000-0002-8994-0052; klebert, pascal/0000-0001-9095-8148; Oppedal, Frode/0000-0001-8625-0331</t>
  </si>
  <si>
    <t>Norwegian Research Council [206968]; Australian Government Research Training Program Scholarship</t>
  </si>
  <si>
    <t>Norwegian Research Council(Research Council of Norway); Australian Government Research Training Program Scholarship(Australian GovernmentDepartment of Industry, Innovation and Science)</t>
  </si>
  <si>
    <t>The authors are greatly indebted to the personnel at the salmon farm and Jan Erik Fosseidengen for their kind assistance. The work was funded by the Norwegian Research Council project Salmon Dynamics (206968), as well as an Australian Government Research Training Program Scholarship.</t>
  </si>
  <si>
    <t>FEB 3</t>
  </si>
  <si>
    <t>10.1016/j.aquaculture.2017.12.008</t>
  </si>
  <si>
    <t>FX2FW</t>
  </si>
  <si>
    <t>WOS:000425875900017</t>
  </si>
  <si>
    <t>Park, SH; Lee, CW; Cho, SM; Lee, H; Park, H; Lee, J; Lee, JH</t>
  </si>
  <si>
    <t>Park, Sun-Ha; Lee, Chang Woo; Cho, Sung Mi; Lee, Hyoungseok; Park, Hyun; Lee, Jungeun; Lee, Jun Hyuck</t>
  </si>
  <si>
    <t>Crystal structure and enzymatic properties of chalcone isomerase from the Antarctic vascular plant Deschampsia antarctica Desv.</t>
  </si>
  <si>
    <t>FLAVANONE ISOMERASE; REACTION-MECHANISM; FLAVONOIDS; BIOSYNTHESIS; PURIFICATION; REFINEMENT; FLOWERS; BINDING; COLOR; FOLD</t>
  </si>
  <si>
    <t>Chalcone isomerase (CHI) is an important enzyme for flavonoid biosynthesis that catalyzes the intramolecular cyclization of chalcones into (S)-flavanones. CHIs have been classified into two types based on their substrate specificity. Type I CHIs use naringenin chalcone as a substrate and are found in most of plants besides legumes, whereas type II CHIs in leguminous plants can also utilize isoliquiritigenin. In this study, we found that the CHI from the Antarctic plant Deschampsia antarctica (DaCHI1) is of type I based on sequence homology but can use type II CHI substrates. To clarify the enzymatic mechanism of DaCHI1 at the molecular level, the crystal structures of unliganded DaCHI1 and isoliquiritigenin-bound DaCHI1 were determined at 2.7 and 2.1 angstrom resolutions, respectively. The structures revealed that isoliquiritigenin binds to the active site of DaCHI1 and induces conformational changes. Additionally, the activity assay showed that while DaCHI1 exhibits substrate preference for naringenin chalcone, it can also utilize isoliquiritigenin although the catalytic activity was relatively low. Based on these results, we propose that DaCHI1 uses various substrates to produce antioxidant flavonoids as an adaptation to oxidative stresses associated with harsh environmental conditions.</t>
  </si>
  <si>
    <t>[Park, Sun-Ha; Lee, Chang Woo; Cho, Sung Mi; Lee, Hyoungseok; Park, Hyun; Lee, Jungeun; Lee, Jun Hyuck] Korea Polar Res Inst, Unit Polar Genom, Incheon, South Korea; [Lee, Chang Woo; Lee, Hyoungseok; Park, Hyun; Lee, Jungeun; Lee, Jun Hyuck] Univ Sci &amp; Technol, Dept Polar Sci, Incheon, South Korea</t>
  </si>
  <si>
    <t>Korea Polar Research Institute (KOPRI)</t>
  </si>
  <si>
    <t>Lee, J; Lee, JH (corresponding author), Korea Polar Res Inst, Unit Polar Genom, Incheon, South Korea.;Lee, J; Lee, JH (corresponding author), Univ Sci &amp; Technol, Dept Polar Sci, Incheon, South Korea.</t>
  </si>
  <si>
    <t>jelee@kopri.re.kr; junhyucklee@kopri.re.kr</t>
  </si>
  <si>
    <t>Lee, Chang-Woo/L-5093-2015</t>
  </si>
  <si>
    <t>Cho, Sung Mi/0000-0001-5414-7727; Lee, Hyoungseok/0000-0002-5831-6345; Park, Hyun/0000-0002-8055-2010</t>
  </si>
  <si>
    <t>Polar Genomics 101 Project: Genome Analysis of Polar Organisms and Establishment of Application Platform - Korea Polar Research Institute [PE18080]</t>
  </si>
  <si>
    <t>Polar Genomics 101 Project: Genome Analysis of Polar Organisms and Establishment of Application Platform - Korea Polar Research Institute(Korea Polar Research Institute of Marine Research Placement (KOPRI))</t>
  </si>
  <si>
    <t>This work was supported by the Polar Genomics 101 Project: Genome Analysis of Polar Organisms and Establishment of Application Platform (PE18080) funded by the Korea Polar Research Institute to HP. The funders had no role in study design, data collection and analysis, decision to publish, or preparation of the manuscript.; The authors thank the staff at the X-ray crystallography core facility of the Korea Basic Science Institute (Ochang, Korea) and BL-5C of the Pohang Accelerator Laboratory (Pohang, Korea) for assistance with data collection. This work was supported by the Polar Genomics 101 Project: Genome Analysis of Polar Organisms and Establishment of Application Platform (PE18080) funded by the Korea Polar Research Institute.</t>
  </si>
  <si>
    <t>FEB 2</t>
  </si>
  <si>
    <t>e0192415</t>
  </si>
  <si>
    <t>10.1371/journal.pone.0192415</t>
  </si>
  <si>
    <t>FU7VI</t>
  </si>
  <si>
    <t>WOS:000424060400044</t>
  </si>
  <si>
    <t>Moghaddam, MG; Turrisi, GF</t>
  </si>
  <si>
    <t>Moghaddam, Mostafa Ghafouri; Turrisi, Giuseppe Fabrizio</t>
  </si>
  <si>
    <t>Taxonomic and faunistic study of Aulacidae (Hymenoptera, Evanioidea) from Iran, with illustrated key to species</t>
  </si>
  <si>
    <t>ZOOSYSTEMATICS AND EVOLUTION</t>
  </si>
  <si>
    <t>Pristaulacus; Western Iran; wood-boring; parasitoid; illustrated key</t>
  </si>
  <si>
    <t>PRISTAULACUS; GASTERUPTIIDAE</t>
  </si>
  <si>
    <t>Aulacidae are parasitoids of wood-boring larvae of Hymenoptera and Coleoptera, known in all zoogeographic regions of the World, except Antarctic. Two aulacids, Pristaulacus compressus (Spinola, 1808) and the rare Pristaulacus mourguesi Maneval, 1935, have been recently collected from Iran, the latter being a new record. Based on available data, the Iranian aulacid fauna includes five species within a single genus, Pristaulacus Kieffer 1900. A brief taxonomic treatment, as well as morphometric data and an illustrated key to species, are provided.</t>
  </si>
  <si>
    <t>[Moghaddam, Mostafa Ghafouri] Univ Zabol, Coll Agr, Dept Plant Protect, POB 98615-538, Zabol, Iran; [Turrisi, Giuseppe Fabrizio] Via Cristoforo Colombo 8, I-95030 Catania, Italy</t>
  </si>
  <si>
    <t>Moghaddam, MG (corresponding author), Univ Zabol, Coll Agr, Dept Plant Protect, POB 98615-538, Zabol, Iran.</t>
  </si>
  <si>
    <t>ghafourim@uoz.ac.ir</t>
  </si>
  <si>
    <t>Ghafouri Moghaddam, Mostafa/O-1302-2013; Turrisi, Giuseppe Fabrizio/ABD-1469-2020</t>
  </si>
  <si>
    <t>Ghafouri Moghaddam, Mostafa/0000-0002-1942-9689; Turrisi, Giuseppe Fabrizio/0000-0002-5258-367X</t>
  </si>
  <si>
    <t>Museum fur Naturkunde Berlin</t>
  </si>
  <si>
    <t>We are indebted to Ms. Maryam Zardouei Heidari (University of Zabol, Iran) for collecting the specimens and Mr. Amir Nabizadeh Sarabandi (University of Birjand, Iran) for his suggestion and advice on photographing. The authors also express their deep gratitude to Ehsan Rakhshani (University of Zabol, Iran) who offered constructive comments that significantly improved the manuscript. The Museum fur Naturkunde Berlin kindly waived the author's fees for this manuscript. The authors thank the anonymous reviewers and the editor for the helpful comments on the manuscript.</t>
  </si>
  <si>
    <t>1860-0743</t>
  </si>
  <si>
    <t>ZOOSYST EVOL</t>
  </si>
  <si>
    <t>Zoosyst. Evol.</t>
  </si>
  <si>
    <t>10.3897/zse.94.22501</t>
  </si>
  <si>
    <t>FV0TT</t>
  </si>
  <si>
    <t>gold, Green Submitted, Green Published</t>
  </si>
  <si>
    <t>WOS:000424272800001</t>
  </si>
  <si>
    <t>Young, G; Connolly, PJ; Dearden, C; Choularton, TW</t>
  </si>
  <si>
    <t>Young, Gillian; Connolly, Paul J.; Dearden, Christopher; Choularton, Thomas W.</t>
  </si>
  <si>
    <t>Relating large-scale subsidence to convection development in Arctic mixed-phase marine stratocumulus</t>
  </si>
  <si>
    <t>COLD-AIR OUTBREAKS; MESOSCALE CELLULAR STRUCTURES; WATER POTENTIAL TEMPERATURE; ICE NUCLEI; SOUTHEAST PACIFIC; BOUNDARY-LAYER; CLIMATE MODELS; PART II; CLOUD; PRECIPITATION</t>
  </si>
  <si>
    <t>Large-scale subsidence, associated with high-pressure systems, is often imposed in large-eddy simulation (LES) models to maintain the height of boundary layer (BL) clouds. Previous studies have considered the influence of subsidence on warm liquid clouds in subtropical regions; however, the relationship between subsidence and mixedphase cloud microphysics has not specifically been studied. For the first time, we investigate how widespread subsidence associated with synoptic-scale meteorological features can affect the microphysics of Arctic mixed-phase marine stratocumulus (Sc) clouds. Modelled with LES, four idealised scenarios - a stable Sc, varied droplet (N-drop) or ice (N-ice) number concentrations, and a warming surface (representing motion southwards) - were subjected to different levels of subsidence to investigate the cloud microphysical response. We find strong sensitivities to large-scale subsidence, indicating that high-pressure systems in the ocean-exposed Arctic regions have the potential to generate turbulence and changes in cloud microphysics in any resident BL mixed-phase clouds. Increased cloud convection is modelled with increased subsidence, driven by longwave radiative cooling at cloud top and rain evaporative cooling and latent heating from snow growth below cloud. Subsidence strengthens the BL temperature inversion, thus reducing entrainment and allowing the liquid-and ice-water paths (LWPs, IWPs) to increase. Through increased cloud-top radiative cooling and subsequent convective overturning, precipitation production is enhanced: rain particle number concentrations (N-rain), incloud rain mass production rates, and below-cloud evaporation rates increase with increased subsidence. Ice number concentrations (N-ice) play an important role, as greater concentrations suppress the liquid phase; therefore, N-ice acts to mediate the strength of turbulent overturning promoted by increased subsidence. With a warming surface, a lack of - or low - subsidence allows for rapid BL turbulent kinetic energy (TKE) coupling, leading to a heterogeneous cloud layer, cloud-top ascent, and cumuli formation below the Sc cloud. In these scenarios, higher levels of subsidence act to stabilise the Sc layer, where the combination of these two forcings counteract one another to produce a stable, yet dynamic, cloud layer.</t>
  </si>
  <si>
    <t>[Young, Gillian; Connolly, Paul J.; Dearden, Christopher; Choularton, Thomas W.] Univ Manchester, Sch Earth &amp; Environm Sci, Ctr Atmospher Sci, Manchester, Lancs, England; [Young, Gillian] British Antarctic Survey, Madingley Rd, Cambridge, England; [Dearden, Christopher] Univ Leeds, Sch Earth &amp; Environm, Leeds, W Yorkshire, England</t>
  </si>
  <si>
    <t>University of Manchester; UK Research &amp; Innovation (UKRI); Natural Environment Research Council (NERC); NERC British Antarctic Survey; University of Leeds</t>
  </si>
  <si>
    <t>Young, G; Choularton, TW (corresponding author), Univ Manchester, Sch Earth &amp; Environm Sci, Ctr Atmospher Sci, Manchester, Lancs, England.;Young, G (corresponding author), British Antarctic Survey, Madingley Rd, Cambridge, England.</t>
  </si>
  <si>
    <t>giyoung@bas.ac.uk; choularton@manchester.ac.uk</t>
  </si>
  <si>
    <t>Connolly, Paul/ABD-1752-2020; Dearden, Christopher/E-5165-2012</t>
  </si>
  <si>
    <t>Connolly, Paul/0000-0002-3294-7405; Choularton, Thomas/0000-0002-0409-4329; McCusker, Gillian Young/0000-0002-8464-7332; Dearden, Christopher/0000-0001-7777-669X</t>
  </si>
  <si>
    <t>National Environment Research Council (NERC) as part of the ACCACIA campaign [NE/I028696/1]; EU FP7 project BACCHUS [603445]; NERC [NE/I028696/1, NE/G000875/1, NE/K01482X/1] Funding Source: UKRI; Natural Environment Research Council [NE/G000875/1, 1232165, NE/I028696/1, NE/K01482X/1] Funding Source: researchfish</t>
  </si>
  <si>
    <t>National Environment Research Council (NERC) as part of the ACCACIA campaign; EU FP7 project BACCHUS; NERC(UK Research &amp; Innovation (UKRI)Natural Environment Research Council (NERC)); Natural Environment Research Council(UK Research &amp; Innovation (UKRI)Natural Environment Research Council (NERC))</t>
  </si>
  <si>
    <t>Gillian Young was funded by the National Environment Research Council (NERC) as part of the ACCACIA campaign (grant NE/I028696/1). Paul J. Connolly acknowledges funding from EU FP7 project BACCHUS (grant agreement no. 603445). The authors are also grateful to Adrian Hill for his support with operating the LEM and to Martin Gallagher, Jonathan Crosier, and Keith Bower for helpful discussions throughout the duration of the study.</t>
  </si>
  <si>
    <t>10.5194/acp-18-1475-2018</t>
  </si>
  <si>
    <t>FU7QZ</t>
  </si>
  <si>
    <t>WOS:000424049100002</t>
  </si>
  <si>
    <t>Chan, HG; Frey, MM; King, MD</t>
  </si>
  <si>
    <t>Chan, Hoi Ga; Frey, Markus M.; King, Martin D.</t>
  </si>
  <si>
    <t>Modelling the physical multiphase interactions of HNO3 between snow and air on the Antarctic Plateau (Dome C) and coast (Halley)</t>
  </si>
  <si>
    <t>TO-FIRN TRANSFER; ATMOSPHERIC CHEMISTRY; SURFACE SNOW; HETEROGENEOUS REACTIONS; ENVIRONMENTAL ICES; PHOTOCHEMICAL DATA; REACTIVE NITROGEN; CHABLIS CAMPAIGN; EAST ANTARCTICA; BOUNDARY-LAYER</t>
  </si>
  <si>
    <t>Emissions of nitrogen oxide (NOx = NO + NO2) from the photolysis of nitrate (NO3) in snow affect the oxidising capacity of the lower troposphere especially in remote regions of high latitudes with little pollution. Current air-snow exchange models are limited by poor understanding of processes and often require unphysical tuning parameters. Here, two multiphase models were developed from physically based parameterisations to describe the interaction of nitrate between the surface layer of the snowpack and the overlying atmosphere. The first model is similar to previous approaches and assumes that below a threshold temperature, T-o, the air-snow grain interface is pure ice and above T-o a disordered interface (DI) emerges covering the entire grain surface. The second model assumes that air-ice interactions dominate over all temperatures below melting of ice and that any liquid present above the eutectic temperature is concentrated in micropockets. The models are used to predict the nitrate in surface snow constrained by year-round observations of mixing ratios of nitric acid in air at a cold site on the Antarctic Plateau (Dome C; 75 degrees 06' S, 123 degrees 33' E; 3233ma.s.l.) and at a relatively warm site on the Antarctic coast (Halley; 75 degrees 35'S, 26 degrees 39' E; 35 ma.s.l). The first model agrees reasonably well with observations at Dome C (C-v(RMSE) = 1.34) but performs poorly at Halley (C-v(RMSE) = 89.28) while the second model reproduces with good agreement observations at both sites (C-v(RMSE) = 0.84 at both sites). It is therefore suggested that in winter air-snow interactions of nitrate are determined by non-equilibrium surface adsorption and co-condensation on ice coupled with solid-state diffusion inside the grain, similar to Bock et al. (2016). In summer, however, the air-snow exchange of nitrate is mainly driven by sol-vation into liquid micropockets following Henry's law with contributions to total surface snow NO3 concentrations of 75 and 80 % at Dome C and Halley, respectively. It is also found that the liquid volume of the snow grain and air-micropocket partitioning of HNO3 are sensitive to both the total solute concentration of mineral ions within the snow and pH of the snow. The second model provides an alternative method to predict nitrate concentration in the surface snow layer which is applicable over the entire range of environmental conditions typical for Antarctica and forms a basis for a future full 1-D snowpack model as well as parameterisations in regional or global atmospheric chemistry models.</t>
  </si>
  <si>
    <t>[Chan, Hoi Ga; Frey, Markus M.] British Antarctic Survey, Nat Environm Res Council, Cambridge CB3 0ET, England; [Chan, Hoi Ga; King, Martin D.] Royal Holloway Univ London, Dept Earth Sci, Egham TW20 0EX, Surrey, England</t>
  </si>
  <si>
    <t>UK Research &amp; Innovation (UKRI); Natural Environment Research Council (NERC); NERC British Antarctic Survey; University of London; Royal Holloway University London</t>
  </si>
  <si>
    <t>Frey, MM (corresponding author), British Antarctic Survey, Nat Environm Res Council, Cambridge CB3 0ET, England.</t>
  </si>
  <si>
    <t>maey@bas.ac.uk</t>
  </si>
  <si>
    <t>Frey, Markus/G-1756-2012; King, Martin/B-1308-2009</t>
  </si>
  <si>
    <t>Frey, Markus/0000-0003-0535-0416; King, Martin/0000-0002-0089-7693</t>
  </si>
  <si>
    <t>Natural Environment Research Council [NE/L501633/1]; NERC [bas0100032, NE/L501633/1, NE/N011813/1] Funding Source: UKRI</t>
  </si>
  <si>
    <t>Natural Environment Research Council(UK Research &amp; Innovation (UKRI)Natural Environment Research Council (NERC)); NERC(UK Research &amp; Innovation (UKRI)Natural Environment Research Council (NERC))</t>
  </si>
  <si>
    <t>Hoi Ga Chan was funded by the Natural Environment Research Council through a Doctoral Studentship NE/L501633/1. We are thankful to our colleagues (Anna Jones, Neil Brough and Xin Yang) for their helpful discussion. We thank three anonymous reviewers and the co-editor whose comments helped to improve the manuscript.</t>
  </si>
  <si>
    <t>10.5194/acp-18-1507-2018</t>
  </si>
  <si>
    <t>WOS:000424049100004</t>
  </si>
  <si>
    <t>Gast, RJ; Fay, SA; Sanders, RW</t>
  </si>
  <si>
    <t>Gast, Rebecca J.; Fay, Scott A.; Sanders, Robert W.</t>
  </si>
  <si>
    <t>Mixotrophic Activity and Diversity of Antarctic Marine Protists in Austral Summer</t>
  </si>
  <si>
    <t>protist; diversity; mixotrophy; Ross Sea; amplicon sequencing</t>
  </si>
  <si>
    <t>Identifying putative mixotrophic protist species in the environment is important for understanding their behavior, with the recovery of these species in culture essential for determining the triggers of feeding, grazing rates, and overall impact on bacterial standing stocks. In this project, mixotroph abundances determined using tracer ingestion in water and sea ice samples collected in the Ross Sea, Antarctica during the summer of 2011 were compared with data from the spring (Ross Sea) and fall (Arctic) to examine the impacts of bacterivory/mixotrophy. Mixotrophic nanoplankton (MNAN) were usually less abundant than heterotrophs, but consumed more of the bacterial standing stock per day due to relatively higher ingestion rates (1-7 bacteria mixotroph(-1) h(-1) vs. 0.1-4 bacteria heterotroph(-1) h(-1)). Yet, even with these high rates observed in the Antarctic summer, mixotrophs appeared to have a smaller contribution to bacterivory than in the Antarctic spring. Additionally, putative mixotroph taxa were identified through incubation experiments accomplished with bromodeoxyuridine-labeled bacteria as food, immunoprecipitation (IP) of labeled DNA, and amplification and high throughput sequencing of the eukaryotic ribosomal V9 region. Putative mixotroph OTUs were identified in the IP samples by taxonomic similarity to known phototroph taxa. OTUs that had increased abundance in IP samples compared to the non-IP samples from both surface and chlorophyll maximum (CM) depths were considered to represent active mixotrophy and include ones taxonomically similar to Dictyocha, Gymnodinium, Pentapharsodinium, and Symbiodinium. These OTUs represent target taxa for isolation and laboratory experiments on triggers for mixotrophy, to be combined with qPCR to estimate their abundance, seasonal distribution and potential impact.</t>
  </si>
  <si>
    <t>[Gast, Rebecca J.] Woods Hole Oceanog Inst, Biol Dept, Woods Hole, MA 02543 USA; [Fay, Scott A.; Sanders, Robert W.] Temple Univ, Biol Dept, Philadelphia, PA USA; [Fay, Scott A.] Invitae, San Francisco, CA USA</t>
  </si>
  <si>
    <t>Woods Hole Oceanographic Institution; Pennsylvania Commonwealth System of Higher Education (PCSHE); Temple University</t>
  </si>
  <si>
    <t>Gast, RJ (corresponding author), Woods Hole Oceanog Inst, Biol Dept, Woods Hole, MA 02543 USA.</t>
  </si>
  <si>
    <t>rgast@whoi.edu</t>
  </si>
  <si>
    <t>; Sanders, Robert/C-1116-2011</t>
  </si>
  <si>
    <t>Gast, Rebecca J/0000-0003-3875-3975; Sanders, Robert/0000-0001-7264-1059</t>
  </si>
  <si>
    <t>National Science Foundation [OPP-0838955, OPP-0838847]</t>
  </si>
  <si>
    <t>This work was supported by National Science Foundation Grants OPP-0838955 (RG) and OPP-0838847 (RS). Any opinions, findings, and conclusions or recommendations expressed in this material are those of the authors and do not necessarily reflect the views of the National Science Foundation.</t>
  </si>
  <si>
    <t>10.3389/fmars.2018.00013</t>
  </si>
  <si>
    <t>VM6RY</t>
  </si>
  <si>
    <t>WOS:001029306800001</t>
  </si>
  <si>
    <t>Caruso, C; Rizzo, C; Mangano, S; Poli, A; Di Donato, P; Finore, I; Nicolaus, B; Di Marco, G; Michaud, L; Lo Giudice, A</t>
  </si>
  <si>
    <t>Caruso, Consolazione; Rizzo, Carmen; Mangano, Santina; Poli, Annarita; Di Donato, Paola; Finore, Ilaria; Nicolaus, Barbara; Di Marco, Gaetano; Michaud, Luigi; Lo Giudice, Angelina</t>
  </si>
  <si>
    <t>Production and Biotechnological Potential of Extracellular Polymeric Substances from Sponge-Associated Antarctic Bacteria</t>
  </si>
  <si>
    <t>Winogradskyella; biofilm; biotechnological potential; extracellular polymeric substances</t>
  </si>
  <si>
    <t>ARCHAEON THERMOCOCCUS-LITORALIS; SEA-ICE; STRUCTURAL-CHARACTERIZATION; HYDROTHERMAL VENT; ACTIVATED-SLUDGE; ECOLOGICAL ROLES; EXOPOLYSACCHARIDES; STRAIN; GROWTH; METAL</t>
  </si>
  <si>
    <t>Four sponge-associated Antarctic bacteria (i.e., Winogradskyella sp. strains CAL384 and CAL396, Colwellia sp. strain GW185, and Shewanella sp. strain CAL606) were selected for the highly mucous appearance of their colonies on agar plates. The production of extracellular polymeric substances (EPSs) was enhanced by a step-by-step approach, varying the carbon source, substrate and NaCl concentrations, temperature, and pH. The EPSs produced under optimal conditions were chemically characterized, resulting in a moderate carbohydrate content (range, 15 to 28%) and the presence of proteins (range, 3 to 24%) and uronic acids (range, 3.2 to 11.9%). Chemical hydrolysis of the carbohydrate portion revealed galactose, glucose, galactosamine, and mannose as the principal constituents. The potential biotechnological applications of the EPSs were also investigated. The high protein content in the EPSs from Winogradskyella sp. CAL384 was probably responsible for the excellent emulsifying activity toward tested hydrocarbons, with a stable emulsification index (E-24) higher than those recorded for synthetic surfactants. All the EPSs tested in this work improved the freeze-thaw survival ratio of the isolates, suggesting that they may be exploited as cryoprotection agents. The addition of a sugar in the culture medium, by stimulating EPS production, also allowed isolates to grow in the presence of higher concentrations of mercury and cadmium. This finding was probably dependent on the presence of uronic acids and sulfate groups, which can act as ligands for cations, in the extracted EPSs. IMPORTANCE To date, biological matrices have never been employed for the investigation of EPS production by Antarctic psychrotolerant marine bacteria. The biotechnological potential of extracellular polymeric substances produced by Antarctic bacteria is very broad and comprises many advantages, due to their biodegradability, high selectivity, and specific action compared to synthetic molecules. Here, several interesting EPS properties have been highlighted, such as emulsifying activity, cryoprotection, biofilm formation, and heavy metal chelation, suggesting their potential applications in cosmetic, environmental, and food biotechnological fields as valid alternatives to the commercial polymers currently used.</t>
  </si>
  <si>
    <t>[Caruso, Consolazione; Rizzo, Carmen; Mangano, Santina; Michaud, Luigi; Lo Giudice, Angelina] Univ Messina, ChiBioFarAm, Dept Chem Biol &amp; Pharmaceut Environm Sci, Messina, Italy; [Poli, Annarita; Di Donato, Paola; Finore, Ilaria; Nicolaus, Barbara] Natl Res Council CNR, Inst Biomol Chem ICB, Pozzuoli, NA, Italy; [Di Marco, Gaetano] Natl Res Council CNR, Inst Chem Phys Proc, IPCF, Messina, Italy; [Lo Giudice, Angelina] Natl Res Council CNR, Inst Coastal Marine Environm, IAMC, Messina, Italy; [Di Donato, Paola] Univ Naples Parthenope, Ctr Direz, Dept Sci &amp; Technol, Naples, Italy</t>
  </si>
  <si>
    <t>University of Messina; Consiglio Nazionale delle Ricerche (CNR); Istituto di Chimica Biomolecolare (ICB-CNR); Consiglio Nazionale delle Ricerche (CNR); Istituto per i Processi Chimico-Fisici (IPCF-CNR); Consiglio Nazionale delle Ricerche (CNR); L'Istituto per l'Ambiente Marino Costiero (IAMC-CNR); Parthenope University Naples</t>
  </si>
  <si>
    <t>Lo Giudice, A (corresponding author), Univ Messina, ChiBioFarAm, Dept Chem Biol &amp; Pharmaceut Environm Sci, Messina, Italy.;Lo Giudice, A (corresponding author), Natl Res Council CNR, Inst Coastal Marine Environm, IAMC, Messina, Italy.</t>
  </si>
  <si>
    <t>angelina.logiudice@iamc.cnr.it</t>
  </si>
  <si>
    <t>Finore, Ilaria/P-9423-2018; Rizzo, Carmen/S-6285-2019; Rizzo, Carmen/AAA-3075-2022; Di Donato, Paola/P-9245-2016</t>
  </si>
  <si>
    <t>Finore, Ilaria/0000-0003-3606-5140; Di Donato, Paola/0000-0002-7485-1815</t>
  </si>
  <si>
    <t>PNRA (Programma Nazionale di Ricerche in Antartide); Italian Ministry of Education and Research [PNRA 2004/1.6, PNRA16_00020]</t>
  </si>
  <si>
    <t>PNRA (Programma Nazionale di Ricerche in Antartide); Italian Ministry of Education and Research(Ministry of Education, Universities and Research (MIUR))</t>
  </si>
  <si>
    <t>This research was supported by grants from PNRA (Programma Nazionale di Ricerche in Antartide), Italian Ministry of Education and Research (Research Projects PNRA 2004/1.6 and PNRA16_00020).</t>
  </si>
  <si>
    <t>FEB</t>
  </si>
  <si>
    <t>e01624-17</t>
  </si>
  <si>
    <t>10.1128/AEM.01624-17</t>
  </si>
  <si>
    <t>FU3TM</t>
  </si>
  <si>
    <t>WOS:000423774600002</t>
  </si>
  <si>
    <t>Stephens, BB; Long, MC; Keeling, RF; Kort, EA; Sweeney, C; Apel, EC; Atlas, EL; Beaton, S; Bent, JD; Blake, NJ; Bresch, JF; Casey, J; Daube, BC; Diao, MH; Diaz, E; Dierssen, H; Donets, V; Gao, BC; Gierach, M; Green, R; Haag, J; Hayman, M; Hills, AJ; Hoecker-Martínez, MS; Honomichl, SB; Hornbrook, RS; Jensen, JB; Li, RR; McCubbin, I; McKain, K; Morgan, EJ; Nolte, S; Powers, JG; Rainwater, B; Randolph, K; Reeves, M; Schauffler, SM; Smith, K; Smith, M; Stith, J; Stossmeister, G; Toohey, DW; Watt, AS</t>
  </si>
  <si>
    <t>Stephens, Britton B.; Long, Matthew C.; Keeling, Ralph F.; Kort, Eric A.; Sweeney, Colm; Apel, Eric C.; Atlas, Elliot L.; Beaton, Stuart; Bent, Jonathan D.; Blake, Nicola J.; Bresch, James F.; Casey, Joanna; Daube, Bruce C.; Diao, Minghui; Diaz, Ernesto; Dierssen, Heidi; Donets, Valeria; Gao, Bo-Cai; Gierach, Michelle; Green, Robert; Haag, Justin; Hayman, Matthew; Hills, Alan J.; Hoecker-Martinez, Martin S.; Honomichl, Shawn B.; Hornbrook, Rebecca S.; Jensen, Jorgen B.; Li, Rong-Rong; McCubbin, Ian; McKain, Kathryn; Morgan, Eric J.; Nolte, Scott; Powers, Jordan G.; Rainwater, Bryan; Randolph, Kaylan; Reeves, Mike; Schauffler, Sue M.; Smith, Katherine; Smith, Mackenzie; Stith, Jeff; Stossmeister, Gregory; Toohey, Darin W.; Watt, Andrew S.</t>
  </si>
  <si>
    <t>The O2/N2 Ratio and CO2 Airborne Southern Ocean Study</t>
  </si>
  <si>
    <t>IN-SITU MEASUREMENTS; REACTIVE CHLORINE; ATMOSPHERIC O-2; CARBON; CLOUD; EMISSIONS; BUDGETS; RELEASE; TRENDS; DECADE</t>
  </si>
  <si>
    <t>The Southern Ocean plays a critical role in the global climate system by mediating atmosphere-ocean partitioning of heat and carbon dioxide. However, Earth system models are demonstrably deficient in the Southern Ocean, leading to large uncertainties in future air-sea CO2 flux projections under climate warming and incomplete interpretations of natural variability on interannual to geologic time scales. Here, we describe a recent aircraft observational campaign, the O-2/N-2 Ratio and CO2 Airborne Southern Ocean (ORCAS) study, which collected measurements over the Southern Ocean during January and February 2016. The primary research objective of the ORCAS campaign was to improve observational constraints on the seasonal exchange of atmospheric carbon dioxide and oxygen with the Southern Ocean. The campaign also included measurements of anthropogenic and marine biogenic reactive gases; high-resolution, hyperspectral ocean color imaging of the ocean surface; and microphysical data relevant for understanding and modeling cloud processes. In each of these components of the ORCAS project, the campaign has significantly expanded the amount of observational data available for this remote region. Ongoing research based on these observations will contribute to advancing our understanding of this climatically important system across a range of topics including carbon cycling, atmospheric chemistry and transport, and cloud physics. This article presents an overview of the scientific and methodological aspects of the ORCAS project and highlights early findings.</t>
  </si>
  <si>
    <t>[Stephens, Britton B.; Long, Matthew C.; Apel, Eric C.; Beaton, Stuart; Bresch, James F.; Hayman, Matthew; Hills, Alan J.; Honomichl, Shawn B.; Hornbrook, Rebecca S.; Jensen, Jorgen B.; Powers, Jordan G.; Reeves, Mike; Stith, Jeff; Stossmeister, Gregory; Watt, Andrew S.] Natl Ctr Atmospher Res, POB 3000, Boulder, CO 80307 USA; [Keeling, Ralph F.; Morgan, Eric J.] Univ Calif San Diego, Scripps Inst Oceanog, La Jolla, CA 92093 USA; [Kort, Eric A.; Hoecker-Martinez, Martin S.; Smith, Mackenzie] Univ Michigan, Ann Arbor, MI 48109 USA; [Sweeney, Colm; Bent, Jonathan D.; Casey, Joanna; McKain, Kathryn; Rainwater, Bryan; Smith, Katherine; Toohey, Darin W.] Univ Colorado, Boulder, CO 80309 USA; [Sweeney, Colm; Bent, Jonathan D.; McKain, Kathryn] NOAA, Boulder, CO USA; [Atlas, Elliot L.; Donets, Valeria; Schauffler, Sue M.] Univ Miami, Miami, FL USA; [Blake, Nicola J.] Univ Calif Irvine, Irvine, CA USA; [Daube, Bruce C.] Harvard Univ, Cambridge, MA 02138 USA; [Diao, Minghui] San Jose State Univ, San Jose, CA 95192 USA; [Diaz, Ernesto; Gierach, Michelle; Green, Robert; Haag, Justin; McCubbin, Ian; Nolte, Scott] CALTECH, Jet Prop Lab, Pasadena, CA USA; [Dierssen, Heidi; Randolph, Kaylan] Univ Connecticut, Groton, CT USA; [Gao, Bo-Cai; Li, Rong-Rong] Naval Res Lab, Washington, DC 20375 USA</t>
  </si>
  <si>
    <t>National Center Atmospheric Research (NCAR) - USA; University of California System; University of California San Diego; Scripps Institution of Oceanography; University of Michigan System; University of Michigan; University of Colorado System; University of Colorado Boulder; National Oceanic Atmospheric Admin (NOAA) - USA; University of Miami; University of California System; University of California Irvine; Harvard University; California State University System; San Jose State University; National Aeronautics &amp; Space Administration (NASA); NASA Jet Propulsion Laboratory (JPL); California Institute of Technology; University of Connecticut; United States Department of Defense; United States Navy; Naval Research Laboratory</t>
  </si>
  <si>
    <t>Stephens, BB (corresponding author), Natl Ctr Atmospher Res, POB 3000, Boulder, CO 80307 USA.</t>
  </si>
  <si>
    <t>stephens@ucar.edu</t>
  </si>
  <si>
    <t>Atlas, Elliot/AAE-4605-2021; Toohey, Darin W/A-4267-2008; Donets, Valeria/HDM-4196-2022; Kort, Eric A/F-9942-2012; Long, Matthew C/H-4632-2016; Diao, Minghui/A-4437-2015; Sweeney, Colm/AAE-9291-2019; Gierach, Michelle/G-6316-2017; Stephens, Britton B/B-7962-2008; Nolte, Scott/AAA-2444-2022; Li, Rongrong/B-8365-2019; McKain, Kathryn/AAG-9135-2019; Hornbrook, Rebecca/AAA-3520-2021; Honomichl, Shawn/S-6638-2018</t>
  </si>
  <si>
    <t>Toohey, Darin W/0000-0003-2853-1068; Kort, Eric A/0000-0003-4940-7541; Gierach, Michelle/0000-0002-8161-4121; Stephens, Britton B/0000-0002-1966-6182; Nolte, Scott/0000-0002-8719-2863; Li, Rongrong/0000-0002-0485-3188; McKain, Kathryn/0000-0002-8323-5758; Hoecker-Martinez, Martin/0000-0001-5310-4573; Hornbrook, Rebecca/0000-0002-6304-6554; Stossmeister, Gregory/0000-0002-1182-3120; Casey, Joanna/0000-0002-5272-3628; Honomichl, Shawn/0000-0003-4373-1121; Sweeney, Colm/0000-0002-4517-0797; Long, Matthew/0000-0003-1273-2957; Smith, Katherine/0000-0002-1603-7727; Atlas, Elliot/0000-0003-3847-5346</t>
  </si>
  <si>
    <t>NSF Lower Atmosphere Observing Facilities; NCAR Earth Observing Laboratory (EOL); NCAR Research Aviation Facility pilots, technicians, mechanics, and project managers; NCAR EOL; NSF Polar Programs [1501993, 1501997, 1501292, 1502301, 1543457]; NSF Atmospheric Chemistry [1535364]; NSF Atmospheric and Geospace [1104642]; NASA [NNH14ZDA001N-RRNES]; AWAS; Tim Newberger; Yellowstone [ark:/85065/d7wd3xhc]; NCAR's Computational and Information Systems Laboratory; National Science Foundation; Directorate For Geosciences; Office of Polar Programs (OPP) [1543457] Funding Source: National Science Foundation; Div Atmospheric &amp; Geospace Sciences; Directorate For Geosciences [1535364] Funding Source: National Science Foundation; Div Atmospheric &amp; Geospace Sciences; Directorate For Geosciences [1104642] Funding Source: National Science Foundation; Office of Polar Programs (OPP); Directorate For Geosciences [1501997, 1501292, 1502301, 1501993] Funding Source: National Science Foundation</t>
  </si>
  <si>
    <t>NSF Lower Atmosphere Observing Facilities; NCAR Earth Observing Laboratory (EOL); NCAR Research Aviation Facility pilots, technicians, mechanics, and project managers; NCAR EOL; NSF Polar Programs(National Science Foundation (NSF)); NSF Atmospheric Chemistry(National Science Foundation (NSF)); NSF Atmospheric and Geospace; NASA(National Aeronautics &amp; Space Administration (NASA)); AWAS; Tim Newberger; Yellowstone; NCAR's Computational and Information Systems Laboratory(National Science Foundation (NSF)NSF - Directorate for Geosciences (GEO)); National Science Foundation(National Science Foundation (NSF)); Directorate For Geosciences; Office of Polar Programs (OPP)(National Science Foundation (NSF)NSF - Directorate for Geosciences (GEO)); Div Atmospheric &amp; Geospace Sciences; Directorate For Geosciences(National Science Foundation (NSF)NSF - Directorate for Geosciences (GEO)); Div Atmospheric &amp; Geospace Sciences; Directorate For Geosciences(National Science Foundation (NSF)NSF - Directorate for Geosciences (GEO)); Office of Polar Programs (OPP); Directorate For Geosciences(National Science Foundation (NSF)NSF - Directorate for Geosciences (GEO))</t>
  </si>
  <si>
    <t>The complete ORCAS dataset is publicly available (at www.eol.ucar.edu/field_projects/orcas). The GV operations, and QCLS, TOGA, AWAS, cloud microphysics, and state parameter instruments were supported by the NSF Lower Atmosphere Observing Facilities and NCAR Earth Observing Laboratory (EOL). We thank the NCAR Research Aviation Facility pilots, technicians, mechanics, and project managers for their excellent support, as well as additional NCAR EOL staff for assistance with project management, computing support, data archiving, and education and outreach activities. U.S. Antarctic Program staff provided additional logistic support. The ORCAS science activities are supported by NSF Polar Programs Grants 1501993, 1501997, 1501292, 1502301, and 1543457; NSF Atmospheric Chemistry Grant 1535364; NSF Atmospheric and Geospace Grant 1104642; and NASA Grant NNH14ZDA001N-RRNES. We would additionally like to thank the scientific and support staff of the Palmer Antarctica LTER (PALTER) program and ARSV L. M. Gould, and in particular Hugh Ducklow, who collected additional flask samples for O2 and CO2 and supported measurements for remote sensing validation and algorithm development, as well as the Southern Ocean Carbon and Climate Observations and Modeling (SOCCOM) team for releasing several floats in the ORCAS domain and supporting ongoing collaborations. We thank Rich Lueb for engineering support of the AWAS sampling effort and Tim Newberger for engineering support of the NOAA-CU Picarro instrument. We are grateful to Alison Rockwell for organizing educational and outreach materials and activities. Tim Scheitlin prepared the CESM animation provided as a supplement. PRISM activities were carried out at the Jet Propulsion Laboratory, California Institute of Technology, under a contract with NASA. As part of the PRISM team, we would like to acknowledge P. Mouroulis, P. Sullivan, P. Kobzeff, L. Kroll, H. Luong, D. R. Thompson, B. Van Gorp, D. Keymeulen, J. Shaw, F. Loya, C. Sarture, M. Helmlinger, M. Hernandez, and S. Lundeen for technical assistance, operations, algorithm development, and data processing and management. M. Diao acknowledges funding from the NCAR Advanced Study Program Faculty Fellowship program. We would like to acknowledge high- performance computing support from Yellowstone (ark:/85065/d7wd3xhc) provided by NCAR's Computational and Information Systems Laboratory. The National Center for Atmospheric Research is sponsored by the National Science Foundation.</t>
  </si>
  <si>
    <t>10.1175/BAMS-D-16-0206.1</t>
  </si>
  <si>
    <t>FY0FU</t>
  </si>
  <si>
    <t>WOS:000426486800011</t>
  </si>
  <si>
    <t>Verbitsky, J</t>
  </si>
  <si>
    <t>Verbitsky, Jane</t>
  </si>
  <si>
    <t>Ecosystem services and Antarctica: The time has come?</t>
  </si>
  <si>
    <t>ECOSYSTEM SERVICES</t>
  </si>
  <si>
    <t>Antarctica; Payment for ecosystem services; Tourism; Sovereignty; Trustees</t>
  </si>
  <si>
    <t>PAYMENTS; AREAS</t>
  </si>
  <si>
    <t>Antarctica's status as a unparalleled place of international scientific collaboration was entrenched in the Antarctic Treaty 1959, and its designation as a natural reserve, devoted to peace and science formally referenced in the Protocol on Environmental Protection to the Antarctic Treaty (PEPAT) 1991 (PEPAT 1991, Article 2). The continent's importance for maintenance of the global ecosphere has more recently been confirmed by the Intergovernmental Panel on Climate Change (Anisimov et al., 2007). However, the expanded scale and scope of commercial tourism in Antarctica over the last quarter century raises issues about whether the laissez-faire approach to tourism management that has been taken under the auspices of Antarctic Treaty System (ATS) governance is sufficient to protect the Antarctic environment and its wilderness values from the negative impacts of tourism (PEPAT, Article 3(1)). This is an subject that has occupied a number of the Antarctic Treaty Consultative Parties (ATCPs), who form the decision-making group within the ATS, and resulted in a recent question by The Netherlands to fellow ATCP5 as to whether a system of obligatory or voluntary payments by individual tourists or tourist organizations (as a payment for 'ecosystem services')? should be established within the ATS (The Netherlands, ATCM XI, 2012). This paper considers the Dutch question about payment for ecosystem services in Antarctica as a potential tourism regulatory tool. It also examines the legal and related political issues that a proposal for introduction of ecosystem services would generate in an area of the earth which, de facto, is treated as an international commons, but is also the site of continuing contestation and challenge over abeyant claims to sovereignty by seven states within the ATCP group. Issues canvassed in this context include: the different political-philosophical approaches to tourism and the environment evinced by the ATCP5; the limited number of states signatory to the Treaty and the increase in non-state actor activity in the Southern Ocean and Antarctic waters, and concomitant difficulties of monitoring and compliance in a geographically expansive and remote area of the earth; and the potential of ecosystem services in Antarctica to help realise some of the United Nations' post-2015 Sustainable Development Goals.</t>
  </si>
  <si>
    <t>[Verbitsky, Jane] Auckland Univ Technol, Sch Social Sci &amp; Publ Policy, Private Bag 92006, Auckland 1142, New Zealand</t>
  </si>
  <si>
    <t>Auckland University of Technology</t>
  </si>
  <si>
    <t>Verbitsky, J (corresponding author), Auckland Univ Technol, Sch Social Sci &amp; Publ Policy, Private Bag 92006, Auckland 1142, New Zealand.</t>
  </si>
  <si>
    <t>jane.verbitsky@aut.ac.nz</t>
  </si>
  <si>
    <t>2212-0416</t>
  </si>
  <si>
    <t>ECOSYST SERV</t>
  </si>
  <si>
    <t>Ecosyst. Serv.</t>
  </si>
  <si>
    <t>10.1016/j.ecoser.2017.10.015</t>
  </si>
  <si>
    <t>Ecology; Environmental Sciences; Environmental Studies</t>
  </si>
  <si>
    <t>GA7QR</t>
  </si>
  <si>
    <t>WOS:000428532000020</t>
  </si>
  <si>
    <t>Tanner, K; Martí, JM; Belliure, J; Fernández-Méndez, M; Molina-Menor, E; Peretó, J; Porcar, M</t>
  </si>
  <si>
    <t>Tanner, Kristie; Marti, Jose Manuel; Belliure, Josabel; Fernandez-Mendez, Mar; Molina-Menor, Esther; Pereto, Juli; Porcar, Manuel</t>
  </si>
  <si>
    <t>Polar solar panels: Arctic and Antarctic microbiomes display similar taxonomic profiles</t>
  </si>
  <si>
    <t>RHODOTORULA-MUCILAGINOSA; YEASTS; DIVERSITY</t>
  </si>
  <si>
    <t>Solar panels located on high (Arctic and Antarctic) latitudes combine the harshness of the climate with that of the solar exposure. We report here that these polar solar panels are inhabited by similar microbial communities in taxonomic terms, dominated by Hymenobacter spp., Sphingomonas spp. and Ascomycota. Our results suggest that solar panels, even on high latitudes, can shape a microbial ecosystem adapted to irradiation and desiccation.</t>
  </si>
  <si>
    <t>[Tanner, Kristie; Marti, Jose Manuel; Molina-Menor, Esther; Pereto, Juli; Porcar, Manuel] Univ Valencia, Inst Integrat Syst Biol I2SysBio, CSIC, Valencia, Spain; [Belliure, Josabel] Univ Alcala, Ecol Sect, Dept Life Sci, Madrid, Spain; [Fernandez-Mendez, Mar] Norwegian Polar Res Inst, Tromso, Norway; [Pereto, Juli] Univ Valencia, Dept Biochem &amp; Mol Biol, Valencia, Spain; [Pereto, Juli; Porcar, Manuel] Darwin Bioprospecting Excellence SL, Valencia, Spain</t>
  </si>
  <si>
    <t>University of Valencia; Consejo Superior de Investigaciones Cientificas (CSIC); Universidad de Alcala; Norwegian Polar Institute; University of Valencia</t>
  </si>
  <si>
    <t>Porcar, M (corresponding author), Univ Valencia, Inst Integrat Syst Biol I2SysBio, CSIC, Valencia, Spain.;Porcar, M (corresponding author), Darwin Bioprospecting Excellence SL, Valencia, Spain.</t>
  </si>
  <si>
    <t>manuel.porcar@uv.es</t>
  </si>
  <si>
    <t>Belliure, Josabel/R-8513-2018; Peretó, Juli/G-5969-2015; Martí, Jose Manuel/ILQ-2972-2023; Miquel-Descalzo, Julio/C-8848-2009; Porcar, Manuel/D-2503-2010</t>
  </si>
  <si>
    <t>Belliure, Josabel/0000-0001-7697-3616; Peretó, Juli/0000-0002-5756-1517; Martí, Jose Manuel/0000-0002-1902-9749; Molina-Menor, Esther/0000-0002-8604-5052; Porcar, Manuel/0000-0002-7916-9479; Tanner, Kristie/0000-0002-0998-7062; Fernandez-Mendez, Mar/0000-0002-4968-1156</t>
  </si>
  <si>
    <t>Spanish Government [BIO2015-66960-C3-1-R]; FEDER funds; Ministerio de Economia y Competitividad</t>
  </si>
  <si>
    <t>Spanish Government(Spanish Government); FEDER funds(European Union (EU)); Ministerio de Economia y Competitividad(Spanish Government)</t>
  </si>
  <si>
    <t>Financial support from Spanish Government (grant Helios, reference: BIO2015-66960-C3-1-R co-financed by FEDER funds and Ministerio de Economia y Competitividad) is acknowledged. The data sets generated during and/or analysed during the current study are available from the corresponding author on reasonable request. The authors declare no conflict of interest.</t>
  </si>
  <si>
    <t>10.1111/1758-2229.12608</t>
  </si>
  <si>
    <t>FW0XV</t>
  </si>
  <si>
    <t>WOS:000425020700010</t>
  </si>
  <si>
    <t>Wu, L; Wang, RJ; Xiao, WS; Krijgsman, W; Li, QY; Ge, SL; Ma, T</t>
  </si>
  <si>
    <t>Wu, Li; Wang, Rujian; Xiao, Wenshen; Krijgsman, Wout; Li, Qianyu; Ge, Shulan; Ma, Tong</t>
  </si>
  <si>
    <t>Late Quaternary Deep Stratification-Climate Coupling in the Southern Ocean: Implications for Changes in Abyssal Carbon Storage</t>
  </si>
  <si>
    <t>meridional overturning circulation; lower MOC circuit; deep ventilation; bottom water oxygenation; biological pump</t>
  </si>
  <si>
    <t>ANTARCTIC BOTTOM WATER; LAST GLACIAL MAXIMUM; MERIDIONAL OVERTURNING CIRCULATION; PRYDZ BAY-REGION; SEA-SURFACE TEMPERATURE; DEGLACIAL CO2 RISE; ATMOSPHERIC CO2; WEDDELL SEA; CONTINENTAL-SLOPE; EAST ANTARCTICA</t>
  </si>
  <si>
    <t>The Southern Ocean plays an important role in modulating Pleistocene atmospheric CO2 concentrations, but the underlying mechanisms are not yet fully understood. Here, we report the laser grain-size distribution and Mn geochemical data of a 523 kyr-long sediment record (core ANT30/P1-02 off Prydz Bay; East Antarctica) to trace past physical changes in the deep Southern Ocean. The core sediments are predominantly composed of clay and silt-sized material. Three grain size end-members (EM) as well as three sensitive grain size classes (SC) were discerned, interpreted as Ice Rafted Debris (EM1 and SC1), and coarse (EM2 and SC2) and fine (EM3, SC3) materials deposited from bottom nepheloid layers, respectively. Ratios of EM2/(EM2+EM3) and SC2/SC3 reveal changes in the local bottom current strength, which is related to the deep ocean diapycnal mixing rate, showing higher values during interglacial periods and lower values during glacial periods. MnO was enriched at each glacial termination, probably caused by abrupt elevations in Antarctic bottom water (AABW) formation rate. Lower AABW formation rate and reduced deep diapycnal mixing during glacial periods enhanced deep Southern Ocean stratification, contributing to glacial atmospheric CO2 drawdown. The elevated AABW formation and enhanced deep diapycnal mixing during glacial terminations alleviated such deep stratification, promoting deeply sequestered CO2 to outgas. Plain Language Summary The Southern Ocean is a key place to modulate atmospheric CO2 concentrations on different timescales. This article demonstrates that the deep stratification of the Southern Ocean was enhanced during glacial periods, thereby contributing to glacial atmospheric CO2 drawdown, while this deep stratification was alleviated during glacial terminations, and thus deeply sequestered CO2 in the Southern Ocean can outgas into the atmosphere.</t>
  </si>
  <si>
    <t>[Wu, Li; Wang, Rujian; Xiao, Wenshen; Li, Qianyu; Ma, Tong] Tongji Univ, State Key Lab Marine Geol, Shanghai, Peoples R China; [Krijgsman, Wout] Univ Utrecht, Dept Earth Sci, Utrecht, Netherlands; [Li, Qianyu] Univ Adelaide, Sch Earth &amp; Environm Sci, Adelaide, SA, Australia; [Ge, Shulan] State Ocean Adm, Inst Oceanog 1, Qingdao, Peoples R China</t>
  </si>
  <si>
    <t>Tongji University; Utrecht University; University of Adelaide; First Institute of Oceanography, Ministry of Natural Resources</t>
  </si>
  <si>
    <t>Wu, L; Wang, RJ (corresponding author), Tongji Univ, State Key Lab Marine Geol, Shanghai, Peoples R China.</t>
  </si>
  <si>
    <t>wuli@tongji.edu.cn; rjwang@tongji.edu.cn</t>
  </si>
  <si>
    <t>WU, Li/KHX-2389-2024; li, qianyu/GXV-6594-2022</t>
  </si>
  <si>
    <t>Krijgsman, Wout/0000-0002-1472-1074; WU, Li/0000-0001-8560-8223</t>
  </si>
  <si>
    <t>National Natural Science Foundation of China [41776191]; project the 30th Chinese National Antarctic Research Expedition [CHINARE-2013]; Ministry of Finance of China [CHINARE-2012-2020-01-02]</t>
  </si>
  <si>
    <t>National Natural Science Foundation of China(National Natural Science Foundation of China (NSFC)); project the 30th Chinese National Antarctic Research Expedition; Ministry of Finance of China</t>
  </si>
  <si>
    <t>We are most grateful to the two anonymous reviewers for their constructive comments that helped to improve greatly the manuscript. This work is financially supported by the National Natural Science Foundation of China (grant 41776191). It is also part of the project the 30th Chinese National Antarctic Research Expedition (CHINARE-2013) organized by the Chinese Arctic and Antarctic Administration (CAA) and supported by Ministry of Finance of China (CHINARE-2012-2020-01-02). We thank the 30th Chinese Antarctic Expedition cruise members for retrieving the sediments. The data sets analyzed during the current study can be downloaded as the supporting information and will also be made available at www.pangaea.de</t>
  </si>
  <si>
    <t>10.1002/2017GC007250</t>
  </si>
  <si>
    <t>GA5VF</t>
  </si>
  <si>
    <t>WOS:000428401300004</t>
  </si>
  <si>
    <t>Behrens, MK; Pahnke, K; Schnetger, B; Brumsack, HJ</t>
  </si>
  <si>
    <t>Behrens, Melanie K.; Pahnke, Katharina; Schnetger, Bernhard; Brumsack, Hans-Juergen</t>
  </si>
  <si>
    <t>Sources and processes affecting the distribution of dissolved Nd isotopes and concentrations in the West Pacific</t>
  </si>
  <si>
    <t>Neodymium isotopes; Neodymium concentrations; GEOTRACES; West Pacific</t>
  </si>
  <si>
    <t>RARE-EARTH-ELEMENTS; EQUATORIAL 13-DEGREES-C WATER; SIMULATED PASSIVE TRACER; CENTRAL NORTH PACIFIC; EASTERN INDIAN-OCEAN; ISLAND-ARC MAGMAS; INTERMEDIATE WATER; NEODYMIUM ISOTOPES; SOUTH-PACIFIC; DEEP-WATER</t>
  </si>
  <si>
    <t>In the Atlantic, where deep circulation is vigorous, the dissolved neodymium (Nd) isotopic composition (expressed as epsilon(Nd)) is largely controlled by water mass mixing. In contrast, the factors influencing the epsilon(Nd) distribution in the Pacific, marked by sluggish circulation, is not clear yet. Indication for regional overprints in the Pacific is given based on its bordering volcanic islands. Our study aims to clarify the impact and relative importance of different Nd sources (rivers, volcanic islands), vertical (bio) geochemical processes and lateral water mass transport in controlling dissolved eNd and Nd concentration ([Nd]) distributions in the West Pacific between South Korea and Fiji. We find indication for unradiogenic continental input from South Korean and Chinese rivers to the East China Sea. In the tropical West Pacific, volcanic islands supply Nd to surface and subsurface waters and modify their epsilon(Nd) to radiogenic values of up to +0.7. These radiogenic signatures allow detailed tracing of currents flowing to the east and differentiation from westward currents with open ocean Pacific epsilon(Nd) composition in the complex tropical Pacific zonal current system. Modified radiogenic epsilon(Nd) of West Pacific intermediate to bottom waters upstream or within our section also indicates non-conservative behavior of epsilon(Nd) due to boundary exchange at volcanic island margins, submarine ridges, and with hydrothermal particles. Only subsurface to deep waters (3000 m) in the open Northwest Pacific show conservative behavior of epsilon(Nd). In contrast, we find a striking correlation of extremely low (down to 2.77 pmol/ kg Nd) and laterally constant [Nd] with the high-salinity North and South Pacific Tropical Water, indicating lateral transport of preformed [Nd] from the North and South Pacific subtropical gyres into the study area. This observation also explains the previously observed low subsurface [Nd] in the tropical West Pacific. Similarly, Western South Pacific Central Water, Antarctic Intermediate Water, and Lower Circumpolar Deep Water in the southern and equatorial West Pacific are marked by vertically and laterally almost invariant [Nd] indicating a dominance of conservative behavior of [Nd]. In contrast, Central and Intermediate Water in the North West Pacific are characterized by increasing [Nd] with depth reflecting Nd release from particles. Overall, our data demonstrate a dominant lateral transport control on [Nd] distributions and clear non-conservative modification of eNd in the West Pacific. The latter affords tracing of surface and subsurface zonal transport in the tropical Pacific, but prevents the use of epsilon(Nd) as strictly conservative tracer of the major meridionally circulating water masses in the West Pacific between 15 degrees S and 28 degrees N. (C) 2017 Elsevier Ltd. All rights reserved.</t>
  </si>
  <si>
    <t>[Behrens, Melanie K.; Pahnke, Katharina] Carl von Ossietzky Univ Oldenburg, Inst Chem &amp; Biol Marine Environm ICBM, Max Planck Res Grp Marine Isotope Geochem, Carl von Ossietzky Str 9-11, D-26129 Oldenburg, Germany; [Schnetger, Bernhard; Brumsack, Hans-Juergen] Carl von Ossietzky Univ Oldenburg, Inst Chem &amp; Biol Marine Environm ICBM, Microbiogeochem, Carl von Ossietzky Str 9-11, D-26129 Oldenburg, Germany</t>
  </si>
  <si>
    <t>mbehrens@mpi-bremen.de; kpahnke@mpi-bremen.de; b.schnetger@icbm.de; brumsack@icbm.de</t>
  </si>
  <si>
    <t>Pahnke, Katharina/0000-0001-9114-8411; Schnetger, Bernhard/0000-0003-1638-3977; Behrens, Melanie K./0000-0001-6013-6178</t>
  </si>
  <si>
    <t>German Research Foundation (DFG) [PA2411/1-1]; Institute for Chemistry and Biology of the Marine Environment (ICBM); Max Planck Institute for Marine Microbiology, Bremen</t>
  </si>
  <si>
    <t>German Research Foundation (DFG)(German Research Foundation (DFG)); Institute for Chemistry and Biology of the Marine Environment (ICBM); Max Planck Institute for Marine Microbiology, Bremen</t>
  </si>
  <si>
    <t>We thank the scientific party, particularly the chief scientist Mahyar Mohtadi (Marum, Bremen), the captain, and crew of R/V Sonne cruise SO223T. We further thank all members of the Max Planck Research Group for Marine Isotope Geochemistry (University of Oldenburg), particularly M. Schulz and P. Boning for their help in the lab. We thank the Associate Editor T. van de Flierdt and three anonymous reviewers for their very constructive reviews that significantly improved the manuscript. Financial support came from the German Research Foundation (DFG, PA2411/1-1), the Institute for Chemistry and Biology of the Marine Environment (ICBM), and the Max Planck Institute for Marine Microbiology, Bremen.</t>
  </si>
  <si>
    <t>FEB 1</t>
  </si>
  <si>
    <t>10.1016/j.gca.2017.11.008</t>
  </si>
  <si>
    <t>FW0GR</t>
  </si>
  <si>
    <t>WOS:000424972200029</t>
  </si>
  <si>
    <t>Cottrell, RS; Fleming, A; Fulton, EA; Nash, KL; Watson, RA; Blanchard, JL</t>
  </si>
  <si>
    <t>Cottrell, Richard S.; Fleming, Aysha; Fulton, Elizabeth A.; Nash, Kirsty L.; Watson, Reg A.; Blanchard, Julia L.</t>
  </si>
  <si>
    <t>Considering land-sea interactions and trade-offs for food and biodiversity</t>
  </si>
  <si>
    <t>biodiversity; food production; food security; land-sea interactions; sustainable development; trade-offs</t>
  </si>
  <si>
    <t>GREAT-BARRIER-REEF; CLIMATE-CHANGE IMPACTS; FEEDING 9 BILLION; FISH-MEAL; LIVELIHOODS APPROACH; GLOBAL COMPETITION; CARBON EMISSIONS; NITROUS-OXIDE; AQUACULTURE; AGRICULTURE</t>
  </si>
  <si>
    <t>With the human population expected to near 10 billion by 2050, and diets shifting towards greater per-capita consumption of animal protein, meeting future food demands will place ever-growing burdens on natural resources and those dependent on them. Solutions proposed to increase the sustainability of agriculture, aquaculture, and capture fisheries have typically approached development from single sector perspectives. Recent work highlights the importance of recognising links among food sectors, and the challenge cross-sector dependencies create for sustainable food production. Yet without understanding the full suite of interactions between food systems on land and sea, development in one sector may result in unanticipated trade-offs in another. We review the interactions between terrestrial and aquatic food systems. We show that most of the studied land-sea interactions fall into at least one of four categories: ecosystem connectivity, feed interdependencies, livelihood interactions, and climate feedback. Critically, these interactions modify nutrient flows, and the partitioning of natural resource use between land and sea, amid a backdrop of climate variability and change that reaches across all sectors. Addressing counter-productive trade-offs resulting from land-sea links will require simultaneous improvements in food production and consumption efficiency, while creating more sustainable feed products for fish and livestock. Food security research and policy also needs to better integrate aquatic and terrestrial production to anticipate how cross-sector interactions could transmit change across ecosystem and governance boundaries into the future.</t>
  </si>
  <si>
    <t>[Cottrell, Richard S.; Fleming, Aysha; Fulton, Elizabeth A.; Nash, Kirsty L.; Watson, Reg A.; Blanchard, Julia L.] Univ Tasmania, Ctr Marine Socioecol, Hobart, Tas, Australia; [Cottrell, Richard S.; Nash, Kirsty L.; Watson, Reg A.; Blanchard, Julia L.] Univ Tasmania, Inst Marine &amp; Antarctic Studies, Hobart, Tas, Australia; [Fleming, Aysha] CSIRO Land &amp; Water, Hobart, Tas, Australia; [Fulton, Elizabeth A.] CSIRO Oceans &amp; Atmosphere, Hobart, Tas, Australia</t>
  </si>
  <si>
    <t>University of Tasmania; University of Tasmania; Commonwealth Scientific &amp; Industrial Research Organisation (CSIRO); Commonwealth Scientific &amp; Industrial Research Organisation (CSIRO)</t>
  </si>
  <si>
    <t>Cottrell, RS (corresponding author), Univ Tasmania, Ctr Marine Socioecol, Hobart, Tas, Australia.</t>
  </si>
  <si>
    <t>richardstuart.cottrell@utas.edu.au</t>
  </si>
  <si>
    <t>Fulton, Beth/A-2871-2008; Watson, Reg A/F-4850-2012; Nash, Kirsty L/B-5456-2015; Huy, Hiep/JPY-1918-2023; Cottrell, Richard S./AAT-8401-2020; Fleming, Aysha/E-8753-2011; Fulton, Beth/AAJ-1398-2021; Blanchard, Julia L/E-4919-2010</t>
  </si>
  <si>
    <t>Watson, Reg A/0000-0001-7201-8865; Nash, Kirsty L/0000-0003-0976-3197; Cottrell, Richard S./0000-0002-6499-7503; Fleming, Aysha/0000-0001-9895-1928; Fulton, Beth/0000-0002-5904-7917; Blanchard, Julia/0000-0003-0532-4824</t>
  </si>
  <si>
    <t>CSIRO, University of Tasmania; Australian Antarctic Division; CSIRO-UTAS Quantitative Marine Science Program; Australian Training Program; Australian Research Council [DP140101377]</t>
  </si>
  <si>
    <t>CSIRO, University of Tasmania(Commonwealth Scientific &amp; Industrial Research Organisation (CSIRO)); Australian Antarctic Division; CSIRO-UTAS Quantitative Marine Science Program(Commonwealth Scientific &amp; Industrial Research Organisation (CSIRO)); Australian Training Program; Australian Research Council(Australian Research Council)</t>
  </si>
  <si>
    <t>The authors acknowledge the funding and intellectual support for the Centre for Marine Socioecology from the CSIRO, University of Tasmania and the Australian Antarctic Division. RSC acknowledges funding from the CSIRO-UTAS Quantitative Marine Science Program, and the Australian Training Program. RAW acknowledges support from the Australian Research Council ( Discovery project DP140101377). We thank Professor Duncan Cameron, Dr Julian Clifton, Dr Greg Acciaioli, and Helen Brunt for their useful discussions. Image symbols used in Figures 4 and 6 courtesy of the Integration and Application Network, University of Maryland Center for Environmental Science (ian.um-ces.edu/symbols/). The authors also thank the anonymous reviewer whose constructive comments helped improve the final manuscript.</t>
  </si>
  <si>
    <t>10.1111/gcb.13873</t>
  </si>
  <si>
    <t>FU6WX</t>
  </si>
  <si>
    <t>WOS:000423994700032</t>
  </si>
  <si>
    <t>Noh, MJ; Howat, IM</t>
  </si>
  <si>
    <t>Noh, Myoung-Jong; Howat, Ian M.</t>
  </si>
  <si>
    <t>Automatic relative RPC image model bias compensation through hierarchical image matching for improving DEM quality</t>
  </si>
  <si>
    <t>ISPRS JOURNAL OF PHOTOGRAMMETRY AND REMOTE SENSING</t>
  </si>
  <si>
    <t>RPCs bias; Compensation; Image matching; Arctic and Antarctic</t>
  </si>
  <si>
    <t>BUNDLE ADJUSTMENT; SELF-CALIBRATION; SENSOR ORIENTATION; SATELLITE IMAGERY</t>
  </si>
  <si>
    <t>The quality and efficiency of automated Digital Elevation Model (DEM) extraction from stereoscopic satellite imagery is critically dependent on the accuracy of the sensor model used for co-locating pixels between stereo-pair images. In the absence of ground control or manual tie point selection, errors in the sensor models must be compensated with increased matching search-spaces, increasing both the computation time and the likelihood of spurious matches. Here we present an algorithm for automatically determining and compensating the relative bias in Rational Polynomial Coefficients (RPCs) between stereo-pairs utilizing hierarchical, sub-pixel image matching in object space. We demonstrate the algorithm using a suite of image stereo-pairs from multiple satellites over a range stereo-photogrammetrically challenging polar terrains. Besides providing a validation of the effectiveness of the algorithm for improving DEM quality, experiments with prescribed sensor model errors yield insight into the dependence of DEM characteristics and quality on relative sensor model bias. This algorithm is included in the Surface Extraction through TIN-based Search-space Minimization (SETSM) DEM extraction software package, which is the primary software used for the U.S. National Science Foundation ArcticDEM and Reference Elevation Model of Antarctica (REMA) products. (C) 2017 International Society for Photogrammetry and Remote Sensing, Inc. (ISPRS). Published by Elsevier B.V. All rights reserved.</t>
  </si>
  <si>
    <t>[Noh, Myoung-Jong; Howat, Ian M.] Ohio State Univ, Byrd Polar &amp; Climate Res Ctr, 1090 Carmack Rd, Columbus, OH 43210 USA; [Howat, Ian M.] Ohio State Univ, Sch Earth Sci, 125 S Oval Mall, Columbus, OH 43210 USA</t>
  </si>
  <si>
    <t>University System of Ohio; Ohio State University; University System of Ohio; Ohio State University</t>
  </si>
  <si>
    <t>Noh, MJ (corresponding author), Ohio State Univ, Byrd Polar &amp; Climate Res Ctr, 1090 Carmack Rd, Columbus, OH 43210 USA.</t>
  </si>
  <si>
    <t>ngnmj77@gmail.com; ihowat@gmail.com</t>
  </si>
  <si>
    <t>Howat, Ian/A-3474-2008</t>
  </si>
  <si>
    <t>Howat, Ian/0000-0002-8072-6260</t>
  </si>
  <si>
    <t>U.S. National Aeronautics and Space Administration [NNX10AN61G]; U.S. National Science Foundation [1542736]</t>
  </si>
  <si>
    <t>U.S. National Aeronautics and Space Administration(National Aeronautics &amp; Space Administration (NASA)); U.S. National Science Foundation(National Science Foundation (NSF))</t>
  </si>
  <si>
    <t>This work was supported by grants NNX10AN61G from the U.S. National Aeronautics and Space Administration and 1542736 from the U.S. National Science Foundation to I. Howat. Pleiades imagery was provided by E. Berthier. P. Morin and C. Porter of the Polar Geospatial Center have provided extensive guidance and feedback in software development.</t>
  </si>
  <si>
    <t>0924-2716</t>
  </si>
  <si>
    <t>1872-8235</t>
  </si>
  <si>
    <t>ISPRS J PHOTOGRAMM</t>
  </si>
  <si>
    <t>ISPRS-J. Photogramm. Remote Sens.</t>
  </si>
  <si>
    <t>10.1016/j.isprsjprs.2017.12.008</t>
  </si>
  <si>
    <t>Geography, Physical; Geosciences, Multidisciplinary; Remote Sensing; Imaging Science &amp; Photographic Technology</t>
  </si>
  <si>
    <t>Physical Geography; Geology; Remote Sensing; Imaging Science &amp; Photographic Technology</t>
  </si>
  <si>
    <t>FW1SH</t>
  </si>
  <si>
    <t>WOS:000425079200009</t>
  </si>
  <si>
    <t>Barati, B; Lim, PE; Gan, SY; Poong, SW; Phang, SM; Beardall, J</t>
  </si>
  <si>
    <t>Barati, Bahram; Lim, Phaik-Eem; Gan, Sook-Yee; Poong, Sze-Wan; Phang, Siew-Moi; Beardall, John</t>
  </si>
  <si>
    <t>Effect of elevated temperature on the physiological responses of marine Chlorella strains from different latitudes</t>
  </si>
  <si>
    <t>JOURNAL OF APPLIED PHYCOLOGY</t>
  </si>
  <si>
    <t>9th Asia Pacific Conference on Algal Biotechnology (APCAB) - Algae for Food, Feed, Fuel and Beyond</t>
  </si>
  <si>
    <t>NOV 15-18, 2016</t>
  </si>
  <si>
    <t>Bangkok, THAILAND</t>
  </si>
  <si>
    <t>Global warming; Heat stress; Photosynthesis; F-v/F-m</t>
  </si>
  <si>
    <t>FATTY-ACID-COMPOSITION; CHLOROPHYLL FLUORESCENCE; HEAT-STRESS; PHOTOSYNTHETIC PARAMETERS; PHOTOSYSTEM-II; CLIMATE-CHANGE; BIOCHEMICAL-COMPOSITION; ULTRAVIOLET-RADIATION; PHOTOOXIDATIVE STRESS; MEMBRANE-FLUIDITY</t>
  </si>
  <si>
    <t>The increased frequency of heat waves due to climate change poses a threat to all organisms. Microalgae are the basis of aquatic food webs, and high temperatures have significant impacts on their adaptation and survival rates. Algae respond to environmental changes by modulating their photosynthetic rates and biochemical composition. This study aims to examine the effect of elevated temperature on similar taxa of marine Chlorella originating from different latitudes. Strains from the Antarctic, temperate zone, and the tropics were grown at various temperatures, ranging from 4 to 38, 18 to 38, and 28 to 40 A degrees C, respectively. A pulse-amplitude modulated (PAM) fluorometer was used to assess their photosynthetic responses. Parameters including maximum quantum efficiency (F (v)/F (m)), relative electron transport rate (rETR), and light harvesting efficiency (alpha) were determined from the rapid light curves (RLCs). In addition, the composition of fatty acids was compared to evaluate changes induced by the temperature treatments. Increasing the temperature from 35 to 38 A degrees C for both Antarctic and temperate strains and from 38 to 40 A degrees C for the tropical strain resulted in severe inhibition of photosynthesis and suppressed growth. Although all the strains demonstrated the ability to recover from different stress levels, the tropical strain was able to recover most rapidly while the Antarctic strain had the slowest recovery. The results underline that the thermal threshold for the analysed Chlorella strains temperature ranges between 38 and 40 A degrees C. Furthermore, the analysed strains exhibited different trends in their response to elevated temperatures and recovery capabilities.</t>
  </si>
  <si>
    <t>[Barati, Bahram; Lim, Phaik-Eem; Poong, Sze-Wan; Phang, Siew-Moi] Univ Malaya, Inst Ocean &amp; Earth Sci, Kuala Lumpur 50603, Malaysia; [Barati, Bahram] Univ Malaya, Inst Grad Studies, Kuala Lumpur 50603, Malaysia; [Gan, Sook-Yee] Int Med Univ, Sch Pharm, Kuala Lumpur 57000, Malaysia; [Phang, Siew-Moi] Univ Malaya, Inst Biol Sci, Kuala Lumpur 50603, Malaysia; [Beardall, John] Monash Univ, Sch Biol Sci, Clayton, Vic 3800, Australia</t>
  </si>
  <si>
    <t>Universiti Malaya; Universiti Malaya; International Medical University Malaysia; Universiti Malaya; Monash University</t>
  </si>
  <si>
    <t>Lim, PE (corresponding author), Univ Malaya, Inst Ocean &amp; Earth Sci, Kuala Lumpur 50603, Malaysia.</t>
  </si>
  <si>
    <t>phaikeem@um.edu.my</t>
  </si>
  <si>
    <t>barati, bahram/HTQ-7454-2023; Phang, Siew Moi/A-7653-2008; LIM, Phaik Eem/B-5331-2010; Beardall, John/L-5262-2019; Poong, Sze Wan/S-2212-2016; Hurd, Catriona/J-2411-2013</t>
  </si>
  <si>
    <t>barati, bahram/0000-0002-3201-8753; LIM, Phaik Eem/0000-0001-9186-1487; Beardall, John/0000-0001-7684-446X; Poong, Sze Wan/0000-0003-4033-864X; Hurd, Catriona/0000-0001-9965-4917</t>
  </si>
  <si>
    <t>Ministry of Higher Education, Malaysia; HiCOE research grant [IOES-2014H, IOES-2014]; University of Malaya Postgraduate Research Fund [PG146-2015A]; UM-Algae grant [GA003-2012]</t>
  </si>
  <si>
    <t>Ministry of Higher Education, Malaysia(Ministry of Education, Malaysia); HiCOE research grant; University of Malaya Postgraduate Research Fund(Universiti Malaya); UM-Algae grant</t>
  </si>
  <si>
    <t>The study is supported by the research grants from Ministry of Higher Education, Malaysia, HiCOE research grant (IOES-2014H and IOES-2014), University of Malaya Postgraduate Research Fund (PG146-2015A), and UM-Algae grant (GA003-2012).</t>
  </si>
  <si>
    <t>0921-8971</t>
  </si>
  <si>
    <t>1573-5176</t>
  </si>
  <si>
    <t>J APPL PHYCOL</t>
  </si>
  <si>
    <t>J. Appl. Phycol.</t>
  </si>
  <si>
    <t>10.1007/s10811-017-1198-z</t>
  </si>
  <si>
    <t>Biotechnology &amp; Applied Microbiology; Marine &amp; Freshwater Biology</t>
  </si>
  <si>
    <t>FZ7SY</t>
  </si>
  <si>
    <t>WOS:000427804800001</t>
  </si>
  <si>
    <t>Poong, SW; Lim, PE; Phang, SM; Wong, CY; Pai, TW; Chen, CM; Yang, CH; Liu, CC</t>
  </si>
  <si>
    <t>Poong, Sze-Wan; Lim, Phaik-Eem; Phang, Siew-Moi; Wong, Chiew-Yen; Pai, Tun-Wen; Chen, Chien-Ming; Yang, Cing-Han; Liu, Chun-Cheng</t>
  </si>
  <si>
    <t>Transcriptome sequencing of an Antarctic microalga, Chlorella sp (Trebouxiophyceae, Chlorophyta) subjected to short-term ultraviolet radiation stress</t>
  </si>
  <si>
    <t>Fatty acid degradation; Peroxisome; RNA-seq; Starch and sucrose metabolism</t>
  </si>
  <si>
    <t>DIFFERENTIAL EXPRESSION ANALYSIS; GENE-EXPRESSION; ELECTRON-TRANSPORT; GENOME REVEALS; B RADIATION; CHLAMYDOMONAS; PROTEIN; ALGA; PHOTOSYNTHESIS; ENVIRONMENT</t>
  </si>
  <si>
    <t>Stratospheric ozone depletion has led to increasing levels of ultraviolet radiation (UVR) reaching the Earth's surface. Elevated UVR, particularly in the high latitudes, potentially causes shifts in species composition and diversity in various ecosystems, consequently altering the biogeochemical cycles. Microalgae are not only ecologically important as primary producers, generating atmospheric oxygen and sequestering carbon dioxide; they are also economically important as sources of health supplement, pigments, biofuel and others. Changes to the size and composition of algal communities can lead to profound impacts to the fisheries productivity. There have been studies on the effects of UVR on the growth, photosynthesis and biochemical composition of microalgae, but limited information on the underlying molecular mechanisms involved in the response and adaptation of microalgae to UVR is available. We employed RNA-seq to quantitatively evaluate and compare the transcriptomes of an Antarctic freshwater Chlorella sp. grown at ambient versus elevated UVR conditions. Differentially expressed genes, relating to the fatty acid degradation, amino acid metabolism, starch and sucrose metabolism and peroxisome pathways, suggest conservation and remobilisation of energy resources, maintenance of newly synthesised protein and inhibition of protein degradation, ensuring membrane lipid homeostasis and regulating antioxidative mechanisms, as the acclimation strategies in response to UVR. These findings expand current knowledge of gene expression in polar Chlorella sp. in response to short-term UVR. Studies on stress tolerance mechanisms are important to understand and predict future impacts of climate change. Genes, proteins and pathways identified from these adaptable polar algae have potentially far-reaching biotechnological applications.</t>
  </si>
  <si>
    <t>[Poong, Sze-Wan; Lim, Phaik-Eem; Phang, Siew-Moi] Univ Malaya, Inst Ocean &amp; Earth Sci, Kuala Lumpur 50603, Malaysia; [Phang, Siew-Moi] Univ Malaya, Inst Biol Sci, Kuala Lumpur 50603, Malaysia; [Wong, Chiew-Yen] Int Med Univ, Sch Hlth Sci, Kuala Lumpur 57000, Malaysia; [Wong, Chiew-Yen] Univ Malaya, Natl Antarctic Res Ctr, Kuala Lumpur 50603, Malaysia; [Pai, Tun-Wen; Chen, Chien-Ming; Yang, Cing-Han; Liu, Chun-Cheng] Natl Taiwan Ocean Univ, Dept Comp Sci &amp; Engn, Keelung, Taiwan</t>
  </si>
  <si>
    <t>Universiti Malaya; Universiti Malaya; International Medical University Malaysia; Universiti Malaya; National Taiwan Ocean University</t>
  </si>
  <si>
    <t>Lim, PE (corresponding author), Univ Malaya, Inst Ocean &amp; Earth Sci, Kuala Lumpur 50603, Malaysia.;Pai, TW (corresponding author), Natl Taiwan Ocean Univ, Dept Comp Sci &amp; Engn, Keelung, Taiwan.</t>
  </si>
  <si>
    <t>phaikeem@um.edu.my; twp@mail.ntou.edu.tw</t>
  </si>
  <si>
    <t>Poong, Sze Wan/S-2212-2016; Phang, Siew Moi/A-7653-2008; LIM, Phaik Eem/B-5331-2010</t>
  </si>
  <si>
    <t>Poong, Sze Wan/0000-0003-4033-864X; LIM, Phaik Eem/0000-0001-9186-1487; Wong, Chiew-Yen/0000-0003-0534-6206</t>
  </si>
  <si>
    <t>Ministry of Higher Education, Malaysia [IOES-2014H]; University of Malaya [RP002C-13SUS]; Antarctic Flagship Project by the Ministry of Science, Technology and Innovation (MOSTI), Malaysia [FP0712E012, PV002-2015]; Ministry of Science and Technology, Taiwan, R.O.C. [MOST 104-2627-B-019-003]</t>
  </si>
  <si>
    <t>Ministry of Higher Education, Malaysia(Ministry of Education, Malaysia); University of Malaya(Universiti Malaya); Antarctic Flagship Project by the Ministry of Science, Technology and Innovation (MOSTI), Malaysia; Ministry of Science and Technology, Taiwan, R.O.C.(Ministry of Science and Technology, Taiwan)</t>
  </si>
  <si>
    <t>We thank Jeannette Wai-Shan Lai for her help with the physiological data. This study was supported by a Higher Institution Centre of Excellence (HICoE) grant (IOES-2014H) from the Ministry of Higher Education, Malaysia; a University of Malaya Research Grant (RP002C-13SUS); the Antarctic Flagship Project (FP0712E012, PV002-2015) by the Ministry of Science, Technology and Innovation (MOSTI), Malaysia; and the Ministry of Science and Technology, Taiwan, R.O.C. (MOST 104-2627-B-019-003).</t>
  </si>
  <si>
    <t>10.1007/s10811-017-1124-4</t>
  </si>
  <si>
    <t>WOS:000427804800010</t>
  </si>
  <si>
    <t>Faucherre, S; Jorgensen, CJ; Blok, D; Weiss, N; Siewert, MB; Bang-Andreasen, T; Hugelius, G; Kuhry, P; Elberling, B</t>
  </si>
  <si>
    <t>Faucherre, Samuel; Jorgensen, Christian Juncher; Blok, Daan; Weiss, Niels; Siewert, Matthias Benjamin; Bang-Andreasen, Toke; Hugelius, Gustaf; Kuhry, Peter; Elberling, Bo</t>
  </si>
  <si>
    <t>Short and Long-Term Controls on Active Layer and Permafrost Carbon Turnover Across the Arctic</t>
  </si>
  <si>
    <t>JOURNAL OF GEOPHYSICAL RESEARCH-BIOGEOSCIENCES</t>
  </si>
  <si>
    <t>permafrost; carbon; carbon mineralization; decomposition; carbon dioxide</t>
  </si>
  <si>
    <t>SOIL ORGANIC-MATTER; TRACE GAS-PRODUCTION; CLIMATE-CHANGE; THAWING PERMAFROST; POLYGONAL TUNDRA; HOLOCENE CARBON; TEMPERATURE; DECOMPOSITION; DYNAMICS; PEAT</t>
  </si>
  <si>
    <t>Decomposition of soil organic matter (SOM) in permafrost terrain and the production of greenhouse gases is a key factor for understanding climate change-carbon feedbacks. Previous studies have shown that SOM decomposition is mostly controlled by soil temperature, soil moisture, and carbon-nitrogen ratio (C:N). However, focus has generally been on site-specific processes and little is known about variations in the controls on SOM decomposition across Arctic sites. For assessing SOM decomposition, we retrieved 241 samples from 101 soil profiles across three contrasting Arctic regions and incubated them in the laboratory under aerobic conditions. We assessed soil carbon losses (C-loss) five times during a 1year incubation. The incubated material consisted of near-surface active layer (AL(NS)), subsurface active layer (AL(SS)), peat, and permafrost samples. Samples were analyzed for carbon, nitrogen, water content, C-13, N-15, and dry bulk density (DBD). While no significant differences were observed between total AL(SS) and permafrost C-loss over 1year incubation (2.32.4% and 2.51.5% C-loss, respectively), AL(NS) samples showed higher C-loss (7.94.2%). DBD was the best explanatory parameter for active layer C-loss across sites. Additionally, results of permafrost samples show that C:N ratio can be used to characterize initial C-loss between sites. This data set on the influence of abiotic parameter on microbial SOM decomposition can improve model simulations of Arctic soil CO2 production by providing representative mean values of CO2 production rates and identifying standard parameters or proxies for upscaling potential CO2 production from site to regional scales.</t>
  </si>
  <si>
    <t>[Faucherre, Samuel; Jorgensen, Christian Juncher; Blok, Daan; Elberling, Bo] Univ Copenhagen, Ctr Permafrost CENPERM, Copenhagen, Denmark; [Blok, Daan] Lund Univ, Dept Phys Geog &amp; Ecosyst Sci, Lund, Sweden; [Weiss, Niels; Siewert, Matthias Benjamin; Hugelius, Gustaf; Kuhry, Peter] Stockholm Univ, Dept Phys Geog, Stockholm, Sweden; [Siewert, Matthias Benjamin] Umea Univ, Dept Ecol &amp; Environm Sci, Umea, Sweden; [Bang-Andreasen, Toke] Aarhus Univ, Dept Environm Sci, Roskilde, Denmark; [Bang-Andreasen, Toke] Univ Copenhagen, Dept Biol, Copenhagen, Denmark</t>
  </si>
  <si>
    <t>University of Copenhagen; Lund University; Stockholm University; Umea University; Aarhus University; University of Copenhagen</t>
  </si>
  <si>
    <t>Elberling, B (corresponding author), Univ Copenhagen, Ctr Permafrost CENPERM, Copenhagen, Denmark.</t>
  </si>
  <si>
    <t>be@ign.ku.dk</t>
  </si>
  <si>
    <t>Siewert, Matthias Benjamin/Q-4378-2016; Blok, Daan/E-1649-2011; Bang-Andreasen, Toke/P-2749-2019; Hugelius, Gustaf/C-9759-2011; Elberling, Bo/M-4000-2014</t>
  </si>
  <si>
    <t>Siewert, Matthias Benjamin/0000-0003-2890-8873; Blok, Daan/0000-0003-2703-9303; Bang-Andreasen, Toke/0000-0001-7449-2886; Hugelius, Gustaf/0000-0002-8096-1594; Jorgensen, Christian Juncher/0000-0002-5184-7063; Faucherre, Samuel/0000-0002-2464-4260; Weiss, Niels/0000-0001-8905-343X; Elberling, Bo/0000-0002-6023-885X</t>
  </si>
  <si>
    <t>EU [282700]; Danish National Research Foundation [CENPERM DNRF100]; InterAct Transnational Access project ThawPool; University Centre in Svalbard (UNIS); Alfred Wegener Institute (AWI); Arctic Antarctic Research Institute (AARI); Abisko Scientific Research Station</t>
  </si>
  <si>
    <t>EU(European Union (EU)); Danish National Research Foundation(Danmarks Grundforskningsfond); InterAct Transnational Access project ThawPool; University Centre in Svalbard (UNIS); Alfred Wegener Institute (AWI); Arctic Antarctic Research Institute (AARI); Abisko Scientific Research Station</t>
  </si>
  <si>
    <t>This study is part of the EU seventh framework program PAGE21 (project ID: 282700) and further cofinanced by the Danish National Research Foundation (CENPERM DNRF100). The InterAct Transnational Access project ThawPool financed part of the fieldwork in the Lena Delta. The expeditions in Svalbard and Lena Delta were possible thanks to the support and logistic from the University Centre in Svalbard (UNIS), the Alfred Wegener Institute (AWI), the Arctic Antarctic Research Institute (AARI), and the Abisko Scientific Research Station. We would like to thank Juri Palmtag, Johannes Petrone, and Nikolaos Lampiris from Stockholm University for their participation in the fieldwork. We also would like to thanks Per Lennart Ambus for his support and coordination on the isotope, carbon, and nitrogen analyses. We also would like to thank Helle Sorensen from the Laboratory of Applied Statistics of the University of Copenhagen for her support in regard to general statistics. Finally, we thank anonymous reviewers for their contribution to the peer review of this work. The data used in this study are available in supporting information Table S6.</t>
  </si>
  <si>
    <t>2169-8953</t>
  </si>
  <si>
    <t>2169-8961</t>
  </si>
  <si>
    <t>J GEOPHYS RES-BIOGEO</t>
  </si>
  <si>
    <t>J. Geophys. Res.-Biogeosci.</t>
  </si>
  <si>
    <t>10.1002/2017JG004069</t>
  </si>
  <si>
    <t>FZ3HT</t>
  </si>
  <si>
    <t>WOS:000427478500004</t>
  </si>
  <si>
    <t>Doyle, SH; Hubbard, B; Christoffersen, P; Young, TJ; Hofstede, C; Bougamont, M; Box, JE; Hubbard, A</t>
  </si>
  <si>
    <t>Doyle, S. H.; Hubbard, B.; Christoffersen, P.; Young, T. J.; Hofstede, C.; Bougamont, M.; Box, J. E.; Hubbard, A.</t>
  </si>
  <si>
    <t>Physical Conditions of Fast Glacier Flow: 1. Measurements From Boreholes Drilled to the Bed of Store Glacier, West Greenland</t>
  </si>
  <si>
    <t>Greenland; ice sheet; hydrology; dynamics; borehole; sediment</t>
  </si>
  <si>
    <t>LARGE TIDEWATER GLACIER; WATER-LEVEL VARIATIONS; ICE-SHEET; SUBGLACIAL DRAINAGE; JAKOBSHAVN ISBRAE; HYDRAULIC-PROPERTIES; VARIEGATED GLACIER; HYDROLOGIC BASIS; SURGE MECHANISM; OUTLET GLACIERS</t>
  </si>
  <si>
    <t>Marine-terminating outlet glaciers of the Greenland Ice Sheet make significant contributions to global sea level rise, yet the conditions that facilitate their fast flow remain poorly constrained owing to a paucity of data. We drilled and instrumented seven boreholes on Store Glacier, Greenland, to monitor subglacial water pressure, temperature, electrical conductivity, and turbidity along with englacial ice temperature and deformation. These observations were supplemented by surface velocity and meteorological measurements to gain insight into the conditions and mechanisms of fast glacier flow. Located 30km from the calving front, each borehole drained rapidly on attaining approximate to 600m depth indicating a direct connection with an active subglacial hydrological system. Persistently high subglacial water pressures indicate low effective pressure (180-280kPa), with small-amplitude variations correlated with notable peaks in surface velocity driven by the diurnal melt cycle and longer periods of melt and rainfall. The englacial deformation profile determined from borehole tilt measurements indicates that 63-71% of total ice motion occurred at the bed, with the remaining 29-37% predominantly attributed to enhanced deformation in the lowermost 50-100m of the ice column. We interpret this lowermost 100m to be formed of warmer, pre-Holocene ice overlying a thin (0-8m) layer of temperate basal ice. Our observations are consistent with a spatially extensive and persistently inefficient subglacial drainage system that we hypothesize comprises drainage both at the ice-sediment interface and through subglacial sediments. This configuration has similarities to that interpreted beneath dynamically analogous Antarctic ice streams, Alaskan tidewater glaciers, and glaciers in surge. Plain Language Summary Greenland's fast flowing tidewater glaciers account for significant contributions to sea level rise, yet little is known about the conditions within and beneath them. We instrumented boreholes drilled to the bed of Store Glacier with sensors to measure ice temperature and deformation, and subglacial water properties. These data reveal that the fast flow of Store Glacier is mainly caused by motion at the ice bed interface driven by highly pressurized subglacial water and basal sediments, together with a significant component of ice deformation concentrated in the lowermost 80m of ice deposited in the last glacial period. The subglacial conditions, including inefficient subglacial drainage at high pressure, are similar to those observed beneath fast-flowing Antarctic ice streams, Alaskan tidewater glacier, and glaciers in surge.</t>
  </si>
  <si>
    <t>[Doyle, S. H.; Hubbard, B.] Aberystwyth Univ, Dept Geog &amp; Earth Sci, Ctr Glaciol, Aberystwyth, Dyfed, Wales; [Christoffersen, P.; Young, T. J.; Bougamont, M.] Univ Cambridge, Scott Polar Res Inst, Cambridge, England; [Young, T. J.] Natl Environm Res Council, British Antarctic Survey, Cambridge, England; [Hofstede, C.] Alfred Wegener Inst, Helmholtz Ctr Polar &amp; Marine Res, Bremerhaven, Germany; [Box, J. E.] Geol Survey Denmark &amp; Greenland, Glaciol &amp; Climate, Copenhagen, Denmark; [Hubbard, A.] Arctic Univ Norway, Dept Geol, Ctr Arctic Gas Hydrate Environm &amp; Climate, Tromso, Norway</t>
  </si>
  <si>
    <t>Aberystwyth University; University of Cambridge; UK Research &amp; Innovation (UKRI); Natural Environment Research Council (NERC); NERC British Antarctic Survey; Helmholtz Association; Alfred Wegener Institute, Helmholtz Centre for Polar &amp; Marine Research; Geological Survey Of Denmark &amp; Greenland; UiT The Arctic University of Tromso</t>
  </si>
  <si>
    <t>Doyle, SH (corresponding author), Aberystwyth Univ, Dept Geog &amp; Earth Sci, Ctr Glaciol, Aberystwyth, Dyfed, Wales.</t>
  </si>
  <si>
    <t>sdd08@aber.ac.uk</t>
  </si>
  <si>
    <t>Box, Jason E/AAE-1654-2019; Hofstede, Coen/JXM-4966-2024; Christoffersen, Poul/W-3708-2019; Box, Jason/H-5770-2013; Hubbard, Alun/R-5085-2017</t>
  </si>
  <si>
    <t>Box, Jason E/0000-0003-0052-8705; Christoffersen, Poul/0000-0003-2643-8724; Box, Jason/0000-0003-0052-8705; hofstede, coen/0000-0002-6015-6918; Young, Tun Jan/0000-0001-5865-3459; Bougamont, Marion Heidi/0000-0001-7196-4171; Hubbard, Bryn/0000-0002-3565-3875; Doyle, Samuel/0000-0002-0853-431X; Hubbard, Alun/0000-0002-0503-3915</t>
  </si>
  <si>
    <t>UK National Environment Research Council [NE/K006126, NE/K005871/1]; Aberystwyth University Capital Equipment grant; BBC's Operation Iceberg program; Centre for Arctic Gas Hydrate, Environment and Climate - Research Council of Norway through its Centres of Excellence [223259]; NERC [bas0100033, NE/K005871/1, NE/K006126/1, NE/R016038/1, NE/J013544/1] Funding Source: UKRI; Natural Environment Research Council [bas0100033, NE/R016038/1, NE/K006126/1, NE/J013544/1, NE/K005871/1] Funding Source: researchfish</t>
  </si>
  <si>
    <t>UK National Environment Research Council(UK Research &amp; Innovation (UKRI)Natural Environment Research Council (NERC)); Aberystwyth University Capital Equipment grant; BBC's Operation Iceberg program; Centre for Arctic Gas Hydrate, Environment and Climate - Research Council of Norway through its Centres of Excellence; NERC(UK Research &amp; Innovation (UKRI)Natural Environment Research Council (NERC)); Natural Environment Research Council(UK Research &amp; Innovation (UKRI)Natural Environment Research Council (NERC))</t>
  </si>
  <si>
    <t>This research was funded by UK National Environment Research Council grants NE/K006126 and NE/K005871/1 and an Aberystwyth University Capital Equipment grant to B. H. A. H. gratefully acknowledges support from the BBC's Operation Iceberg program for the deployment of the GPS reference station and a Professorial Fellowship from the Centre for Arctic Gas Hydrate, Environment and Climate, funded by the Research Council of Norway through its Centres of Excellence (grant 223259). The authors thank the crew of SV Gambo for logistical support, Ann Andreasen and the Uummannaq Polar Institute for hospitality, technicians Barry Thomas and Dave Kelly for assembly of the borehole sensors, Joe Todd for producing a bed elevation model from mass conservation that proved useful in selecting the drill site, and Leo Nathan for assistance in the field. NCEP/NCAR Reanalysis data were provided by the NOAA/OAR/ESRL PSD, Boulder, Colorado, USA, from . The data sets presented in this paper are available for download from https://doi.org/10.6084/m9.figshare.5745294.</t>
  </si>
  <si>
    <t>10.1002/2017JF004529</t>
  </si>
  <si>
    <t>FZ0JE</t>
  </si>
  <si>
    <t>Green Published, Green Submitted, hybrid, Green Accepted</t>
  </si>
  <si>
    <t>WOS:000427254000007</t>
  </si>
  <si>
    <t>Hofstede, C; Christoffersen, P; Hubbard, B; Doyle, SH; Young, TJ; Diez, A; Eisen, O; Hubbard, A</t>
  </si>
  <si>
    <t>Hofstede, C.; Christoffersen, P.; Hubbard, B.; Doyle, S. H.; Young, T. J.; Diez, A.; Eisen, O.; Hubbard, A.</t>
  </si>
  <si>
    <t>Physical Conditions of Fast Glacier Flow: 2. Variable Extent of Anisotropic Ice and Soft Basal Sediment From Seismic Reflection Data Acquired on Store Glacier, West Greenland</t>
  </si>
  <si>
    <t>subglacial; sliding; deformation; anisotropy; patches; seismic</t>
  </si>
  <si>
    <t>ABLATION ZONE; SHEET; STREAM; DYNAMICS; BENEATH; AMPLITUDE; ISLAND; LAYER; DOME</t>
  </si>
  <si>
    <t>Outlet glaciers of the Greenland Ice Sheet transport ice from the interior to the ocean and contribute directly to sea level rise because discharge and ablation often exceed the accumulation. To develop a better understanding of these fast-flowing glaciers, we investigate the basal conditions of Store Glacier, a large outlet glacier flowing into Uummannaq Fjord in west Greenland. We use two crossing seismic profiles acquired near the centerline, 30km upstream of the calving front, to interpret the physical nature of the ice and bed. We identify one notably englacial and two notably subglacial seismic reflections on both profiles. The englacial reflection represents a change in crystal orientation fabric, interpreted to be the Holocene-Wisconsin transition. From Amplitude-Versus-Angle (AVA) analysis we infer that the deepest approximate to 80m of ice of the parallel-flow profile below this reflection is anisotropic with an enhancement of simple shear of approximate to 2. The ice is underlain by approximate to 45m of unconsolidated sediments, below which there is a strong reflection caused by the transition to consolidated sediments. In the across-flow profile subglacial properties vary over small scale and the polarity of the ice-bed reflection switches from positive to negative. We interpret these as patches of different basal slipperiness associated with variable amounts of water. Our results illustrate variability in basal properties, and hence ice-bed coupling, at a spatial scale of approximate to 100m, highlighting the need for direct observations of the bed to improve the basal boundary conditions in ice-dynamic models.</t>
  </si>
  <si>
    <t>[Hofstede, C.; Eisen, O.] Alfred Wegener Inst, Helmholtz Ctr Polar &amp; Marine Res, Bremerhaven, Germany; [Christoffersen, P.; Young, T. J.] Univ Cambridge, Scott Polar Res Inst, Cambridge, England; [Hubbard, B.; Doyle, S. H.] Aberystwyth Univ, Dept Geog &amp; Earth Sci, Ctr Glaciol, Aberystwyth, Dyfed, Wales; [Young, T. J.] Natl Environm Res Council, British Antarctic Survey, Cambridge, England; [Diez, A.] Framsenteret, Norwegian Polar Inst, Tromso, Norway; [Eisen, O.] Univ Bremen, Fac Geosci, Bremen, Germany; [Hubbard, A.] Arctic Univ Norway, Dept Geol, Ctr Arctic Gas Hydrate Environm &amp; Climate, Tromso, Norway</t>
  </si>
  <si>
    <t>Helmholtz Association; Alfred Wegener Institute, Helmholtz Centre for Polar &amp; Marine Research; University of Cambridge; Aberystwyth University; UK Research &amp; Innovation (UKRI); Natural Environment Research Council (NERC); NERC British Antarctic Survey; Norwegian Polar Institute; University of Bremen; UiT The Arctic University of Tromso</t>
  </si>
  <si>
    <t>Hofstede, C (corresponding author), Alfred Wegener Inst, Helmholtz Ctr Polar &amp; Marine Res, Bremerhaven, Germany.</t>
  </si>
  <si>
    <t>coen.hofstede@awi.de</t>
  </si>
  <si>
    <t>Eisen, Olaf/K-3846-2012; Hofstede, Coen/JXM-4966-2024; Christoffersen, Poul/W-3708-2019; Hubbard, Alun/R-5085-2017</t>
  </si>
  <si>
    <t>Eisen, Olaf/0000-0002-6380-962X; Christoffersen, Poul/0000-0003-2643-8724; Diez, Anja/0000-0001-6443-6135; Young, Tun Jan/0000-0001-5865-3459; hofstede, coen/0000-0002-6015-6918; Doyle, Samuel/0000-0002-0853-431X; Hubbard, Alun/0000-0002-0503-3915; Hubbard, Bryn/0000-0002-3565-3875</t>
  </si>
  <si>
    <t>UK National Environment Research Council (NERC) [NE/K006126/1, NE/K005871/1]; BBC's Operation Iceberg for the deployment of the GPS reference station; Centre for Arctic Gas Hydrate, Environment and Climate - Research Council of Norway through its Centres of Excellence [223259]; Natural Environment Research Council [bas0100033, NE/K005871/1, NE/K006126/1] Funding Source: researchfish; NERC [bas0100033, NE/K005871/1, NE/K006126/1] Funding Source: UKRI</t>
  </si>
  <si>
    <t>UK National Environment Research Council (NERC)(UK Research &amp; Innovation (UKRI)Natural Environment Research Council (NERC)); BBC's Operation Iceberg for the deployment of the GPS reference station; Centre for Arctic Gas Hydrate, Environment and Climate - Research Council of Norway through its Centres of Excellence; Natural Environment Research Council(UK Research &amp; Innovation (UKRI)Natural Environment Research Council (NERC)); NERC(UK Research &amp; Innovation (UKRI)Natural Environment Research Council (NERC))</t>
  </si>
  <si>
    <t>This research was funded by the UK National Environment Research Council (NERC) grants NE/K006126/1 and NE/K005871/1. We kindly thank Johannes Bondzio, Thomas Kleiner, and Pascal Bohleber for the preparations of this survey. We kindly thank Ann Andreasen and the Children's Home in Uummannaq for their generous hospitality and providing us with an excellent roof over our heads in Uummannaq. We also thank Carlos Martin for advice concerning the enhancement factor of the anisotropic ice and Emma Smith who tirelessly helped to improve the manuscript. We want to thank the three reviewers for their excellent suggestions and remarks helping to improve this manuscript. Alun Hubbard gratefully acknowledges support from the BBC's Operation Iceberg for the deployment of the GPS reference station and a Professorial Fellowship from the Centre for Arctic Gas Hydrate, Environment and Climate, funded by the Research Council of Norway through its Centres of Excellence (grant 223259). We thank the tireless crew and skipper of S/V Gambo for logistical support. The data sets presented in this paper will be made available prior to publication at https://doi.org/10.1594/PANGAEA.884529.</t>
  </si>
  <si>
    <t>10.1002/2017JF004297</t>
  </si>
  <si>
    <t>WOS:000427254000008</t>
  </si>
  <si>
    <t>Jordan, JR; Holland, PR; Goldberg, D; Snow, K; Arthern, R; Campin, JM; Heimbach, P; Jenkins, A</t>
  </si>
  <si>
    <t>Jordan, James R.; Holland, Paul R.; Goldberg, Dan; Snow, Kate; Arthern, Robert; Campin, Jean-Michel; Heimbach, Patrick; Jenkins, Adrian</t>
  </si>
  <si>
    <t>Ocean-Forced Ice-Shelf Thinning in a Synchronously Coupled Ice-Ocean Model</t>
  </si>
  <si>
    <t>PINE ISLAND GLACIER; WEST ANTARCTICA; THWAITES GLACIER; EAST ANTARCTICA; SHEET; RETREAT; FLOW; TOPOGRAPHY; STREAM</t>
  </si>
  <si>
    <t>The first fully synchronous, coupled ice shelf-ocean model with a fixed grounding line and imposed upstream ice velocity has been developed using the MITgcm (Massachusetts Institute of Technology general circulation model). Unlike previous, asynchronous, approaches to coupled modeling our approach is fully conservative of heat, salt, and mass. Synchronous coupling is achieved by continuously updating the ice-shelf thickness on the ocean time step. By simulating an idealized, warm-water ice shelf we show how raising the pycnocline leads to a reduction in both ice-shelf mass and back stress, and hence buttressing. Coupled runs show the formation of a western boundary channel in the ice-shelf base due to increased melting on the western boundary due to Coriolis enhanced flow. Eastern boundary ice thickening is also observed. This is not the case when using a simple depth-dependent parameterized melt, as the ice shelf has relatively thinner sides and a thicker central bulge for a given ice-shelf mass. Ice-shelf geometry arising from the parameterized melt rate tends to underestimate backstress (and therefore buttressing) for a given ice-shelf mass due to a thinner ice shelf at the boundaries when compared to coupled model simulations.</t>
  </si>
  <si>
    <t>[Jordan, James R.; Holland, Paul R.; Arthern, Robert; Jenkins, Adrian] British Antarctic Survey, Res Inst Cambridge, Cambridge, England; [Goldberg, Dan; Snow, Kate] Univ Edinburgh, Sch Geosci, Edinburgh, Midlothian, Scotland; [Campin, Jean-Michel] MIT, Dept Earth Atmospher &amp; Planetary Sci, Cambridge, MA USA; [Heimbach, Patrick] Univ Texas Austin, Inst Computat Engn &amp; Sci, Austin, TX 78712 USA</t>
  </si>
  <si>
    <t>UK Research &amp; Innovation (UKRI); Natural Environment Research Council (NERC); NERC British Antarctic Survey; University of Edinburgh; Massachusetts Institute of Technology (MIT); University of Texas System; University of Texas Austin</t>
  </si>
  <si>
    <t>Jordan, JR (corresponding author), British Antarctic Survey, Res Inst Cambridge, Cambridge, England.</t>
  </si>
  <si>
    <t>jamrda26@bas.ac.uk</t>
  </si>
  <si>
    <t>Jenkins, Adrian/0000-0002-9117-0616; Heimbach, Patrick/0000-0003-3925-6161; Jordan, Jim/0000-0001-8117-1976</t>
  </si>
  <si>
    <t>UK Natural Environment Research Council [NE/M003590/1]; NSF [OCE 1737759]; NASA [NNX13AK88G]; Natural Environment Research Council [bas0100033, NE/M003590/1, bas0100034, NE/N01801X/1, NE/M001660/1, NE/R016038/1] Funding Source: researchfish; NERC [NE/M001660/1, NE/R016038/1, bas0100034, bas0100033, NE/N01801X/1, NE/M003590/1] Funding Source: UKRI; NASA [470795, NNX13AK88G] Funding Source: Federal RePORTER; Directorate For Geosciences; Office of Polar Programs (OPP) [1603854] Funding Source: National Science Foundation</t>
  </si>
  <si>
    <t>UK Natural Environment Research Council(UK Research &amp; Innovation (UKRI)Natural Environment Research Council (NERC)); NSF(National Science Foundation (NSF)); NASA(National Aeronautics &amp; Space Administration (NASA)); Natural Environment Research Council(UK Research &amp; Innovation (UKRI)Natural Environment Research Council (NERC)); NERC(UK Research &amp; Innovation (UKRI)Natural Environment Research Council (NERC)); NASA(National Aeronautics &amp; Space Administration (NASA)); Directorate For Geosciences; Office of Polar Programs (OPP)(National Science Foundation (NSF)NSF - Directorate for Geosciences (GEO))</t>
  </si>
  <si>
    <t>This work was supported by the UK Natural Environment Research Council under grant NE/M003590/1. P. Heimbach is supported in part by NSF OCE 1737759 and NASA NNX13AK88G. The newly developed code used throughout this manuscript can be accessed via mitgcm.org.</t>
  </si>
  <si>
    <t>10.1002/2017JC013251</t>
  </si>
  <si>
    <t>FZ9YZ</t>
  </si>
  <si>
    <t>WOS:000427970400009</t>
  </si>
  <si>
    <t>King, J; Skourup, H; Hvidegaard, SM; Rösel, A; Gerland, S; Spreen, G; Polashenski, C; Helm, V; Liston, GE</t>
  </si>
  <si>
    <t>King, Jennifer; Skourup, Henriette; Hvidegaard, Sine M.; Rosel, Anja; Gerland, Sebastian; Spreen, Gunnar; Polashenski, Chris; Helm, Veit; Liston, Glen E.</t>
  </si>
  <si>
    <t>Comparison of Freeboard Retrieval and Ice Thickness Calculation From ALS, ASIRAS, and CryoSat-2 in the Norwegian Arctic to Field Measurements Made During the N-ICE2015 Expedition</t>
  </si>
  <si>
    <t>sea ice; CryoSat-2; radar altimetry; arctic snow; freeboard retrieval</t>
  </si>
  <si>
    <t>SEA-ICE; SNOW DEPTH; FRAM STRAIT; RADAR ALTIMETRY; AIRBORNE LASER; VOLUME; VARIABILITY; ELEVATION; 1ST-YEAR; DENSITY</t>
  </si>
  <si>
    <t>We present freeboard measurements from airborne laser scanner (ALS), the Airborne Synthetic Aperture and Interferometric Radar Altimeter System (ASIRAS), and CryoSat-2 SIRAL radar altimeter; ice thickness measurements from both helicopter-borne and ground-based electromagnetic-sounding; and point measurements of ice properties. This case study was carried out in April 2015 during the N-ICE2015 expedition in the area of the Arctic Ocean north of Svalbard. The region is represented by deep snow up to 1.12 m and a widespread presence of negative freeboards. The main scattering surfaces from both CryoSat-2 and ASIRAS are shown to be closer to the snow freeboard obtained by ALS than to the ice freeboard measured in situ. This case study documents the complexity of freeboard retrievals from radar altimetry. We show that even under cold (below -15 degrees C) conditions the radar freeboard can be close to the snow freeboard on a regional scale of tens of kilometers. We derived a modal sea-ice thickness for the study region from CryoSat-2 of 3.9 m compared to measured total thickness 1.7 m, resulting in an overestimation of sea-ice thickness on the order of a factor 2. Our results also highlight the importance of year-to-year regional scale information about the depth and density of the snowpack, as this influences the sea-ice freeboard, the radar penetration, and is a key component of the hydrostatic balance equations used to convert radar freeboard to sea-ice thickness.</t>
  </si>
  <si>
    <t>[King, Jennifer; Rosel, Anja; Gerland, Sebastian] Fram Ctr, Norwegian Polar Inst, Tromso, Norway; [Skourup, Henriette; Hvidegaard, Sine M.] Tech Univ Denmark, Natl Space Inst, DTU Space, Lyngby, Denmark; [Spreen, Gunnar] Univ Bremen, Inst Environm Phys, Bremen, Germany; [Polashenski, Chris] US Army Cold Reg &amp; Engn Lab, Ft Wainwright, AK USA; [Helm, Veit] Alfred Wegener Inst, Bremerhaven, Germany; [Liston, Glen E.] Colorado State Univ, Cooperat Inst Res Atmosphere, Ft Collins, CO 80523 USA</t>
  </si>
  <si>
    <t>Norwegian Polar Institute; Technical University of Denmark; University of Bremen; United States Department of Defense; United States Army; U.S. Army Corps of Engineers; U.S. Army Engineer Research &amp; Development Center (ERDC); Cold Regions Research &amp; Engineering Laboratory (CRREL); Helmholtz Association; Alfred Wegener Institute, Helmholtz Centre for Polar &amp; Marine Research; Colorado State University</t>
  </si>
  <si>
    <t>Skourup, H (corresponding author), Tech Univ Denmark, Natl Space Inst, DTU Space, Lyngby, Denmark.</t>
  </si>
  <si>
    <t>hsk@space.dtu.dk</t>
  </si>
  <si>
    <t>Spreen, Gunnar/A-4533-2010; Skourup, Henriette/A-7950-2015; Hvidegaard, Sine Munk/K-2733-2014</t>
  </si>
  <si>
    <t>Spreen, Gunnar/0000-0003-0165-8448; Skourup, Henriette/0000-0002-4468-8033; Hvidegaard, Sine Munk/0000-0001-8159-6499; King, Jennifer/0000-0001-9421-4314; Helm, Veit/0000-0001-7788-9328</t>
  </si>
  <si>
    <t>Norwegian Polar Institute's Centre for Ice, Climate and Ecosystems (ICE) through the project N-ICE; ICE-ARC programme from the European Union 7th Framework Program [603887]; ICE-ARC [ICE-ARC-019]; ID Arctic; Norwegian Ministries of Foreign Affairs and Climate and Environment; ESA SMOSIce project (ESA) [4000110477/14/NL/FF/lf]; ESA CryoVal-SI project [4000108390/13/NL/CT]; Norwegian Research Council project CORESAT'' (NFR project) [222681]; Institutional Strategy of the University of Bremen - German Excellence Initiative</t>
  </si>
  <si>
    <t>Norwegian Polar Institute's Centre for Ice, Climate and Ecosystems (ICE) through the project N-ICE; ICE-ARC programme from the European Union 7th Framework Program(European Union (EU)); ICE-ARC; ID Arctic; Norwegian Ministries of Foreign Affairs and Climate and Environment; ESA SMOSIce project (ESA); ESA CryoVal-SI project; Norwegian Research Council project CORESAT'' (NFR project); Institutional Strategy of the University of Bremen - German Excellence Initiative</t>
  </si>
  <si>
    <t>This work was supported by the Norwegian Polar Institute's Centre for Ice, Climate and Ecosystems (ICE) through the project N-ICE. Airborne Laser Scanner and ASIRAS data acquisitions on two flights made by the British Antarctic Survey (BAS) Twin Otter on 19 and 24 April 2015 were funded by the ICE-ARC programme from the European Union 7th Framework Program (grant 603887), ICE-ARC contribution ICE-ARC-019. This work also benefited from support from ID Arctic, a project funded by the Norwegian Ministries of Foreign Affairs and Climate and Environment, from the ESA SMOSIce project (ESA contract 4000110477/14/NL/FF/lf), and from the ESA CryoVal-SI project (4000108390/13/NL/CT). Jennifer King was funded by the Norwegian Research Council project CORESAT'' (NFR project 222681). G. Spreen was supported by the Institutional Strategy of the University of Bremen, funded by the German Excellence Initiative. We would like to thank all members of the N-ICE2015 team and the crew from R/V Lance for their help collecting and producing the N-ICE2015 data set. We thank also the crew of Airlift and the Twin Otter pilots. Special thanks are due to Marius Bratrein for assistance with HEM data collection and to Stephen Hudson, Nina Maa beta, Caixin Wang, Mats Granskog, and Polona Itkin for their hard work during the field surveys on 19 and 24 April. The NICE2015 data are available through the Norwegian Polar Institute's Data Centre (https://data.npolar.no/home/). CryoSat-2 baseline C data are available from ESA via an ftp client (ftp://science-pds.cryosat.esa.int). The airborne campaign data (ALS and ASIRAS) are public available within the ICE-ARC project and can be found in the British Antarctic Data repository at http://ice2seadata.nerc-bas.ac.uk/repository. ERA reanalysis was obtained from http://www.ecmwf.int/en/research/climate-reanalysis/erainterim. The back tracking was performed using IFREMER data from ftp://ftp.ifremer.fr/ifremer/cersat/products/gridded/psi-drift/data/arctic/merged-quikscat-ssmi/. We would also like to thank Eero Rinne and several anonymous reviewers for their input, which has significantly improved this paper.</t>
  </si>
  <si>
    <t>10.1002/2017JC013233</t>
  </si>
  <si>
    <t>WOS:000427970400024</t>
  </si>
  <si>
    <t>Perlongo, NJ; Ridley, AJ; Cnossen, I; Wu, C</t>
  </si>
  <si>
    <t>Perlongo, N. J.; Ridley, A. J.; Cnossen, I.; Wu, C.</t>
  </si>
  <si>
    <t>A Year-Long Comparison of GPS TEC and Global Ionosphere-Thermosphere Models</t>
  </si>
  <si>
    <t>TOTAL ELECTRON-CONTENT; GENERAL-CIRCULATION MODEL; LATENT-HEAT RELEASE; DATA ASSIMILATION; LOWER ATMOSPHERE; SOLAR EUV; EQUATORIAL; VARIABILITY; F2-LAYER; PATTERNS</t>
  </si>
  <si>
    <t>The prevalence of GPS total electron content (TEC) observations has provided an opportunity for extensive global ionosphere-thermosphere model validation efforts. This study presents a year-long data-model comparison using the Global Ionosphere-Thermosphere Model (GITM) and the Thermosphere-Ionosphere-Electrodynamics General Circulation Model (TIE-GCM). For the entire year of 2010, each model was run and compared to GPS TEC observations. The results were binned according to season, latitude, local time, and magnetic local time. GITM was found to overestimate the TEC everywhere, except on the midlatitude nightside, due to high O/N-2 ratios. TIE-GCM produced much less TEC and had lower O/N-2 ratios and neutral wind speeds. Seasonal and regional biases in the models are discussed along with ideas for model improvements and further validation efforts.</t>
  </si>
  <si>
    <t>[Perlongo, N. J.; Ridley, A. J.; Wu, C.] Univ Michigan, Climate &amp; Space Sci &amp; Engn, Ann Arbor, MI 48109 USA; [Cnossen, I.] British Antarctic Survey, Cambridge, England</t>
  </si>
  <si>
    <t>University of Michigan System; University of Michigan; UK Research &amp; Innovation (UKRI); Natural Environment Research Council (NERC); NERC British Antarctic Survey</t>
  </si>
  <si>
    <t>Perlongo, NJ (corresponding author), Univ Michigan, Climate &amp; Space Sci &amp; Engn, Ann Arbor, MI 48109 USA.</t>
  </si>
  <si>
    <t>nperlong@umich.edu</t>
  </si>
  <si>
    <t>Cnossen, Ingrid/E-5809-2010; Ridley, Aaron J/F-3943-2011</t>
  </si>
  <si>
    <t>Cnossen, Ingrid/0000-0001-6469-7861;</t>
  </si>
  <si>
    <t>NSF [AGS-1452097, 1462362]; NASA [NNX14AE04G]; Natural Environment Research Council [NE/J018058/1]; International Space Science Institute (ISSI); Natural Environment Research Council [NE/J018058/1, bas0100031] Funding Source: researchfish; NERC [bas0100031, NE/J018058/1, BIGF010001] Funding Source: UKRI; NASA [NNX14AE04G, 685424] Funding Source: Federal RePORTER</t>
  </si>
  <si>
    <t>NSF(National Science Foundation (NSF)); NASA(National Aeronautics &amp; Space Administration (NASA)); Natural Environment Research Council(UK Research &amp; Innovation (UKRI)Natural Environment Research Council (NERC)); International Space Science Institute (ISSI); Natural Environment Research Council(UK Research &amp; Innovation (UKRI)Natural Environment Research Council (NERC)); NERC(UK Research &amp; Innovation (UKRI)Natural Environment Research Council (NERC)); NASA(National Aeronautics &amp; Space Administration (NASA))</t>
  </si>
  <si>
    <t>This research was supposed by NSF through grants AGS-1452097 and 1462362 and NASA grant NNX14AE04G. GPS TEC data used in this study were obtained from Millstone Hill/Haystack Observatory. This work was made possible by NASA HEC Pleiades allocation. We would also like to thank the International Space Science Institute (ISSI) for supporting this collaborative effort. Simulation results are available upon request. Ingrid Cnossen was sponsored by a fellowship of the Natural Environment Research Council, grant NE/J018058/1. The August 2018 GITM source code and model input files used to run the simulations presented in this study and eventually the full 3-D model output will be made available on University of Michigan's Deep Blue Data storage system (doi:10.7302/Z28K7788). The TIE-GCM input files and job files will also be included there.</t>
  </si>
  <si>
    <t>10.1002/2017JA024411</t>
  </si>
  <si>
    <t>FZ4ND</t>
  </si>
  <si>
    <t>WOS:000427568000027</t>
  </si>
  <si>
    <t>Orselli, IBM; Kerr, R; Ito, RG; Tavano, VM; Mendes, CRB; Garcia, CAE</t>
  </si>
  <si>
    <t>Orselli, Iole B. M.; Kerr, Rodrigo; Ito, Rosane G.; Tavano, Virginia M.; Mendes, Carlos Rafael B.; Garcia, Carlos A. E.</t>
  </si>
  <si>
    <t>How fast is the Patagonian shelf-break acidifying?</t>
  </si>
  <si>
    <t>JOURNAL OF MARINE SYSTEMS</t>
  </si>
  <si>
    <t>Carbonate system; Anthropogenic carbon; Ocean acidification; CO2; South Atlantic Ocean</t>
  </si>
  <si>
    <t>ANTHROPOGENIC CARBON DISTRIBUTION; OCEAN ACIDIFICATION; ATLANTIC-OCEAN; CONTINENTAL SHELVES; SURFACE-OCEAN; CO2 FLUXES; SEA-WATER; PHYTOPLANKTON; VARIABILITY; CIRCULATION</t>
  </si>
  <si>
    <t>Anthropogenic carbon (C-ant) concentration is determined according to the TrOCA method, from carbonate system data and hydrographic parameters collected during two consecutive spring cruises (2007 and 2008) in the Argentinean Patagonian shelf-break zone between 36 degrees S and 50 degrees S. C-ant has intruded the water column until intermediate depths, with no C-ant below 1000 m, in the deeper waters (i.e., North Atlantic Deep Water and Antarctic Bottom Water) of the Northern sector of the study area (i.e., North of 38 degrees S). The higher C-ant concentration is observed in Subantarctic Shelf Water in the Southern region, whereas in the Northern sector both Tropical Water and South Atlantic Central Water are equally affected by C-ant intrusion. The Antarctic Intermediate Water represents the depth-limit achieved by Cant penetration, reinforcing the role that this water mass plays as an important vehicle to transport C-ant to the oceans interior. The estimated Cant average (method precision) is 46.6 +/- 5.3 mu mol kg(-1) considering the full depth of the water column. The ocean acidification state (Delta pH) shows an average (+/- standard deviation) of -0.11 +/- 0.05, thus, indicating an annual pH reduction of -0.0010 yr(-1) since the Industrial Revolution (c.a. 1750). The degree of aragonite saturation is lowered towards undersaturation levels of calcite. The Patagonian shelf and shelf-break zones-a strong CO2 sink region in the global ocean-are likely a key area for Cant intrusion in the southwestern South Atlantic Ocean.</t>
  </si>
  <si>
    <t>[Orselli, Iole B. M.; Kerr, Rodrigo; Tavano, Virginia M.; Mendes, Carlos Rafael B.; Garcia, Carlos A. E.] Univ Fed Rio Grande FURG, Inst Oceanog, Lab Estudos Oceanos &amp; Clima, Av Italia Km 8, BR-96203900 Rio Grande, RS, Brazil; [Orselli, Iole B. M.; Kerr, Rodrigo; Ito, Rosane G.; Tavano, Virginia M.] Brazilian Ocean Acidificat Network BrOA, Av Italia Km 8, BR-96203900 Rio Grande, RS, Brazil; [Orselli, Iole B. M.; Kerr, Rodrigo] Inst Nacl Ciencia &amp; Tecnol Criosfera INCT CRIOSFE, Grp Estudos Oceano Austral &amp; Gelo Marinho, BR-96203900 Rio Grande, RS, Brazil; [Ito, Rosane G.] Univ Sao Paulo, Inst Oceanog, Praca Oceanog 191, BR-05508120 Sao Paulo, SP, Brazil; [Tavano, Virginia M.; Mendes, Carlos Rafael B.] Univ Fed Rio Grande FURG, Inst Oceanog, Lab Fitoplancton &amp; Microorganismos Marinhos, Av Italia Km 8, BR-96203900 Rio Grande, RS, Brazil</t>
  </si>
  <si>
    <t>Universidade Federal do Rio Grande; Universidade de Sao Paulo; Universidade Federal do Rio Grande</t>
  </si>
  <si>
    <t>Orselli, IBM (corresponding author), Fundacao Univ Fed Rio Grande, Inst Oceanog, LEOC, Ave Italia Km 8 S-N,Campus Carreiros, BR-96203900 Rio Grande, Brazil.</t>
  </si>
  <si>
    <t>iole.orselli@furg.br</t>
  </si>
  <si>
    <t>Orselli, Iole/AAP-1267-2021; Mendes, Carlos/I-1520-2012; Mendes, Carlos/GVU-7596-2022; Garcia, Carlos A. E./K-7382-2012; Mendes, Carlos/AAD-6504-2021; Kerr, Rodrigo/I-2494-2012; Tavano, Virginia/C-5241-2013</t>
  </si>
  <si>
    <t>Mendes, Carlos/0000-0001-6875-8860; Mendes, Carlos/0000-0001-6875-8860; Kerr, Rodrigo/0000-0002-2632-3137; Tavano, Virginia/0000-0003-0039-8111; Orselli, Iole/0000-0003-2991-292X</t>
  </si>
  <si>
    <t>Brazilian National Council on Research and Development (CNPq) [550370/02-1, 520189/2006-0, 573720/2008-8, 556848/2009-8, 405869/2013-4]; project Estudos Avancados de Medias e Altos Latitudes (CAPES) [23038.001421/2014-30]; CNPq; CNPq [302604/2015-4]; CAPES/PNPD</t>
  </si>
  <si>
    <t>Brazilian National Council on Research and Development (CNPq)(Conselho Nacional de Desenvolvimento Cientifico e Tecnologico (CNPQ)); project Estudos Avancados de Medias e Altos Latitudes (CAPES); CNPq(Conselho Nacional de Desenvolvimento Cientifico e Tecnologico (CNPQ)); CNPq(Conselho Nacional de Desenvolvimento Cientifico e Tecnologico (CNPQ)); CAPES/PNPD(Coordenacao de Aperfeicoamento de Pessoal de Nivel Superior (CAPES))</t>
  </si>
  <si>
    <t>This study provides a contribution to the activities of the Brazilian High Latitudes Oceanographic Group (GOAL) and Brazilian Ocean Acidification Network (BrOA; www.broa.furg.br). The PATagonian EXperiment (PATEX) project was a Brazilian contribution executed during the IV International Polar Year, and developed under the umbrella of the project Southern Ocean Studies for Understanding Global Climate Issues (SOS -CLIMATE). The project was sponsored by the Brazilian National Council on Research and Development (CNPq grant numbers 550370/02-1; 520189/2006-0; 573720/2008-8; 556848/2009-8; 405869/2013-4), with logistic supported by the Brazilian Antarctic Program (PROANTAR) through the actions of the Ministry of Environment (MMA), Ministry of Science, Technology, Innovation, and Communication (MCTIC), Brazilian Ministerial Secretary for the Resources of the Sea (SECIRM), and Brazilian Navy. This study also contributes to the project Estudos Avancados de Medias e Altos Latitudes (CAPES grant no 23038.001421/2014-30). We thank all researchers and students from LEOC/FURG and GADISS/USP laboratories for their contribution with cruise planning, sampling, analysis, and data processing. Special thanks to G. Lisbao, E.H. Shinagawa, E.S. Hansen, C. Nishizaki and D.N.A. Bevilaqua. I.B.M.O. and R.K. acknowledge a CNPq MSc. fellowship and CNPq researcher grant no 302604/2015-4, respectively. C.R.B. Mendes was funded by a postdoc grant from CAPES/PNPD. We thank the crew of the Brazilian vessel RV NApOc Ary Rongel for the logistic assistance. We also acknowledge the Servicio de Hidrografia Naval (Argentina) for their cooperation in obtaining clearance for carrying out field work within Argentinean EEZ. We are grateful for the constructive comments provided by two anonymous reviewers who substantially helped to improve the manuscript.</t>
  </si>
  <si>
    <t>0924-7963</t>
  </si>
  <si>
    <t>1879-1573</t>
  </si>
  <si>
    <t>J MARINE SYST</t>
  </si>
  <si>
    <t>J. Mar. Syst.</t>
  </si>
  <si>
    <t>10.1016/j.jmarsys.2017.10.007</t>
  </si>
  <si>
    <t>Geosciences, Multidisciplinary; Marine &amp; Freshwater Biology; Oceanography</t>
  </si>
  <si>
    <t>Geology; Marine &amp; Freshwater Biology; Oceanography</t>
  </si>
  <si>
    <t>FQ2VB</t>
  </si>
  <si>
    <t>WOS:000418215000001</t>
  </si>
  <si>
    <t>Constantinou, NC</t>
  </si>
  <si>
    <t>Constantinou, Navid C.</t>
  </si>
  <si>
    <t>A Barotropic Model of Eddy Saturation</t>
  </si>
  <si>
    <t>ANTARCTIC CIRCUMPOLAR CURRENT; SOUTHERN-OCEAN; CLIMATE-CHANGE; OVERTURNING CIRCULATION; BIFURCATION PROPERTIES; CURRENT TRANSPORT; MOMENTUM BALANCE; DECADAL CHANGES; WIND STRESS; FORM STRESS</t>
  </si>
  <si>
    <t>Eddy saturation refers to a regime in which the total volume transport of an oceanic current is insensitive to the wind stress strength. Baroclinicity is currently believed to be the key to the development of an eddy-saturated state. In this paper, it is shown that eddy saturation can also occur in a purely barotropic flow over topography, without baroclinicity. Thus, eddy saturation is a fundamental property of barotropic dynamics above topography. It is demonstrated that the main factor controlling the appearance or not of eddy-saturated states in the barotropic setting is the structure of geostrophic contours, that is, the contours of f/H (the ratio of the Coriolis parameter to the ocean's depth). Eddy-saturated states occur when the geostrophic contours are open, that is, when the geostrophic contours span the whole zonal extent of the domain. This minimal requirement for eddy-saturated states is demonstrated using numerical integrations of a single-layer quasi-geostrophic flow over two different topographies characterized by either open or closed geostrophic contours with parameter values loosely inspired by the Southern Ocean. In this setting, transient eddies are produced through a barotropic-topographic instability that occurs because of the interaction of the large-scale zonal flow with the topography. By studying this barotropic-topographic instability insight is gained on how eddy-saturated states are established.</t>
  </si>
  <si>
    <t>[Constantinou, Navid C.] Univ Calif San Diego, Scripps Inst Oceanog, La Jolla, CA 92093 USA</t>
  </si>
  <si>
    <t>Constantinou, NC (corresponding author), Univ Calif San Diego, Scripps Inst Oceanog, La Jolla, CA 92093 USA.</t>
  </si>
  <si>
    <t>navid@ucsd.edu</t>
  </si>
  <si>
    <t>Constantinou, Navid C/GVS-6295-2022</t>
  </si>
  <si>
    <t>Constantinou, Navid C/0000-0002-8149-4094</t>
  </si>
  <si>
    <t>NOAA Climate and Global Change Postdoctoral Fellowship Program; National Science Foundation [OCE-1357047]; Directorate For Geosciences; Division Of Ocean Sciences [1357047] Funding Source: National Science Foundation</t>
  </si>
  <si>
    <t>NOAA Climate and Global Change Postdoctoral Fellowship Program(National Oceanic Atmospheric Admin (NOAA) - USA); National Science Foundation(National Science Foundation (NSF)); Directorate For Geosciences; Division Of Ocean Sciences(National Science Foundation (NSF)NSF - Directorate for Geosciences (GEO))</t>
  </si>
  <si>
    <t>I am mostly grateful to William Young for his support and insightful comments. Discussions with Anand Gnanadesikan, Petros Ioannou, Spencer Jones, Sean Haney, Cesar Rocha, Andrew Thompson, Gregory Wagner, and Till Wagner are greatly acknowledged. Also, I thank Louis-Philippe Nadeau and David Straub for their constructive review comments. This project was supported by the NOAA Climate and Global Change Postdoctoral Fellowship Program, administered by UCAR's Cooperative Programs for the Advancement of Earth System Sciences. The author also acknowledges partial support from the National Science Foundation under Award OCE-1357047.</t>
  </si>
  <si>
    <t>10.1175/JPO-D-17-0182.1</t>
  </si>
  <si>
    <t>GD8IJ</t>
  </si>
  <si>
    <t>WOS:000430755800011</t>
  </si>
  <si>
    <t>Nagura, M; McPhaden, MJ</t>
  </si>
  <si>
    <t>Nagura, Motoki; McPhaden, Michael J.</t>
  </si>
  <si>
    <t>The Shallow Overturning Circulation in the Indian Ocean</t>
  </si>
  <si>
    <t>BOUNDARY CURRENTS EAST; LEEUWIN CURRENT SYSTEM; HIGH-SALINITY WATER; SEASONAL VARIABILITY; ARABIAN SEA; DATA ASSIMILATION; FLOW; MASS; NORTH; MODEL</t>
  </si>
  <si>
    <t>The number of in situ observations in the Indian Ocean has dramatically increased over the past 15 years thanks to the implementation of the Argo profiling float program. This study estimates the mean circulation in the Indian Ocean using hydrographic observations obtained from both Argo and conductivity-temperature-depth (CTD) observations. Absolute velocity at the Argo float parking depth is used so there is no need to assume a level of no motion. Results reveal previously unknown features in addition to well-known currents and water masses. Some newly identified features include the lack of an interior pathway to the equator from the southern Indian Ocean in the pycnocline, indicating that water parcels must transit through the western boundary to reach the equator. High potential vorticity (PV) intrudes from the western coast of Australia in the depth range of the Subantarctic Mode Water, which leads to a structure similar to a PV barrier. The subtropical anticyclonic gyre retreats poleward with depth, as happens in the subtropical Atlantic and Pacific. An eastward flow was found in the eastern basin along 15 degrees S at the depth of the Antarctic Intermediate Water-a feature expected from property distributions but never before detected in velocity estimates. Meridional mass transport indicates about 10 Sv (1 Sv = 10(6) m(3) s(-1)) southward flow at 6 degrees S and 18 Sv northward flow at 20 degrees S, which results in meridional convergence of currents and thermocline depression at about 16 degrees-20 degrees S. These estimated absolute velocities agree well with those of an ocean reanalysis, which lends credibility to the strictly databased analysis.</t>
  </si>
  <si>
    <t>[Nagura, Motoki] Japan Agcy Marine Earth Sci &amp; Technol, Yokosuka, Kanagawa, Japan; [McPhaden, Michael J.] NOAA, Pacific Marine Environm Lab, Seattle, WA USA</t>
  </si>
  <si>
    <t>Japan Agency for Marine-Earth Science &amp; Technology (JAMSTEC); National Oceanic Atmospheric Admin (NOAA) - USA</t>
  </si>
  <si>
    <t>Nagura, M (corresponding author), Japan Agcy Marine Earth Sci &amp; Technol, Yokosuka, Kanagawa, Japan.</t>
  </si>
  <si>
    <t>nagura@jamstec.go.jp</t>
  </si>
  <si>
    <t>McPhaden, Michael J/D-9799-2016</t>
  </si>
  <si>
    <t>MEXT/JPSP KAKENHI [26800249]; Grants-in-Aid for Scientific Research [26800249] Funding Source: KAKEN</t>
  </si>
  <si>
    <t>MEXT/JPSP KAKENHI; Grants-in-Aid for Scientific Research(Ministry of Education, Culture, Sports, Science and Technology, Japan (MEXT)Japan Society for the Promotion of ScienceGrants-in-Aid for Scientific Research (KAKENHI))</t>
  </si>
  <si>
    <t>We sincerely thank Katsuro Katsumata, who provided us with the computer code to grid Argo parking depth velocity. The authors also thank two anonymous reviewers, whose constructive comments greatly improved the paper. This work is partly supported by MEXT/JPSP KAKENHI Grant 26800249. This is Pacific Marine Environmental Laboratory Contribution Number 4682.</t>
  </si>
  <si>
    <t>10.1175/JPO-D-17-0127.1</t>
  </si>
  <si>
    <t>WOS:000430755800012</t>
  </si>
  <si>
    <t>Baldanzi, S; Storch, D; Navarrete, SA; Graeve, M; Fernández, M</t>
  </si>
  <si>
    <t>Baldanzi, Simone; Storch, Daniela; Navarrete, Sergio A.; Graeve, Martin; Fernandez, Miriam</t>
  </si>
  <si>
    <t>Latitudinal variation in maternal investment traits of the kelp crab Taliepus dentatus along the coast of Chile</t>
  </si>
  <si>
    <t>CRANGON-CRANGON DECAPODA; EGG SIZE; MARINE-INVERTEBRATES; LARVAL DEVELOPMENT; BRACHYURAN CRABS; CANCER-SETOSUS; BROOD CARE; INTERANNUAL VARIATIONS; EMBRYONIC-DEVELOPMENT; REPRODUCTIVE-BIOLOGY</t>
  </si>
  <si>
    <t>Maternal investment (MI), the energy allocated by mothers to offspring, has important effects on the life-history traits of marine organisms. Variation in such traits shows strong correlation with latitude for several marine taxa (Thorson's rule). Large-scale latitudinal variation in MI within a single species suggests population genetic divergence, while temporal changes in MI, rather, reflect plasticity. At higher latitudes (i.e., colder waters), traits associated with MI (brood weight, fecundity, egg volume, and energy content) increase. To identify phenotypic plasticity along a latitudinal gradient in MI traits (brood weight, egg volume, density number, and egg lipid composition), five populations of the kelp crab Taliepus dentatus along the coast of Chile (30 degrees S-42 degrees S) were investigated during the summer (December-February) and winter months (June-August) of 2015-2016. Despite this wide latitudinal range, the sea surface temperature (SST) difference between the northernmost and the southernmost sites was only approximately 2.0 degrees C in winter and 5.5 degrees C in summer. In summer, when latitudinal variation in SST was highest, brood weight, egg density, fecundity, and egg lipids increased with latitude, while egg volume decreased. No trends in MI were observed in winter when the SST gradient was almost non-existent. These results suggest that the relationship between MI and latitude is shaped by temperature rather than being site-specific. The seasonality of latitudinal MI traits also suggests a trade-off between the costs of female maintenance and/or brooding behaviours and MI. When investigating latitudinal and temporal variation in marine brooder MI, the effect of temperature on life-history traits and the associated costs of female brooding should be quantified.</t>
  </si>
  <si>
    <t>[Baldanzi, Simone; Navarrete, Sergio A.; Fernandez, Miriam] Pontificia Univ Catolica Chile, Estn Costera Invest Marinas, Santiago, Chile; [Baldanzi, Simone; Navarrete, Sergio A.; Fernandez, Miriam] Pontificia Univ Catolica Chile, Nucleo Milenio Ctr Conservac Marina, LINCGlobal, Santiago, Chile; [Storch, Daniela] Helmholtz Ctr Polar &amp; Marine Res, Alfred Wegener Inst, Integrat Ecophysiol, Handelshafen 12, D-27570 Bremerhaven, Germany; [Graeve, Martin] Helmholtz Ctr Polar &amp; Marine Res, Alfred Wegener Inst, Chem Ecol, Handelshafen 12, D-27570 Bremerhaven, Germany</t>
  </si>
  <si>
    <t>Pontificia Universidad Catolica de Chile; Pontificia Universidad Catolica de Chile; Helmholtz Association; Alfred Wegener Institute, Helmholtz Centre for Polar &amp; Marine Research; Helmholtz Association; Alfred Wegener Institute, Helmholtz Centre for Polar &amp; Marine Research</t>
  </si>
  <si>
    <t>Baldanzi, S (corresponding author), Pontificia Univ Catolica Chile, Estn Costera Invest Marinas, Santiago, Chile.;Baldanzi, S (corresponding author), Pontificia Univ Catolica Chile, Nucleo Milenio Ctr Conservac Marina, LINCGlobal, Santiago, Chile.</t>
  </si>
  <si>
    <t>baldanzi.simone@gmail.com</t>
  </si>
  <si>
    <t>Navarrete, Sergio A/D-4645-2013; Graeve, Martin/B-5751-2017</t>
  </si>
  <si>
    <t>Graeve, Martin/0000-0002-2294-1915; FERNANDEZ, MIRIAM/0000-0003-4273-5227; Baldanzi, Simone/0000-0002-7153-4734; Navarrete, Sergio Andres/0000-0003-4021-3863</t>
  </si>
  <si>
    <t>Comision Nacional de Investigacion Cientifica y Tecnologica (CONICYT); Fondo Nacional de Desarrollo Cientifico y Tecnologico (FONDECYT POSTDOCTORADO) [3150020]; Deutsche Forschungsgemeinschaft (DFG) [STO 857/2]; Alexander von Humboldt foundation</t>
  </si>
  <si>
    <t>Comision Nacional de Investigacion Cientifica y Tecnologica (CONICYT)(Comision Nacional de Investigacion Cientifica y Tecnologica (CONICYT)); Fondo Nacional de Desarrollo Cientifico y Tecnologico (FONDECYT POSTDOCTORADO); Deutsche Forschungsgemeinschaft (DFG)(German Research Foundation (DFG)); Alexander von Humboldt foundation(Alexander von Humboldt Foundation)</t>
  </si>
  <si>
    <t>This work was fully funded by Comision Nacional de Investigacion Cientifica y Tecnologica (CONICYT) and Fondo Nacional de Desarrollo Cientifico y Tecnologico (FONDECYT POSTDOCTORADO), Grant number 3150020 assigned to SB. This work was supported by the Deutsche Forschungsgemeinschaft (DFG) in the framework of the priority programme Antarctic research with comparative investigations in Arctic ice areas by a Grant STO 857/2 to D.S. and by the Alexander von Humboldt foundation in the framework of its alumni programme Research Group Linkage to D. S. and M. F.</t>
  </si>
  <si>
    <t>10.1007/s00227-018-3294-2</t>
  </si>
  <si>
    <t>FV1MJ</t>
  </si>
  <si>
    <t>WOS:000424326200015</t>
  </si>
  <si>
    <t>Landon-Lane, M</t>
  </si>
  <si>
    <t>Landon-Lane, Micah</t>
  </si>
  <si>
    <t>Corporate social responsibility in marine plastic debris governance</t>
  </si>
  <si>
    <t>Corporate social responsibility; Marine plastic debris; Oceans governance</t>
  </si>
  <si>
    <t>This paper explores the governance characteristics of marine plastic debris, some of the factors underpinning its severity, and examines the possibility of harnessing corporate social responsibility (CSR) to manage plastic use within the contextual attitudes of a contemporary global society. It argues that international and domestic law alone are insufficient to resolve the wicked problem of marine plastic debris, and investigates the potential of the private sector, through the philosophy of CSR, to assist in reducing the amount and impacts of marine plastic debris. To illustrate how CSR could minimise marine plastic pollution, an industry-targeted code of conduct was developed. Applying CSR would be most effective if implemented in conjunction with facilitating governance frameworks, such as supportive governmental regulation and non-governmental partnerships. This study maintains that management policies must be inclusive of all stakeholders if they are to match the scale and severity of the marine plastic debris issue.</t>
  </si>
  <si>
    <t>[Landon-Lane, Micah] Univ Tasmania, Inst Marine &amp; Antarctic Studies, 20 Castray Esplanade, Battery Point, Tas, Australia</t>
  </si>
  <si>
    <t>Landon-Lane, M (corresponding author), Univ Tasmania, Inst Marine &amp; Antarctic Studies, 20 Castray Esplanade, Battery Point, Tas, Australia.</t>
  </si>
  <si>
    <t>micah.landonlane@utas.edu.au</t>
  </si>
  <si>
    <t>Landon-Lane, Micah/0000-0002-8629-9490</t>
  </si>
  <si>
    <t>10.1016/j.marpolbul.2017.11.054</t>
  </si>
  <si>
    <t>FZ1JM</t>
  </si>
  <si>
    <t>WOS:000427332900035</t>
  </si>
  <si>
    <t>Wang, J; Li, CC; Yao, XH; Liu, SH; Zhang, PY; Chen, KS</t>
  </si>
  <si>
    <t>Wang, Jing; Li, Chengcheng; Yao, Xinghao; Liu, Shenghao; Zhang, Pengying; Chen, Kaoshan</t>
  </si>
  <si>
    <t>The Antarctic moss leucine-rich repeat receptor-like kinase (PnLRR-RLK2) functions in salinity and drought stress adaptation</t>
  </si>
  <si>
    <t>Maritime Antarctic; Extreme environment; Pohlia nutans; Leucine-rich repeat receptor-like kinase; Transgenic Arabidopsis; Abiotic stress</t>
  </si>
  <si>
    <t>SALT TOLERANCE; ARABIDOPSIS-THALIANA; ABIOTIC STRESS; GENE FAMILY; PLANT; EXPRESSION; PROTEINS; LIFE; INSIGHT; SYSTEM</t>
  </si>
  <si>
    <t>Salt, cold, and drought stress are the adverse environmental conditions in marine Antarctic that limited plant growth and distribution. Plant leucine-rich repeat receptor-like kinases (LRR-RLKs) play crucial roles in sensing external signals to regulate gene expression. However, only limited information is available on LRR-RLK functions in bryophytes. Here, a putative LRR-RLK gene, PnLRR-RLK2, was cloned and characterized from the Antarctic moss Pohlia nutans. Phylogenetic analysis showed that PnLRR-RLK2 belongs to the Arabidopsis thaliana LRR II subgroup and its expression was significantly induced by abiotic stresses. Subcellular localization analysis revealed that it was a plasma membrane protein. PnLRR-RLK2 heterologous expression in Arabidopsis increased the salinity, drought, H2O2, and abscisic acid (ABA) tolerance than that in wild-type plants. Furthermore, PnLRR-RLK2 overexpression increased the expression of salt stress/ABA-responsive genes in transgenic Arabidopsis germination seedlings. Taken together, these results suggested that PnLRR-RLK2 as a positive regulator conferred salt and drought stress response associated with the regulation of the antioxidative system and the ABA-mediated signaling network.</t>
  </si>
  <si>
    <t>[Wang, Jing; Li, Chengcheng; Yao, Xinghao; Zhang, Pengying; Chen, Kaoshan] Shandong Univ, Sch Life Sci, 27 Shanda South Rd, Jinan 250100, Shandong, Peoples R China; [Wang, Jing; Li, Chengcheng; Yao, Xinghao; Zhang, Pengying; Chen, Kaoshan] Shandong Univ, Natl Glycoengn Res Ctr, 27 Shanda South Rd, Jinan 250100, Shandong, Peoples R China; [Liu, Shenghao] State Ocean Adm, Marine Ecol Res Ctr, Inst Oceanog 1, Qingdao 266061, Peoples R China; [Zhang, Pengying] Shandong Prov Key Lab Carbohydrate Chem &amp; Glycobi, Jinan 250100, Shandong, Peoples R China</t>
  </si>
  <si>
    <t>Shandong University; Shandong University; First Institute of Oceanography, Ministry of Natural Resources</t>
  </si>
  <si>
    <t>Zhang, PY (corresponding author), Shandong Univ, Sch Life Sci, 27 Shanda South Rd, Jinan 250100, Shandong, Peoples R China.;Zhang, PY (corresponding author), Shandong Univ, Natl Glycoengn Res Ctr, 27 Shanda South Rd, Jinan 250100, Shandong, Peoples R China.;Zhang, PY (corresponding author), Shandong Prov Key Lab Carbohydrate Chem &amp; Glycobi, Jinan 250100, Shandong, Peoples R China.</t>
  </si>
  <si>
    <t>zhangpy80@sdu.edu.cn</t>
  </si>
  <si>
    <t>jing, wang/KCZ-2144-2024; Liu, Shenghao/ISU-3076-2023</t>
  </si>
  <si>
    <t>Liu, Shenghao/0000-0002-1449-3526</t>
  </si>
  <si>
    <t>National Natural Science Foundation of China [41206176, 41476174]; Basic Scientific Fund for National Public Research Institutes of China [2014T04]; Natural Science Foundation of Shandong Province [ZR2014DQ012]</t>
  </si>
  <si>
    <t>National Natural Science Foundation of China(National Natural Science Foundation of China (NSFC)); Basic Scientific Fund for National Public Research Institutes of China; Natural Science Foundation of Shandong Province(Natural Science Foundation of Shandong Province)</t>
  </si>
  <si>
    <t>This work was supported by the National Natural Science Foundation of China (41206176 and 41476174), Basic Scientific Fund for National Public Research Institutes of China (2014T04), and Natural Science Foundation of Shandong Province (ZR2014DQ012).</t>
  </si>
  <si>
    <t>10.1007/s00300-017-2195-z</t>
  </si>
  <si>
    <t>FV0UY</t>
  </si>
  <si>
    <t>WOS:000424276400013</t>
  </si>
  <si>
    <t>Good, P; Bamber, J; Halladay, K; Harper, AB; Jackson, LC; Kay, G; Kruijt, B; Lowe, JA; Phillips, OL; Ridley, J; Srokosz, M; Turley, C; Williamson, P</t>
  </si>
  <si>
    <t>Good, Peter; Bamber, Jonathan; Halladay, Kate; Harper, Anna B.; Jackson, Laura C.; Kay, Gillian; Kruijt, Bart; Lowe, Jason A.; Phillips, Oliver L.; Ridley, Jeff; Srokosz, Meric; Turley, Carol; Williamson, Phillip</t>
  </si>
  <si>
    <t>Recent progress in understanding climate thresholds: Ice sheets, the Atlantic meridional overturning circulation, tropical forests and responses to ocean acidification</t>
  </si>
  <si>
    <t>PROGRESS IN PHYSICAL GEOGRAPHY-EARTH AND ENVIRONMENT</t>
  </si>
  <si>
    <t>thresholds; Atlantic meridional overturning circulation; ice sheets; tropical forests; ocean acidification; climate change</t>
  </si>
  <si>
    <t>PINE ISLAND GLACIER; FIRE-VEGETATION FEEDBACKS; SEA-LEVEL RISE; MASS-LOSS; CORAL-REEFS; TEMPORAL VARIABILITY; EXPERIMENTAL DROUGHT; THERMAL-ACCLIMATION; TIPPING ELEMENTS; CARBON EMISSIONS</t>
  </si>
  <si>
    <t>This article reviews recent scientific progress, relating to four major systems that could exhibit threshold behaviour: ice sheets, the Atlantic meridional overturning circulation (AMOC), tropical forests and ecosystem responses to ocean acidification. The focus is on advances since the Intergovernmental Panel on Climate Change Fifth Assessment Report (IPCC AR5). The most significant developments in each component are identified by synthesizing input from multiple experts from each field. For ice sheets, some degree of irreversible loss (timescales of millennia) of part of the West Antarctic Ice Sheet (WAIS) may have already begun, but the rate and eventual magnitude of this irreversible loss is uncertain. The observed AMOC overturning has decreased from 2004-2014, but it is unclear at this stage whether this is forced or is internal variability. New evidence from experimental and natural droughts has given greater confidence that tropical forests are adversely affected by drought. The ecological and socio-economic impacts of ocean acidification are expected to greatly increase over the range from today's annual value of around 400, up to 650 ppm CO2 in the atmosphere (reached around 2070 under RCP8.5), with the rapid development of aragonite undersaturation at high latitudes affecting calcifying organisms. Tropical coral reefs are vulnerable to the interaction of ocean acidification and temperature rise, and the rapidity of those changes, with severe losses and risks to survival at 2 degrees C warming above pre-industrial levels. Across the four systems studied, however, quantitative evidence for a difference in risk between 1.5 and 2 degrees C warming above pre-industrial levels is limited.</t>
  </si>
  <si>
    <t>[Good, Peter; Halladay, Kate; Jackson, Laura C.; Kay, Gillian; Lowe, Jason A.; Ridley, Jeff] Met Off Hadley Ctr, Fitzroy Rd, Exeter EX1 3PB, Devon, England; [Bamber, Jonathan] Univ Bristol, Sch Geog Sci, Bristol, Avon, England; [Harper, Anna B.] Univ Exeter, Coll Engn Math &amp; Phys Sci, Exeter, Devon, England; [Kruijt, Bart] Wageningen Univ &amp; Res, Wageningen, Netherlands; [Lowe, Jason A.] Univ Leeds, Priestley Ctr, Leeds, W Yorkshire, England; [Phillips, Oliver L.] Univ Leeds, Sch Geog, Leeds, W Yorkshire, England; [Srokosz, Meric] Univ Southampton, Natl Oceanog Ctr, Waterfront Campus, Southampton, Hants, England; [Turley, Carol] Plymouth Marine Lab, Prospect Pl, Plymouth, Devon, England; [Williamson, Phillip] Univ East Anglia, Sch Environm Sci, Norwich, Norfolk, England</t>
  </si>
  <si>
    <t>Met Office - UK; Hadley Centre; University of Bristol; University of Exeter; Wageningen University &amp; Research; University of Leeds; University of Leeds; NERC National Oceanography Centre; University of Southampton; Plymouth Marine Laboratory; University of East Anglia</t>
  </si>
  <si>
    <t>Good, P (corresponding author), Met Off Hadley Ctr, Fitzroy Rd, Exeter EX1 3PB, Devon, England.</t>
  </si>
  <si>
    <t>peter.good@metoffice.gov.uk</t>
  </si>
  <si>
    <t>Lowe, Jason/GQI-4036-2022; Phillips, Oliver L./A-1523-2011; Bamber, Jonathan/C-7608-2011; Harper, Anna/A-4351-2013</t>
  </si>
  <si>
    <t>Phillips, Oliver L./0000-0002-8993-6168; Bamber, Jonathan/0000-0002-2280-2819; Kruijt, Bart/0000-0002-6186-1731; Harper, Anna/0000-0001-7294-6039; Williamson, Phillip/0000-0003-4149-5110</t>
  </si>
  <si>
    <t>Joint UK BEIS/Defra Met Office Hadley Centre Climate Programme [GA01101]; NERC RAPID-AMOC programme; European Research Council Advanced Grant; UK Ocean Acidification research programme - NERC; Defra; DECC; European Union's Seventh Framework Programme AMAZALERT project [282664]; NERC [NE/K016016/1]; Joint Weather and Climate Research Programme (JWCRP); Natural Environment Research Council; NERC [pml010005, NE/N01250X/1, NE/N012542/1, NE/I02982X/1, NE/P006698/1, NE/D01025X/1, pml010009] Funding Source: UKRI; Natural Environment Research Council [NE/N012542/1, pml010009, NE/B503384/1, NE/D01025X/1, NE/B504630/1, noc010012, NE/P006698/1, NE/I02982X/1, pml010005, NE/N01250X/1] Funding Source: researchfish</t>
  </si>
  <si>
    <t>Joint UK BEIS/Defra Met Office Hadley Centre Climate Programme; NERC RAPID-AMOC programme(UK Research &amp; Innovation (UKRI)Natural Environment Research Council (NERC)); European Research Council Advanced Grant(European Research Council (ERC)); UK Ocean Acidification research programme - NERC; Defra(Department for Environment, Food &amp; Rural Affairs (DEFRA)); DECC; European Union's Seventh Framework Programme AMAZALERT project(European Union (EU)); NERC(UK Research &amp; Innovation (UKRI)Natural Environment Research Council (NERC)); Joint Weather and Climate Research Programme (JWCRP); Natural Environment Research Council(UK Research &amp; Innovation (UKRI)Natural Environment Research Council (NERC)); NERC(UK Research &amp; Innovation (UKRI)Natural Environment Research Council (NERC)); Natural Environment Research Council(UK Research &amp; Innovation (UKRI)Natural Environment Research Council (NERC))</t>
  </si>
  <si>
    <t>The authors disclosed receipt of the following financial support for the research, authorship, and/or publication of this article: This work was supported by the Joint UK BEIS/Defra Met Office Hadley Centre Climate Programme (GA01101). MAS was funded by the NERC RAPID-AMOC programme. OLP was supported by the European Research Council Advanced Grant, 'Tropical Forests in the Changing Earth System'. PW and CT were supported by the UK Ocean Acidification research programme funded by NERC, Defra and DECC. BK, KH and GK were funded by European Union's Seventh Framework Programme AMAZALERT project (282664). AH was funded under NERC grant NE/K016016/1: Process-based Emergent Constraints on Global Physical and Biogeochemical Feedbacks and by the Joint Weather and Climate Research Programme (JWCRP). Data from the RAPID-WATCH MOC monitoring project are funded by the Natural Environment Research Council and are freely available from http://www.rapid.ac.uk/rapidmoc.</t>
  </si>
  <si>
    <t>0309-1333</t>
  </si>
  <si>
    <t>1477-0296</t>
  </si>
  <si>
    <t>PROG PHYS GEOG</t>
  </si>
  <si>
    <t>Prog. Phys. Geogr.</t>
  </si>
  <si>
    <t>10.1177/0309133317751843</t>
  </si>
  <si>
    <t>FV6CE</t>
  </si>
  <si>
    <t>Green Submitted, Green Accepted, Bronze</t>
  </si>
  <si>
    <t>WOS:000424668100002</t>
  </si>
  <si>
    <t>Malz, P; Meier, W; Casassa, G; Jaña, R; Skvarca, P; Braun, MH</t>
  </si>
  <si>
    <t>Malz, Philipp; Meier, Wolfgang; Casassa, Gino; Jana, Ricardo; Skvarca, Pedro; Braun, Matthias H.</t>
  </si>
  <si>
    <t>Elevation and Mass Changes of the Southern Patagonia Icefield Derived from TanDEM-X and SRTM Data</t>
  </si>
  <si>
    <t>glacier elevation change; geodectic mass balance; InSAR; Patagonia; SPI</t>
  </si>
  <si>
    <t>GLACIAR PERITO MORENO; OUTLET GLACIERS; ICE-ELEVATION; LOSS RATES; PIO XI; INVENTORY; SATELLITE; AMERICA; NORWAY; REGION</t>
  </si>
  <si>
    <t>The contribution to sea level rise from Patagonian icefields is one of the largest mass losses outside the large ice sheets of Antarctica and Greenland. However, only a few studies have provided large-scale assessments in a spatially detailed way to address the reaction of individual glaciers in Patagonia and hence to better understand and explain the underlying processes. In this work, we use repeat radar interferometric measurements of the German TerraSAR-X-Add-on for Digital Elevation Measurements (TanDEM-X) satellite constellation between 2011/12 and 2016 together with the digital elevation model from the Shuttle Radar Topography Mission (SRTM) in 2000 in order to derive surface elevation and mass changes of the Southern Patagonia Icefield (SPI). Our results reveal a mass loss rate of -11.84 +/- 3.3 Gta(-1) (corresponding to 0.033 +/- 0.009 mma(-1) sea level rise) for an area of 12573 km(2) in the period 2000-2015/16. This equals a specific glacier mass balance of -0.941 +/- 0.19 m w.e.a(-1) for the whole SPI. These values are comparable with previous estimates since the 1970s, but a magnitude larger than mass change rates reported since the Little Ice Age. The spatial pattern reveals that not all glaciers respond similarly to changes and that various factors need to be considered in order to explain the observed changes. Our multi-temporal coverage of the southern part of the SPI (south of 50.3 degrees S) shows that the mean elevation change rates do not vary significantly over time below the equilibrium line. However, we see indications for more positive mass balances due to possible precipitation increase in 2014 and 2015. We conclude that bi-static radar interferometry is a suitable tool to accurately measure glacier volume and mass changes in frequently cloudy regions. We recommend regular repeat TanDEM-X acquisitions to be scheduled for the maximum summer melt extent in order to minimize the effects of radar signal penetration and to increase product quality.</t>
  </si>
  <si>
    <t>[Malz, Philipp; Meier, Wolfgang; Braun, Matthias H.] Friedrich Alexander Univ Erlangen Nurnberg, Inst Geog, Wetterkreuz 15, D-91058 Erlangen, Germany; [Casassa, Gino] Geoestudios, Casilla 123 Puente Alto, Santiago, Chile; [Casassa, Gino] Univ Magallanes, CIGA, Casilla 113, Punta Arenas, Chile; [Jana, Ricardo] Chilean Antarctic Inst, Dept Sci, Punta Arenas, Chile; [Skvarca, Pedro] Glaciarium, RA-9405 El Calafate, Argentina</t>
  </si>
  <si>
    <t>University of Erlangen Nuremberg; Universidad de Magallanes</t>
  </si>
  <si>
    <t>Malz, P (corresponding author), Friedrich Alexander Univ Erlangen Nurnberg, Inst Geog, Wetterkreuz 15, D-91058 Erlangen, Germany.</t>
  </si>
  <si>
    <t>Philipp.Malz@fau.de; Wolfgang.jh.meier@fau.de; gino.casassa@gmail.com; rjana@inach.cl; pedroskvarca@gmail.com; matthias.h.braun@fau.de</t>
  </si>
  <si>
    <t>Jaña, Ricardo/AAR-1225-2020; Braun, Matthias H/S-4693-2016; Casassa, Gino/AAX-6142-2020; Braun, Matthias/A-4968-2009</t>
  </si>
  <si>
    <t>Jaña, Ricardo/0000-0003-3319-1168; Braun, Matthias/0000-0001-5169-1567; Meier, Wolfgang/0000-0002-3167-7570</t>
  </si>
  <si>
    <t>German Ministry of Science and Education (BMBF) [01 DN 15020]; German Research Foundation (DFG) [1889, BR 2105/14-1]; DLR/BMWi project TanDEM-ICE [50 EE 1414]</t>
  </si>
  <si>
    <t>German Ministry of Science and Education (BMBF)(Federal Ministry of Education &amp; Research (BMBF)); German Research Foundation (DFG)(German Research Foundation (DFG)); DLR/BMWi project TanDEM-ICE</t>
  </si>
  <si>
    <t>This study was financially supported by the German Ministry of Science and Education (BMBF) under contract 01 DN 15020 as well as the German Research Foundation (DFG) in the Priority Program 1889 Regional Sea Level Change and Society in the project SATELLITE (BR 2105/14-1). Methodological developments and coding for TanDEM-X data processing have been done under DLR/BMWi project TanDEM-ICE (50 EE 1414) and the HGF-EDA Alliance Remote Sensing and Earth System Dynamics. The authors would like to thank the German Aerospace Center for providing TanDEM-X data free of charge under AO XTI_GLAC0264. Landsat data was kindly provided via USGS Earth Explorer.</t>
  </si>
  <si>
    <t>10.3390/rs10020188</t>
  </si>
  <si>
    <t>FZ4DT</t>
  </si>
  <si>
    <t>WOS:000427542100035</t>
  </si>
  <si>
    <t>Zhong, YF; Huang, R; Zhao, J; Zhao, B; Liu, TT</t>
  </si>
  <si>
    <t>Zhong, Yanfei; Huang, Rui; Zhao, Ji; Zhao, Bei; Liu, Tingting</t>
  </si>
  <si>
    <t>Aurora Image Classification Based on Multi-Feature Latent Dirichlet Allocation</t>
  </si>
  <si>
    <t>aurora image classification; multiple features; 1-D histogram; latent Dirichlet allocation (LDA); probabilistic topic model (PTM)</t>
  </si>
  <si>
    <t>Due to the rich physical meaning of aurora morphology, the classification of aurora images is an important task for polar scientific expeditions. However, the traditional classification methods do not make full use of the different features of aurora images, and the dimension of the description features is usually so high that it reduces the efficiency. In this paper, through combining multiple features extracted from aurora images, an aurora image classification method based on multi-feature latent Dirichlet allocation (AI-MFLDA) is proposed. Different types of features, whether local or global, discrete or continuous, can be integrated after being transformed to one-dimensional (1-D) histograms, and the dimension of the description features can be reduced due to using only a few topics to represent the aurora images. In the experiments, according to the classification system provided by the Polar Research Institute of China, a four-class aurora image dataset was tested and three types of features (MeanStd, scale-invariant feature transform (SIFT), and shape-based invariant texture index (SITI)) were utilized. The experimental results showed that, compared to the traditional methods, the proposed AI-MFLDA is able to achieve a better performance with 98.2% average classification accuracy while maintaining a low feature dimension.</t>
  </si>
  <si>
    <t>[Zhong, Yanfei; Huang, Rui; Zhao, Bei] Wuhan Univ, State Key Lab Informat Engn Surveying Mapping &amp; R, Wuhan 430079, Hubei, Peoples R China; [Zhao, Ji] China Univ Geosci, Sch Comp Sci, Wuhan 430074, Hubei, Peoples R China; [Liu, Tingting] Wuhan Univ, Chinese Antarctic Ctr Surveying &amp; Mapping, Wuhan 430079, Hubei, Peoples R China</t>
  </si>
  <si>
    <t>Wuhan University; China University of Geosciences; Wuhan University</t>
  </si>
  <si>
    <t>Zhong, YF; Huang, R (corresponding author), Wuhan Univ, State Key Lab Informat Engn Surveying Mapping &amp; R, Wuhan 430079, Hubei, Peoples R China.;Liu, TT (corresponding author), Wuhan Univ, Chinese Antarctic Ctr Surveying &amp; Mapping, Wuhan 430079, Hubei, Peoples R China.</t>
  </si>
  <si>
    <t>zhongyanfei@whu.edu.cn; rs-huangrui@whu.edu.cn; zhaoji2015@gmail.com; zhaoys@whu.edu.cn; ttliu23@whu.edu.cn</t>
  </si>
  <si>
    <t>Liu, Tingting/HCH-2239-2022</t>
  </si>
  <si>
    <t>Zhong, Yanfei/0000-0001-9446-5850; Zhao, Ji/0000-0001-9039-2789</t>
  </si>
  <si>
    <t>National Natural Science Foundation of China [4177138, 41622107]; National Key Research and Development Program of China [2017YFB0504202]; Natural Science Foundation of Hubei Province in China [2016CFA029]</t>
  </si>
  <si>
    <t>National Natural Science Foundation of China(National Natural Science Foundation of China (NSFC)); National Key Research and Development Program of China; Natural Science Foundation of Hubei Province in China(Natural Science Foundation of Hubei Province)</t>
  </si>
  <si>
    <t>We thank Zejun Hu from Polar Research Institute of China to provide the datasets. This work was supported by National Natural Science Foundation of China under Grant Nos. 41771385 and 41622107, National Key Research and Development Program of China under Grant No. 2017YFB0504202, and Natural Science Foundation of Hubei Province in China under Grant No. 2016CFA029.</t>
  </si>
  <si>
    <t>10.3390/rs10020233</t>
  </si>
  <si>
    <t>WOS:000427542100079</t>
  </si>
  <si>
    <t>Szopinska, M; Szuminska, D; Bialik, RJ; Chmiel, S; Plenzler, J; Polkowska, Z</t>
  </si>
  <si>
    <t>Szopinska, Malgorzata; Szuminska, Danuta; Bialik, Robert Jozef; Chmiel, Stanislaw; Plenzler, Joanna; Polkowska, Zaneta</t>
  </si>
  <si>
    <t>Impact of a newly-formed periglacial environment and other factors on fresh water chemistry at the western shore of Admiralty Bay in the summer of 2016 (King George Island, Maritime Antarctica)</t>
  </si>
  <si>
    <t>Freshwater chemistry; Permafrost; Multivariate data analysis; Admiralty Bay; Antarctica</t>
  </si>
  <si>
    <t>SOUTH SHETLAND ISLANDS; TRACE-ELEMENT CONTAMINATION; ICE-FREE AREA; SURFACE WATERS; BARANOWSKI GLACIER; FILDES PENINSULA; CLIMATE; GEOCHEMISTRY; ECOSYSTEMS; TRANSPORT</t>
  </si>
  <si>
    <t>This study provides a comprehensive analysis of the inorganic chemistry of flowingwater at thewestern shore of Admiralty Bay. In the water samples, ions, andmajor and trace metals (and B) were detected and quantified. Additionally, the parameters of pH, specific electrolytic conductivity (SEC25) and total organic carbon (TOC) were determined. Moreover, multivariate data set was created and Principal Component Analysis (PCA) was performed. Generally, the water has lowtotal content of the measured mineral constituents &lt; 100mg L-1. PCA analysis we distinguished two groups of chemical variables shaping water chemistry in the investigated creeks: I components of marine aerosol origin (presence of Na+, Cl-and B) and II-those associated with chemical weathering processes (presence of Al and Fe). Furthermore, the results showed that the flowing water in the newly-formed periglacial areas (formed over the last 30 years) are rich in easily soluble Al and Fe and have lower total measured contents of mineral constituents during the summer period than creeks in non-glacial catchments. Permafrost influence on water chemistry is difficult to identify. The rather insignificant difference between TOC concentrations in waters during summer indicates that permafrost is not a store of organic matter in the studied area. Moreover, local biological factors (lichens and mosses) and those limited to the sea-shore vicinity (seabirds and mammals activity) are significant sources of PO43-, NO3-, and NH4+. Despite the described geological and biological features influencing water chemistry, the impact of anthropogenic activity still needs to be verified, especially in terms of heavy metal concentrations. (C) 2017 Elsevier B.V. All rights reserved.</t>
  </si>
  <si>
    <t>[Szopinska, Malgorzata; Polkowska, Zaneta] Gdansk Univ Technol, Fac Chem, Dept Analyt Chem, 11-12 Narutowicza St, PL-80233 Gdansk, Poland; [Szuminska, Danuta] Kazimierz Wielki Univ, Inst Geog, 15 Minska St, PL-85428 Bydgoszcz, Poland; [Bialik, Robert Jozef; Plenzler, Joanna] Polish Acad Sci, Inst Biochem &amp; Biophys, Pawinskiego 5A, PL-02106 Warsaw, Poland; [Chmiel, Stanislaw] Marie Curie Sklodowska Univ, Fac Earth Sci &amp; Spatial Management, 2 Cd Krasnicka St, PL-20718 Lublin, Poland</t>
  </si>
  <si>
    <t>Fahrenheit Universities; Gdansk University of Technology; Kazimierz Wielki University; Polish Academy of Sciences; Institute of Biochemistry &amp; Biophysics - Polish Academy of Sciences; Maria Curie-Sklodowska University</t>
  </si>
  <si>
    <t>Polkowska, Z (corresponding author), Gdansk Univ Technol, Fac Chem, Dept Analyt Chem, 11-12 Narutowicza St, PL-80233 Gdansk, Poland.</t>
  </si>
  <si>
    <t>zanpolko@pg.gda.pl</t>
  </si>
  <si>
    <t>Szopińska, Małgorzata/AAX-9597-2021; Polkowska, Zaneta/AAA-3578-2020; Szumińska, Danuta/AAM-5133-2020</t>
  </si>
  <si>
    <t>Szopińska, Małgorzata/0000-0003-2186-7781; Szumińska, Danuta/0000-0001-7142-9080; Plenzler, Joanna/0000-0002-0566-0062; Polkowska, Zaneta/0000-0002-2730-0068; Bialik, Robert/0000-0002-0254-6352</t>
  </si>
  <si>
    <t>Kazimierz Wielki University in Bydgoszcz [BS2016/5]</t>
  </si>
  <si>
    <t>Kazimierz Wielki University in Bydgoszcz</t>
  </si>
  <si>
    <t>Thisworkwas carried out as part of an agreement between the Institute of Biochemistry and Biophysics, Polish Academy of Science (IBB, PAS), and Gdansk University of Technology. The data used in the paper were collected at the Henryk Arctowski Polish Antarctic Station. The authors would like to thank the staff of the station for their assistance and companionship during fieldworks in 2015-2016. The study was also supported by grant No BS2016/5 Transformation of river systems as a result of natural and anthropogenic factors financed at Kazimierz Wielki University in Bydgoszcz.</t>
  </si>
  <si>
    <t>10.1016/j.scitotenv.2017.09.060</t>
  </si>
  <si>
    <t>FL3XT</t>
  </si>
  <si>
    <t>WOS:000414160500065</t>
  </si>
  <si>
    <t>Pattyn, N; Van Puyvelde, M; Fernandez-Tellez, H; Roelands, B; Mairesse, O</t>
  </si>
  <si>
    <t>Pattyn, Nathalie; Van Puyvelde, Martine; Fernandez-Tellez, Helio; Roelands, Bart; Mairesse, Olivier</t>
  </si>
  <si>
    <t>From the midnight sun to the longest night: Sleep in Antarctica</t>
  </si>
  <si>
    <t>SLEEP MEDICINE REVIEWS</t>
  </si>
  <si>
    <t>Polysomnography; Actigraphy; Polar; Insomnia; Antarctica; Photoperiod</t>
  </si>
  <si>
    <t>HUMAN CIRCADIAN-RHYTHMS; SEASONAL-VARIATIONS; DEGREES NORTH; TERM CHANGES; MELATONIN; ACTIGRAPHY; PATTERNS; LIGHT; POLYSOMNOGRAPHY; PERFORMANCE</t>
  </si>
  <si>
    <t>Sleep disturbances are the main health complaints from personnel deployed in Antarctica. The current paper presents a systematic review of research findings on sleep disturbances in Antarctica. The available sources were divided in three categories: results based on questionnaire surveys or sleep logs, studies using actigraphy, and data from polysomnography results. Other areas relevant to the issue were also examined. These included chronobiology, since the changes in photoperiod have been known to affect circadian rhythms, mood disturbances, exercise, sleep and hypoxia, countermeasure investigations in Antarctica, and other locations lacking a normal photoperiod. Based on the combination of our reviewed sources and data outside the field of sleep studies, or from other geographical locations, we defined hypotheses to be confirmed or infirmed, which allowed to summarize a research agenda. Despite the scarcity of sleep research on the Antarctic continent, the present review pinpointed some consistent changes in sleep during the Antarctic winter, the common denominators being a circadian phase delay, poor subjective sleep quality, an increased sleep fragmentation, as well as a decrease in slow wave sleep. Similar changes, albeit less pronounced, were observed during summer. Additional multidisciplinary research is needed to elucidate the mechanisms behind these changes in sleep architecture, and to investigate interventions to improve the sleep quality of the men and women deployed in the Antarctic. (c) 2017 Elsevier Ltd. All rights reserved.</t>
  </si>
  <si>
    <t>[Pattyn, Nathalie; Van Puyvelde, Martine; Fernandez-Tellez, Helio; Mairesse, Olivier] Royal Mil Acad, Vital Signs &amp; Performance Res Unit, Brussels, Belgium; [Pattyn, Nathalie; Fernandez-Tellez, Helio; Roelands, Bart; Mairesse, Olivier] Vrije Univ Brussel, Sch Exercise Sci, Human Physiol Dept, Brussels, Belgium; [Pattyn, Nathalie] Vrije Univ Brussel, Expt &amp; Appl Psychol, Brussels, Belgium; [Pattyn, Nathalie] British Antarctic Survey, Derriford Hosp, Med Unit, Plymouth, Devon, England; [Mairesse, Olivier] Free Univ Brussels, Brugmann Univ Hosp, Sleep Lab, Brussels, Belgium; [Mairesse, Olivier] Free Univ Brussels, Brugmann Univ Hosp, Unit Chronobiol, Brussels, Belgium</t>
  </si>
  <si>
    <t>Vrije Universiteit Brussel; Vrije Universiteit Brussel; UK Research &amp; Innovation (UKRI); Natural Environment Research Council (NERC); NERC British Antarctic Survey; Derriford Hospital; Universite Libre de Bruxelles; Universite Libre de Bruxelles</t>
  </si>
  <si>
    <t>Pattyn, N (corresponding author), Royal Mil Acad, VIPER Res Unit, Renaissancelaan 30, B-1000 Brussels, Belgium.</t>
  </si>
  <si>
    <t>nathalie.pattyn@mil.be</t>
  </si>
  <si>
    <t>Van Puyvelde, Martine/AAG-7610-2020; Mairesse, Olivier/AAM-6427-2020; Roelands, Bart/E-2337-2011</t>
  </si>
  <si>
    <t>Roelands, Bart/0000-0002-2808-044X; Mairesse, Olivier/0000-0001-8428-1185; Pattyn, Nathalie/0000-0002-2690-5479; Van Puyvelde, Martine/0000-0002-6595-7597</t>
  </si>
  <si>
    <t>British Antarctic Survey Medical Unit; Belgian DoD [HFM1202]; NERC [bas010011] Funding Source: UKRI</t>
  </si>
  <si>
    <t>British Antarctic Survey Medical Unit; Belgian DoD; NERC(UK Research &amp; Innovation (UKRI)Natural Environment Research Council (NERC))</t>
  </si>
  <si>
    <t>The redaction of this manuscript was made possible by the support of the British Antarctic Survey Medical Unit and by the Belgian DoD grant HFM1202. The authors wish to thank the anonymous reviewers for their thorough work, which allowed for substantial improvement of the manuscript.</t>
  </si>
  <si>
    <t>W B SAUNDERS CO LTD</t>
  </si>
  <si>
    <t>32 JAMESTOWN RD, LONDON NW1 7BY, ENGLAND</t>
  </si>
  <si>
    <t>1087-0792</t>
  </si>
  <si>
    <t>1532-2955</t>
  </si>
  <si>
    <t>SLEEP MED REV</t>
  </si>
  <si>
    <t>Sleep Med. Rev.</t>
  </si>
  <si>
    <t>10.1016/j.smrv.2017.03.001</t>
  </si>
  <si>
    <t>Clinical Neurology; Neurosciences</t>
  </si>
  <si>
    <t>Neurosciences &amp; Neurology</t>
  </si>
  <si>
    <t>FR0LT</t>
  </si>
  <si>
    <t>WOS:000418753700017</t>
  </si>
  <si>
    <t>Kun, E; Biermann, PL; Britzen, S; Gergely, LA</t>
  </si>
  <si>
    <t>Kun, Emma; Biermann, Peter L.; Britzen, Silke; Gergely, Laszlo A.</t>
  </si>
  <si>
    <t>On the High-Energy Neutrino Emission from Active Galactic Nuclei</t>
  </si>
  <si>
    <t>UNIVERSE</t>
  </si>
  <si>
    <t>supermassive black holes; gravitational waves; high-energy neutrino emission; active galactic nuclei; relativistic jets</t>
  </si>
  <si>
    <t>BINARY BLACK-HOLE; COMPACT OBJECTS; POINT-SOURCE; COSMIC-RAYS; RADIO; MODEL; SPIN; EVOLUTION; GALAXIES; SYSTEMS</t>
  </si>
  <si>
    <t>We review observational aspects of the active galactic nuclei and their jets in connection with the detection of high-energy neutrinos by the Antarctic IceCube Neutrino Observatory. We propose that a reoriented jet generated by the spin-flipping supermassive black hole in a binary merger is likely the source of such high-energy neutrinos. Hence they encode important information on the afterlife of coalescing supermassive black hole binaries. As the gravitational radiation emanating from them will be monitored by the future LISA space mission, high-energy neutrino detections could be considered a contributor to multi-messenger astronomy.</t>
  </si>
  <si>
    <t>[Kun, Emma; Gergely, Laszlo A.] Univ Szeged, Inst Phys, Dom Ter 9, H-6720 Szeged, Hungary; [Biermann, Peter L.; Britzen, Silke] Max Planck Inst Radioastron, Hugel 69, D-53121 Bonn, Germany; [Biermann, Peter L.] Karlsruhe Inst Technol, Dept Phys, POB 3640, D-76021 Karlsruhe, Germany; [Biermann, Peter L.] Univ Alabama, Dept Phys &amp; Astron, Tuscaloosa, AL 35487 USA; [Biermann, Peter L.] Univ Bonn, Dept Phys &amp; Astron, Regina Pacis Weg 3, D-53113 Bonn, Germany</t>
  </si>
  <si>
    <t>Szeged University; Max Planck Society; Helmholtz Association; Karlsruhe Institute of Technology; University of Alabama System; University of Alabama Tuscaloosa; University of Bonn</t>
  </si>
  <si>
    <t>Kun, E (corresponding author), Univ Szeged, Inst Phys, Dom Ter 9, H-6720 Szeged, Hungary.</t>
  </si>
  <si>
    <t>kun@titan.physx.u-szeged.hu; plbiermann@mpifr-bonn.mpg.de; sbritzen@mpifr-bonn.mpg.de; gergely@physx.u-szeged.hu</t>
  </si>
  <si>
    <t>Kun, Emma/C-2602-2015; Gergely, László Árpád/X-7693-2018; Gergely, László Árpád/JCO-2832-2023; Kun, Emma/AAJ-6527-2020</t>
  </si>
  <si>
    <t>Kun, Emma/0000-0003-2769-3591; Gergely, László Árpád/0000-0003-3146-6201; Biermann, Peter/0000-0003-3948-6143</t>
  </si>
  <si>
    <t>Hungarian National Research, Development and Innovation Office (NKFI) [123996]; European Union; European Social Fund [EFOP-3.6.2-16-2017-00005]</t>
  </si>
  <si>
    <t>Hungarian National Research, Development and Innovation Office (NKFI)(National Research, Development &amp; Innovation Office (NRDIO) - Hungary); European Union(European Union (EU)); European Social Fund(European Social Fund (ESF))</t>
  </si>
  <si>
    <t>E.K. and L.A.G. acknowledge the support of the Hungarian National Research, Development and Innovation Office (NKFI) in the form of the grant 123996. The project has been supported by the European Union, co-financed by the European Social Fund. EFOP-3.6.2-16-2017-00005.</t>
  </si>
  <si>
    <t>2218-1997</t>
  </si>
  <si>
    <t>UNIVERSE-BASEL</t>
  </si>
  <si>
    <t>Universe</t>
  </si>
  <si>
    <t>10.3390/universe4020024</t>
  </si>
  <si>
    <t>Astronomy &amp; Astrophysics; Physics, Particles &amp; Fields</t>
  </si>
  <si>
    <t>Astronomy &amp; Astrophysics; Physics</t>
  </si>
  <si>
    <t>FZ4EL</t>
  </si>
  <si>
    <t>WOS:000427543900005</t>
  </si>
  <si>
    <t>Vaux, F; Hills, SFK; Marshall, BA; Trewick, SA; Morgan-Richards, M</t>
  </si>
  <si>
    <t>Vaux, Felix; Hills, Simon F. K.; Marshall, Bruce A.; Trewick, Steve A.; Morgan-Richards, Mary</t>
  </si>
  <si>
    <t>Genome statistics and phylogenetic reconstructions for Southern Hemisphere whelks (Gastropoda: Buccinulidae)</t>
  </si>
  <si>
    <t>NEOGASTROPODA</t>
  </si>
  <si>
    <t>This data article provides genome statistics, phylogenetic networks and trees for a phylogenetic study of Southern Hemisphere Buccinulidae marine snails [1]. We present alternative phylogenetic reconstructions using mitochondrial genomic and 45S nuclear ribosomal cassette DNA sequence data, as well as trees based on short-length DNA sequence data. We also investigate the proportion of variable sites per sequence length for a set of mitochondrial and nuclear ribosomal genes, in order to examine the phylogenetic information provided by different DNA markers. Sequence alignment files used for phylogenetic reconstructions in the main text and this article are provided here. (C) 2017 The Authors. Published by Elsevier Inc.</t>
  </si>
  <si>
    <t>[Vaux, Felix; Hills, Simon F. K.; Trewick, Steve A.; Morgan-Richards, Mary] Massey Univ, Ecol Grp, Inst Agr &amp; Environm, Palmerston North, New Zealand; [Marshall, Bruce A.] Museum New Zealand Te Papa Tongarewa, Wellington, New Zealand</t>
  </si>
  <si>
    <t>Massey University</t>
  </si>
  <si>
    <t>Vaux, F (corresponding author), Massey Univ, Ecol Grp, Inst Agr &amp; Environm, Palmerston North, New Zealand.</t>
  </si>
  <si>
    <t>felixvaux.evolution@gmail.com</t>
  </si>
  <si>
    <t>Vaux, Felix/V-6883-2019; Hills, Simon F K/L-3244-2016</t>
  </si>
  <si>
    <t>Vaux, Felix/0000-0002-2882-7996; Hills, Simon F K/0000-0002-9115-0375; Trewick, Steven/0000-0002-4680-8457</t>
  </si>
  <si>
    <t>Royal Society of New Zealand Te Aparangi Marsden Fund [12-MAU-008]; Ministry of Business, Innovation and Employment Te Tipu Putaiao Postdoctoral Fellowship [CONT-22922-TTP-MAU]; Department Of Conservation Taxonomic and Threat Status Information fund [RIF 4718]; New Zealand Government under the New Zealand International Polar Year Census of Antarctic Marine Life Project [IPY2007-01, So001IPY, TAN0802]; [TAN0402]</t>
  </si>
  <si>
    <t>Royal Society of New Zealand Te Aparangi Marsden Fund(Royal Society of New Zealand); Ministry of Business, Innovation and Employment Te Tipu Putaiao Postdoctoral Fellowship(New Zealand Ministry of Business, Innovation and Employment (MBIE)); Department Of Conservation Taxonomic and Threat Status Information fund; New Zealand Government under the New Zealand International Polar Year Census of Antarctic Marine Life Project;</t>
  </si>
  <si>
    <t>This work was supported by the Royal Society of New Zealand Te Aparangi Marsden Fund grant (12-MAU-008), a Ministry of Business, Innovation and Employment Te Tipu Putaiao Postdoctoral Fellowship (CONT-22922-TTP-MAU), and a funding contribution from the Department Of Conservation Taxonomic and Threat Status Information fund (RIF 4718).; This work includes samples collected as part of two Antarctic survey projects: TAN0402: A biodiversity survey financed by the former New Zealand Ministry of Fisheries.; TAN0802: Funded by the New Zealand Government under the New Zealand International Polar Year Census of Antarctic Marine Life Project (Phase 1: So001IPY; Phase 2; IPY2007-01).</t>
  </si>
  <si>
    <t>10.1016/j.dib.2017.11.021</t>
  </si>
  <si>
    <t>GZ8QU</t>
  </si>
  <si>
    <t>WOS:000449758500029</t>
  </si>
  <si>
    <t>Guggolz, T; Lins, L; Meissner, K; Brandt, A</t>
  </si>
  <si>
    <t>Guggolz, Theresa; Lins, Lidia; Meissner, Karin; Brandt, Angelika</t>
  </si>
  <si>
    <t>Biodiversity and distribution of polynoid and spionid polychaetes (Annelida) in the Vema Fracture Zone, tropical North Atlantic</t>
  </si>
  <si>
    <t>Atlantic Ocean; Mid-Atlantic Ridge; Polynoidae; Spionidae; Barrier effect</t>
  </si>
  <si>
    <t>ANTARCTIC BOTTOM WATER; DEEP-SEA; SPECIES-DIVERSITY; POPULATION-STRUCTURE; LAONICE POLYCHAETA; PATTERNS; RIDGE; COMMUNITIES; OCEAN; REPRODUCTION</t>
  </si>
  <si>
    <t>During the Vema-TRANSIT (Bathymetry of the Vema-Fracture Zone and Puerto Rico TRench and Abyssal AtlaNtic BiodiverSITy Study) expedition from December, 2014 to January, 2015, a transect along the Vema Fracture Zone in the equatorial Atlantic was surveyed and sampled at about 10 degrees N. The Vema Fracture Zone is one of the largest fracture zones of the Mid-Atlantic Ridge and it is characterized by a large left-lateral offset. Benthic communities of the transect and the abyssal basins on both sides were investigated to examine whether the Mid-Atlantic Ridge serves as a physical barrier for these organisms, or if there is a potential connection from east to west via the Vema Fracture Zone. Samples comprised 4149 polychaetes, belonging to 42 families. Exemplary, Polynoidae and Spionidae, both typical deep-sea families with high abundances in all investigated regions, were identified up to species level. The present results show significant differences in polychaete faunistic composition between both sides of the Mid-Atlantic Ridge. Moreover, the eastern and western Vema Fracture Zone characterizes divergent habitats, since the two basins differ in sedimentology and environmental variables (e.g. temperature, salinity), hence characterizing divergent habitats. Most species found were restricted to either eastern or western VFZ, but there was a trans-Mid-Atlantic Ridge distribution of certain abundant species observed, indicating that the Mid-Atlantic Ridge might rather act limiting to dispersal between ocean basins than as an absolute barrier. Given the abyssal valley formed by the Vema Fracture Zone and its role in oceanic currents, this seafloor feature may well represent exchange routes between eastern and western faunas.</t>
  </si>
  <si>
    <t>[Guggolz, Theresa; Brandt, Angelika] Univ Hamburg, Ctr Nat Hist, Zool Museum Hamburg, Martin Luther King Pl 3, D-20146 Hamburg, Germany; [Lins, Lidia] Univ Ghent, Marine Biol Dept, Krijgslaan 281-S8, B-9000 Ghent, Belgium; [Meissner, Karin] German Ctr Marine Biodivers Res, Senckenberg Res Inst &amp; Museums SFN, Martin Luther King Pl 3, D-20146 Hamburg, Germany; [Lins, Lidia; Brandt, Angelika] Senckenberg Nat Museum, Senckenberganlage 25, D-60325 Frankfurt, Germany</t>
  </si>
  <si>
    <t>University of Hamburg; Ghent University; Senckenberg Gesellschaft fur Naturforschung (SGN)</t>
  </si>
  <si>
    <t>Guggolz, T (corresponding author), Univ Hamburg, Ctr Nat Hist, Zool Museum Hamburg, Martin Luther King Pl 3, D-20146 Hamburg, Germany.</t>
  </si>
  <si>
    <t>Theresa.Guggolz@uni-hamburg.de</t>
  </si>
  <si>
    <t>Brandt, Angelika/C-1630-2018</t>
  </si>
  <si>
    <t>Bauer Foundation (Germany); PTJ (German Ministry for Science and Education) Grant [03G0227A]</t>
  </si>
  <si>
    <t>Bauer Foundation (Germany); PTJ (German Ministry for Science and Education) Grant</t>
  </si>
  <si>
    <t>The first author's work is supported by the Bauer Foundation (Germany). The Vema-TRANSIT Expedition was undertaken with financial support of the PTJ (German Ministry for Science and Education), Grant 03G0227A. Many thanks are owed to the crew of the RV Sonne for support during the Vema-TRANSIT Expedition. Special thanks to Lenka Neal from the Natural History Museum, London and Paulo Bonifacio for help with the identification of the Polynoidae. The comments of two anonymous reviewers helped to improve the manuscript.</t>
  </si>
  <si>
    <t>10.1016/j.dsr2.2017.07.013</t>
  </si>
  <si>
    <t>GG5VB</t>
  </si>
  <si>
    <t>WOS:000432762700006</t>
  </si>
  <si>
    <t>Han, S; Han, H; Lee, H</t>
  </si>
  <si>
    <t>Han, Soojeong; Han, Hyangsun; Lee, Hoonyol</t>
  </si>
  <si>
    <t>Grounding Line Change of Ronne Ice Shelf, West Antarctica, from 1996 to 2015 Observed by using DDInSAR</t>
  </si>
  <si>
    <t>Grounding line; DDInSAR; ERS-1/2; Sentinel-1A; 2004 MOA</t>
  </si>
  <si>
    <t>RADAR INTERFEROMETRY; SAR INTERFEROMETRY; LASER ALTIMETRY; GLACIERS</t>
  </si>
  <si>
    <t>Grounding line of a glacier or ice shelf where ice bottom meets the ocean is sensitive to changes in the polar environment. Recent rapid changes of grounding lines have been observed especially in southwestern Antarctica due to global warming. In this study, ERS-1/2 and Sentinel-1A Synthetic Aperture Radar (SAR) image were interferometrically acquired in 1996 and 2015, respectively, to monitor the movement of the grounding line in the western part of Ronne Ice Shelf near the Antarctic peninsula. Double-Differential Interferometric SAR (DDInSAR) technique was applied to remove gravitational flow signal to detect grounding line from the interferometric phase due to the vertical displacement of the tide. The result showed that ERS-1/2 grounding lines are almost consistent with those from Rignot et al. (2011) which used the similar dataset, confirming the credibility of the data processing. The comparison of ERS-1/2 and Sentinle-1A DDInSAR images showed a grounding line retreat of 1.0 +/- 0.1 km from 1996 to 2015. It is also proved that the grounding lines based on the 2004 MODIS Mosaic of Antarctica (MOA) images and digital elevation model searching for ice plain near coastal area (Scambos et al., 2017), is not accurate enough especially where there is a ice plain with no tidal motion.</t>
  </si>
  <si>
    <t>[Han, Soojeong; Lee, Hoonyol] Kangwon Natl Univ, Dept Geophys, Chunchon, South Korea; [Han, Hyangsun] Korea Polar Res Inst, Unit Arct Sea Ice Predict, Incheon, South Korea</t>
  </si>
  <si>
    <t>Kangwon National University; Korea Polar Research Institute (KOPRI)</t>
  </si>
  <si>
    <t>Lee, H (corresponding author), Kangwon Natl Univ, Dept Geophys, Chunchon, South Korea.</t>
  </si>
  <si>
    <t>National Research Foundation of Korea [NRF-2016R1D1A1A09916630]; Korea Polar Research Institute (KOPRI) [PE17340]</t>
  </si>
  <si>
    <t>National Research Foundation of Korea(National Research Foundation of Korea); Korea Polar Research Institute (KOPRI)(Korea Polar Research Institute of Marine Research Placement (KOPRI))</t>
  </si>
  <si>
    <t>This research was supported by the National Research Foundation of Korea (NRF-2016R1D1A1A09916630) and by the Korea Polar Research Institute (KOPRI) project (PE17340).</t>
  </si>
  <si>
    <t>10.7780/kjrs.2018.34.1.2</t>
  </si>
  <si>
    <t>GB8OK</t>
  </si>
  <si>
    <t>WOS:000429335000002</t>
  </si>
  <si>
    <t>Ivanov, VV; Golovin, PN</t>
  </si>
  <si>
    <t>Ivanov, V. V.; Golovin, P. N.</t>
  </si>
  <si>
    <t>Influence of Atlantic Water on the Sea Ice Cover in the Western Arctic in Winter</t>
  </si>
  <si>
    <t>Arctic Ocean; Nansen Basin; sea ice; Atlantic water flow; thermohaline characteristics; ocean convection; ocean-atmosphere interaction</t>
  </si>
  <si>
    <t>SURFACE; HEAT</t>
  </si>
  <si>
    <t>The results of temperature and salinity measurements in the upper 1000-mlayer of the Nansen Basin in the Arctic Ocean made from the North Pole-35 drifting station in winter of 2007/2008 are analyzed. The uniqueness of the dataset processed is defined by the station drift path in the Nansen Basin and by the time of the drift which immediately followed the record decline of Arctic sea ice in September 2007. It is found that the maximum heat flux from the ocean to the ice cover equal to more than 90 W/m(2) was observed in the area of Atlantic water in flow between Spitsbergen and Franz Josef Land. It was caused by the drift velocity increase and by the corresponding deepening of the Ekman boundary layer. No significant changes (as compared to climate normals) in the influence of ocean heat on the ice cover in the eastern Nansen Basin in winter were registered.</t>
  </si>
  <si>
    <t>[Ivanov, V. V.] Hydrometeorol Res Ctr Russian Federat, Bolshoi Predtechenskii Per 11-13, Moscow 123242, Russia; [Golovin, P. N.] Arctic &amp; Antarctic Res Inst, Ul Beringa 38, St Petersburg 199397, Russia</t>
  </si>
  <si>
    <t>Arctic &amp; Antarctic Research Institute</t>
  </si>
  <si>
    <t>Ivanov, VV (corresponding author), Hydrometeorol Res Ctr Russian Federat, Bolshoi Predtechenskii Per 11-13, Moscow 123242, Russia.</t>
  </si>
  <si>
    <t>vladimir.ivanov@aari.ru</t>
  </si>
  <si>
    <t>Ivanov, Vladimir/J-5979-2014</t>
  </si>
  <si>
    <t>Ivanov, Vladimir/0000-0003-2569-6027</t>
  </si>
  <si>
    <t>Russian Science Foundation [14-37-00053]; Russian Science Foundation [14-37-00053] Funding Source: Russian Science Foundation</t>
  </si>
  <si>
    <t>The present research was supported by the Russian Science Foundation (grant 14-37-00053) and was carried out in the Laboratory of Arctic Hydrometeorology of the Hydrometcenter of Russia and in the Arctic and Antarctic Research Institute.</t>
  </si>
  <si>
    <t>PLEIADES HOUSE, 7 W 54 ST, NEW YORK, NY, UNITED STATES</t>
  </si>
  <si>
    <t>10.3103/S1068373918020061</t>
  </si>
  <si>
    <t>GB8ZW</t>
  </si>
  <si>
    <t>WOS:000429364800006</t>
  </si>
  <si>
    <t>Zvyagintsev, AM; Ivanova, NS; Kruchenitskii, GM; Kuznetsova, IN; Lapchenko, VA</t>
  </si>
  <si>
    <t>Zvyagintsev, A. M.; Ivanova, N. S.; Kruchenitskii, G. M.; Kuznetsova, I. N.; Lapchenko, V. A.</t>
  </si>
  <si>
    <t>Ozone Content over the Russian Federation in 2017</t>
  </si>
  <si>
    <t>Total ozone monitoring in the CIS and Baltic countries; total ozone anomaly in the fourth quarter of 2017 and for the whole year; spring Antarctic ozone anomaly; surface ozone values</t>
  </si>
  <si>
    <t>The review is based on the operation results of the system for total ozone (TO) monitoring in the CIS and Baltic countries functioning in the operational regime at the Central Aerological Observatory (CAO). The monitoring system uses data from the national network equipped with M-124 filter ozonometers being under the methodological supervision of the Main Geophysical Observatory. The quality of the entire system functioning is operationally controlled in CAO through the comparison with the observations obtained from the OMI satellite equipment (NASA, USA). Basic TO observation data are generalized for each month of the fourth quarter of 2017, for the whole fourth quarter, and for the whole year. The data of routine observations of surface ozone values in the Moscow region and Crimea are also considered.</t>
  </si>
  <si>
    <t>[Zvyagintsev, A. M.; Ivanova, N. S.; Kruchenitskii, G. M.] Cent Aerol Observ, Ul Pervomaiskaya 3, Dolgoprudnyi 141700, Moscow Oblast, Russia; [Kuznetsova, I. N.] Hydrometeorol Res Ctr Russian Federat, Bolshoi Predtechenskii Per 11-13, Moscow 123242, Russia; [Lapchenko, V. A.] Russian Acad Sci, Vyazemskii Kara Dag Sci Stn Nat Reserve, Ul Nauki 24,Republ Crime65-71a, Kurortnoe 298188, Feodosiya, Russia</t>
  </si>
  <si>
    <t>Russian Academy of Sciences</t>
  </si>
  <si>
    <t>Zvyagintsev, AM (corresponding author), Cent Aerol Observ, Ul Pervomaiskaya 3, Dolgoprudnyi 141700, Moscow Oblast, Russia.</t>
  </si>
  <si>
    <t>oom@cao-rhms.ru</t>
  </si>
  <si>
    <t>ALLERTON PRESS INC</t>
  </si>
  <si>
    <t>18 WEST 27TH ST, NEW YORK, NY 10001 USA</t>
  </si>
  <si>
    <t>10.3103/S1068373918020085</t>
  </si>
  <si>
    <t>WOS:000429364800008</t>
  </si>
  <si>
    <t>Liu, ZY; Li, HF; Wang, M; Jiang, Y; Yang, QW; Zhou, XH; Gong, Z; Liu, Q; Shao, HB</t>
  </si>
  <si>
    <t>Liu, Zhaoyang; Li, Huifang; Wang, Min; Jiang, Yong; Yang, Qingwei; Zhou, Xinhao; Gong, Zheng; Liu, Qian; Shao, Hongbing</t>
  </si>
  <si>
    <t>Isolation, characterization and genome sequencing of the novel phage SL25 from the Yellow Sea, China</t>
  </si>
  <si>
    <t>MARINE GENOMICS</t>
  </si>
  <si>
    <t>Pseudoalteromonas phage; Siphoviridae; Complete genome</t>
  </si>
  <si>
    <t>PSEUDOALTEROMONAS; DIVERSITY; VIRUSES</t>
  </si>
  <si>
    <t>Outnumbering all other biological entities on earth, bacteriophages play critical roles in structuring microbial communities. However, only a small number of phages have so far been reported. In this study, a novel Pseudoalteromonas phage, SL25, was isolated from the yellow sea, China. Transmission electron microscope observations showed that phage has an icosahedral head, 100 +/- 1 nm in diameter, and a tail with a length of 150 1 nm, and should be grouped into the Siphoviridae family. To better understand the genetic diversity of this phage, the complete genome was characterized. It consists 29,130-bp-length double-stranded DNA with a GC content of 41.04% and is predicted to have 61 open reading frames (ORFs) with an average length of 504 nucleotides. This study adds a new Siphoviridae phage to the marine bacteriophage dataset that could potentially infect Pseudoalteromonas. It also provides useful data for further molecular research on the interaction mechanism between bacteriophages and their hosts.</t>
  </si>
  <si>
    <t>[Liu, Zhaoyang; Li, Huifang; Wang, Min; Jiang, Yong; Yang, Qingwei; Zhou, Xinhao; Gong, Zheng; Liu, Qian; Shao, Hongbing] Ocean Univ China, Coll Marine Life Sci, Qingdao 266003, Peoples R China; [Wang, Min; Jiang, Yong] Ocean Univ China, Inst Evolut &amp; Marine Biodivers, Qingdao 266003, Peoples R China</t>
  </si>
  <si>
    <t>Ocean University of China; Ocean University of China</t>
  </si>
  <si>
    <t>Wang, M; Jiang, Y (corresponding author), Ocean Univ China, Coll Marine Life Sci, Qingdao 266003, Peoples R China.;Wang, M; Jiang, Y (corresponding author), Ocean Univ China, Inst Evolut &amp; Marine Biodivers, Qingdao 266003, Peoples R China.</t>
  </si>
  <si>
    <t>mingwang@ouc.edu.cn; yongjiang@ouc.edu.cn</t>
  </si>
  <si>
    <t>李, 慧芳/IYJ-6595-2023; Li, Yan/JUU-5189-2023; Wang, Min/AFR-9645-2022; long, wang/KGM-0871-2024; Jiang, Yong/AGK-3016-2022</t>
  </si>
  <si>
    <t>李, 慧芳/0000-0003-2268-5496; Wang, Min/0000-0002-2357-589X; Jiang, Yong/0000-0002-4072-1668; Jiang, Yong/0000-0001-6055-488X</t>
  </si>
  <si>
    <t>National Natural Science Foundation of China [41076088, 41676178, 31500339]; National Key Basic Research Program of China (973Program) [2013CB429704]; China Postdoctoral Science Foundation [2015 M570612, 2016T90649]; Fundamental Research Funds for the Central University of Ocean University of China [201762017, 201564010, 201562018, 201512013, 201512008]; Scientific and Technological Innovation Project - Qingdao National Laboratory for Marine Science and Technology [2016ASKJ14]; Global change and Air-Sea interface project - State Oceanic Administration People's republic of China cruises for an oceanographic survey of South-central Western Pacific in winter [GASI-02-PAC-ST-MSwin]; Special Foundation from Chinese Arctic and Antarctic Administration Marine biodiversity in the surrounding waters of Antarctic and investigation of ecological environment [CHINARE-2012-01-05]</t>
  </si>
  <si>
    <t>National Natural Science Foundation of China(National Natural Science Foundation of China (NSFC)); National Key Basic Research Program of China (973Program)(National Basic Research Program of China); China Postdoctoral Science Foundation(China Postdoctoral Science Foundation); Fundamental Research Funds for the Central University of Ocean University of China; Scientific and Technological Innovation Project - Qingdao National Laboratory for Marine Science and Technology; Global change and Air-Sea interface project - State Oceanic Administration People's republic of China cruises for an oceanographic survey of South-central Western Pacific in winter; Special Foundation from Chinese Arctic and Antarctic Administration Marine biodiversity in the surrounding waters of Antarctic and investigation of ecological environment</t>
  </si>
  <si>
    <t>We are grateful to the research vessel Dong Fang Hong 2, for providing the seawater samples. The research was funded by the National Natural Science Foundation of China (Nos. 41076088, 41676178 and 31500339), the National Key Basic Research Program of China (973Program, Grant No: 2013CB429704), China Postdoctoral Science Foundation (Grant Nos. 2015 M570612 and 2016T90649), Fundamental Research Funds for the Central University of Ocean University of China (Grant Nos. 201762017, 201564010, 201562018, 201512013 and 201512008), the Scientific and Technological Innovation Project Financially Supported by Qingdao National Laboratory for Marine Science and Technology (No.2016ASKJ14), Global change and Air-Sea interface project supported by State Oceanic Administration People's republic of China cruises for an oceanographic survey of South-central Western Pacific in winter (No. GASI-02-PAC-ST-MSwin), and project supported by the Special Foundation from Chinese Arctic and Antarctic Administration Marine biodiversity in the surrounding waters of Antarctic and investigation of ecological environment (No. CHINARE-2012-01-05 till 2021-12-31).</t>
  </si>
  <si>
    <t>1874-7787</t>
  </si>
  <si>
    <t>1876-7478</t>
  </si>
  <si>
    <t>MAR GENOM</t>
  </si>
  <si>
    <t>Mar. Genom.</t>
  </si>
  <si>
    <t>10.1016/j.margen.2017.09.008</t>
  </si>
  <si>
    <t>Genetics &amp; Heredity; Marine &amp; Freshwater Biology</t>
  </si>
  <si>
    <t>GB3RI</t>
  </si>
  <si>
    <t>WOS:000428974700005</t>
  </si>
  <si>
    <t>Cowart, DA; Murphy, KR; Cheng, CHC</t>
  </si>
  <si>
    <t>Cowart, Dominique A.; Murphy, Katherine R.; Cheng, C. -H. Christina</t>
  </si>
  <si>
    <t>Metagenomic sequencing of environmental DNA reveals marine faunal assemblages from the West Antarctic Peninsula</t>
  </si>
  <si>
    <t>eDNA; Antarctica; Metagenomics; King crabs; Benthic invertebrates</t>
  </si>
  <si>
    <t>CLIMATE-CHANGE; BIODIVERSITY ASSESSMENT; KING CRABS; EDNA; POPULATION; DIVERSITY; PATTERNS; SHELF; DEEP; TEMPERATURE</t>
  </si>
  <si>
    <t>The West Antarctic Peninsula (WAP) is the fastest warming region in Antarctica where climate impact on the cold-adapted marine ecosystem is already visible. To monitor faunal changes in remote vast bodies of Antarctic waters, efficient and informative tools are essential. High-throughput sequencing of environmental DNA (eDNA) has emerged as one such tool for monitoring biodiversity and ecosystems, as it increases detection sensitivity of taxa, and sampling is often simpler and less costly than traditional collection methods. We collected water samples from four WAP shallow (&lt;= 300 m) shelf regions, recovered the eDNA therein, and performed metagenomic shotgun sequencing and analyses to determine the effectiveness of this method to assess marine benthic faunal diversity; this includes the detection of deep-water predatory king crabs whose potential shoreward expansion to warming shelves has sparked much concern. Using a customized bioinformatics pipeline, we identified abundant signatures of common benthic invertebrate fauna, endemic notothenioid fishes, as well as lithodid king crabs. We also uncovered species richness and diversity comparable to biological inventories compiled by the use of traditional survey methods, supporting the efficacy of the eDNA shotgun sequencing approach. As the rate of eDNA degradation affects faunal detection sensitivity, we also quantified mitochondrial ND2 gene copies in eDNA derived from a WAP icefish and found ND2 copies persisted to at least 20 days in the cold WAP water, much longer than values reported for temperate environments. We propose that eDNA metagenomic sequencing complements traditional sampling, and combining both will enable more inclusive biodiversity detection and faunal change monitoring in the vast Southern Ocean.</t>
  </si>
  <si>
    <t>[Cowart, Dominique A.; Murphy, Katherine R.; Cheng, C. -H. Christina] Univ Illinois, Dept Anim Biol, 515 Morrill Hall, Urbana, IL 61801 USA; [Cowart, Dominique A.] IFREMER, REM EEP LEP, Ctr Bretagne, F-29280 Plouzane, France</t>
  </si>
  <si>
    <t>University of Illinois System; University of Illinois Urbana-Champaign; Ifremer; Universite de Bretagne Occidentale</t>
  </si>
  <si>
    <t>Cowart, DA; Cheng, CHC (corresponding author), Univ Illinois, Dept Anim Biol, 515 Morrill Hall, Urbana, IL 61801 USA.</t>
  </si>
  <si>
    <t>dominique.cowart@gmail.com; c-cheng@illinois.edu</t>
  </si>
  <si>
    <t>Cowart, Dominique/0000-0002-2581-0355; Murphy, Katherine/0000-0001-8898-8719</t>
  </si>
  <si>
    <t>National Science Foundation Division of Polar Program [ANT1142158]; UIUC STEM postdoctoral fellowship; Directorate For Geosciences; Office of Polar Programs (OPP) [1142158] Funding Source: National Science Foundation</t>
  </si>
  <si>
    <t>National Science Foundation Division of Polar Program; UIUC STEM postdoctoral fellowship; Directorate For Geosciences; Office of Polar Programs (OPP)(National Science Foundation (NSF)NSF - Directorate for Geosciences (GEO))</t>
  </si>
  <si>
    <t>We would like to thank the captain and crew of the RN Laurence M. Gould, the staff at Palmer Station, Antarctica (USA), the Department of Animal Biology at the University of Illinois and the Roy J. Carver Biotechnology Center. We are sincerely thankful to the following people for their assistance in various aspects of this project: Julian Catchen, Arthur DeVries, Mateusz Grobelny, Elliot DeVries, Kevin Bilyk, Konrad Meister, Lauren Fields, Kai Zhao, Margaret Thairu, Allison Hansen, Patrick Degnan, Rebecca Fuller, Olivier Soubigou, and Huw Griffiths. We also extend our thanks to anonymous reviewers for comments that improved the manuscript. This research was supported by National Science Foundation Division of Polar Program award ANT1142158 to CHCC and a UIUC STEM postdoctoral fellowship to DAC. Any opinions, findings, conclusions or recommendations expressed in this article are those of the authors and do not necessarily reflect the views of the National Science Foundation.</t>
  </si>
  <si>
    <t>10.1016/j.margen.2017.11.003</t>
  </si>
  <si>
    <t>WOS:000428974700022</t>
  </si>
  <si>
    <t>Mazloff, MR; Cornuelle, BD; Gille, ST; Verdy, A</t>
  </si>
  <si>
    <t>Mazloff, M. R.; Cornuelle, B. D.; Gille, S. T.; Verdy, A.</t>
  </si>
  <si>
    <t>Correlation Lengths for Estimating the Large-Scale Carbon and Heat Content of the Southern Ocean</t>
  </si>
  <si>
    <t>spatial correlation lengths; carbon; heat; Southern Ocean</t>
  </si>
  <si>
    <t>VARIABILITY; MODEL; ALGORITHMS; PCO(2); BUDGET; SPACE; SINK</t>
  </si>
  <si>
    <t>The spatial correlation scales of oceanic dissolved inorganic carbon, heat content, and carbon and heat exchanges with the atmosphere are estimated from a realistic numerical simulation of the Southern Ocean. Biases in the model are assessed by comparing the simulated sea surface height and temperature scales to those derived from optimally interpolated satellite measurements. While these products do not resolve all ocean scales, they are representative of the climate scale variability we aim to estimate. Results show that constraining the carbon and heat inventory between 35 degrees S and 70 degrees S on time-scales longer than 90 days requires approximately 100 optimally spaced measurement platforms: approximately one platform every 20 degrees longitude by 6 degrees latitude. Carbon flux has slightly longer zonal scales, and requires a coverage of approximately 30 degrees by 6 degrees. Heat flux has much longer scales, and thus a platform distribution of approximately 90 degrees by 10 degrees would be sufficient. Fluxes, however, have significant subseasonal variability. For all fields, and especially fluxes, sustained measurements in time are required to prevent aliasing of the eddy signals into the longer climate scale signals. Our results imply a minimum of 100 biogeochemical-Argo floats are required to monitor the Southern Ocean carbon and heat content and air-sea exchanges on time-scales longer than 90 days. However, an estimate of formal mapping error using the current Argo array implies that in practice even an array of 600 floats (a nominal float density of about 1 every 7 degrees longitude by 3 degrees latitude) will result in nonnegligible uncertainty in estimating climate signals.</t>
  </si>
  <si>
    <t>[Mazloff, M. R.; Cornuelle, B. D.; Gille, S. T.; Verdy, A.] Univ Calif San Diego, Scripps Inst Oceanog, La Jolla, CA 92093 USA</t>
  </si>
  <si>
    <t>Mazloff, MR (corresponding author), Univ Calif San Diego, Scripps Inst Oceanog, La Jolla, CA 92093 USA.</t>
  </si>
  <si>
    <t>mmazloff@ucsd.edu</t>
  </si>
  <si>
    <t>Gille, Sarah T./B-3171-2012; Verdy, Ariane/B-6470-2008; Mazloff, Matthew/AAG-6463-2019</t>
  </si>
  <si>
    <t>Mazloff, Matthew/0000-0002-1650-5850; Gille, Sarah/0000-0001-9144-4368; Verdy, Ariane/0000-0002-2774-2691</t>
  </si>
  <si>
    <t>NSF's Southern Ocean Carbon and Climate Observations and Modeling (SOCCOM) Project [PLR-1425989]; Cnes; National Oceanographic Partnership Program (NOPP); NASA Earth Science Physical Oceanography Program; Office of Polar Programs (OPP); Directorate For Geosciences [1425989] Funding Source: National Science Foundation</t>
  </si>
  <si>
    <t>NSF's Southern Ocean Carbon and Climate Observations and Modeling (SOCCOM) Project; Cnes(Centre National D'etudes Spatiales); National Oceanographic Partnership Program (NOPP); NASA Earth Science Physical Oceanography Program(National Aeronautics &amp; Space Administration (NASA)); Office of Polar Programs (OPP); Directorate For Geosciences(National Science Foundation (NSF)NSF - Directorate for Geosciences (GEO))</t>
  </si>
  <si>
    <t>This work was sponsored by NSF's Southern Ocean Carbon and Climate Observations and Modeling (SOCCOM) Project under the NSF Award PLR-1425989. Logistical support for this project in Antarctica was provided by the U.S. National Science Foundation through the U.S. Antarctic Program. The 3 day average B- SOSE output used in this work is available at http://sose.ucsd.edu/BSOSE_iter105_solution.html. The SSH product was produced by CLS Space Oceanography Division and distributed by Aviso, with support from Cnes (http://www.aviso.altimetry.fr). The microwave OI SST data are produced by Remote Sensing Systems and sponsored by National Oceanographic Partnership Program (NOPP) and the NASA Earth Science Physical Oceanography Program. Data are available at www.remss.com. Argo data were collected and made freely available by the International Argo Program and the national programs that contribute to it. (http://www.argo.ucsd.edu, http://argo.jcommops.org, (http://doi.org/10.17882/42182). The Argo Program is part of the Global Ocean Observing System. This manuscript was improved by constructive criticism from two anonymous reviewers.</t>
  </si>
  <si>
    <t>10.1002/2017JC013408</t>
  </si>
  <si>
    <t>WOS:000427970400010</t>
  </si>
  <si>
    <t>Nomura, D; Aoki, S; Simizu, D; Iida, T</t>
  </si>
  <si>
    <t>Nomura, Daiki; Aoki, Shigeru; Simizu, Daisuke; Iida, Takahiro</t>
  </si>
  <si>
    <t>Influence of Sea Ice Crack Formation on the Spatial Distribution of Nutrients and Microalgae in Flooded Antarctic Multiyear Ice</t>
  </si>
  <si>
    <t>LUTZOW-HOLM BAY; INORGANIC CARBON; WEDDELL SEA; GAP LAYERS; BALTIC SEA; PACK-ICE; SNOW; WINTER; EXCHANGE; NITROGEN</t>
  </si>
  <si>
    <t>Cracks are common and natural features of sea ice formed in the polar oceans. In this study, a sea ice crack in flooded, multiyear, land-fast Antarctic sea ice was examined to assess its influence on biological productivity and the transport of nutrients and microalgae into the upper layers of neighboring sea ice. The water inside the crack and the surrounding host ice were characterized by a strong discoloration (brown color), an indicator of a massive algal bloom. Salinity and oxygen isotopic ratio measurements indicated that 64-84% of the crack water consisted of snow meltwater supplied during the melt season. Measurements of nutrient and chlorophyll a concentrations within the slush layer pool (the flooded layer at the snow-ice interface) revealed the intrusion of water from the crack, likely forced by mixing with underlying seawater during the tidal cycle. Our results suggest that sea ice crack formation provides conditions favorable for algal blooms by directly exposing the crack water to sunlight and supplying nutrients from the under-ice water. Subsequently, constituents of the crack water modified by biological activity were transported into the upper layer of the flooded sea ice. They were then preserved in the multiyear ice column formed by upward growth of sea ice caused by snow ice formation in areas of significant snow accumulation. Plain Language Summary Formation of cracks in sea ice affects the environment associated with biological production and biogeochemical cycling in the surface ocean of sea ice systems. Because cracks are likely to form frequently within the sea ice during the season of ice melting and ice breaking, the contributions of cracks to biological production and biogeochemical cycling may be significant in ice-covered oceans. In the future, the melting of sea ice in polar oceans will strongly affect the output of biogeochemical parameters trapped within sea ice and their use in primary and secondary production within surface oceans. In the case of multiyear, land-fast ice, biogeochemical parameters that accumulate within the ice would be discharged abruptly to ocean surface waters when the multiyear ice breaks up.</t>
  </si>
  <si>
    <t>[Nomura, Daiki; Aoki, Shigeru] Hokkaido Univ, Inst Low Temp Sci, Sapporo, Hokkaido, Japan; [Nomura, Daiki; Simizu, Daisuke; Iida, Takahiro] Natl Inst Polar Res, Tachikawa, Tokyo, Japan; [Nomura, Daiki; Iida, Takahiro] Hokkaido Univ, Fac Fisheries Sci, Hakodate, Hokkaido, Japan; [Nomura, Daiki] Hokkaido Univ, Arctic Res Ctr, Sapporo, Hokkaido, Japan</t>
  </si>
  <si>
    <t>Hokkaido University; Research Organization of Information &amp; Systems (ROIS); National Institute of Polar Research (NIPR) - Japan; Hokkaido University; Hokkaido University</t>
  </si>
  <si>
    <t>Nomura, D (corresponding author), Hokkaido Univ, Inst Low Temp Sci, Sapporo, Hokkaido, Japan.;Nomura, D (corresponding author), Natl Inst Polar Res, Tachikawa, Tokyo, Japan.;Nomura, D (corresponding author), Hokkaido Univ, Fac Fisheries Sci, Hakodate, Hokkaido, Japan.;Nomura, D (corresponding author), Hokkaido Univ, Arctic Res Ctr, Sapporo, Hokkaido, Japan.</t>
  </si>
  <si>
    <t>daiki.nomura@fish.hokudai.ac.jp</t>
  </si>
  <si>
    <t>Aoki, Shigeru/D-9105-2012</t>
  </si>
  <si>
    <t>SIMIZU, Daisuke/0000-0003-4214-6756</t>
  </si>
  <si>
    <t>National Institute of Polar Research; Japan Society for the Promotion of Science [21810036, 25281001]; Grants-in-Aid for Scientific Research [17H04715, 25281001, 21810036] Funding Source: KAKEN</t>
  </si>
  <si>
    <t>National Institute of Polar Research(National Institute of Polar Research (NIPR) - Japan); Japan Society for the Promotion of Science(Ministry of Education, Culture, Sports, Science and Technology, Japan (MEXT)Japan Society for the Promotion of Science); Grants-in-Aid for Scientific Research(Ministry of Education, Culture, Sports, Science and Technology, Japan (MEXT)Japan Society for the Promotion of ScienceGrants-in-Aid for Scientific Research (KAKENHI))</t>
  </si>
  <si>
    <t>We express our heartfelt thanks to H. Shinagawa, S. Chavanich, H. Shimoda, S. Koga, S. Youkongkaew, and all of the members of 51st Japanese Antarctic Research Expedition for their support in the fieldwork. We thank M. Kitagawa for the oxygen isotopic ratio analyses, C. Oouchida, S. Yasui, and J. Kanda for their nutrient analyses, and D. H. Han for microscopic examination of the algae sample. This research was supported by funds from the National Institute of Polar Research and the Japan Society for the Promotion of Science (grants 21810036 and 25281001, respectively). Data for the physicochemical parameters used in this study are shown in supporting information Tables S1-S3. Sea level, air temperature, wind speed, and solar radiation are cited at http://www.jodc.go.jp/index.html (Japan Oceanographic Data Center) and http://www.data.jma.go.jp/obd/stats/etrn/index.php (Japan Meteorological Agency).</t>
  </si>
  <si>
    <t>10.1002/2017JC012941</t>
  </si>
  <si>
    <t>WOS:000427970400013</t>
  </si>
  <si>
    <t>Llort, J; Langlais, C; Matear, R; Moreau, S; Lenton, A; Strutton, PG</t>
  </si>
  <si>
    <t>Llort, Joan; Langlais, C.; Matear, R.; Moreau, S.; Lenton, A.; Strutton, Peter G.</t>
  </si>
  <si>
    <t>Evaluating Southern Ocean Carbon Eddy-Pump From Biogeochemical-Argo Floats</t>
  </si>
  <si>
    <t>ANTARCTIC CIRCUMPOLAR CURRENT; FERTILIZED KERGUELEN AREA; MIXED-LAYER; ORGANIC-CARBON; SPRING BLOOM; MESOSCALE; SUBDUCTION; EXPORT; REMINERALIZATION; TRANSPORT</t>
  </si>
  <si>
    <t>The vertical transport of surface water and carbon into ocean's interior, known as subduction, is one of the main mechanisms through which the ocean influences Earth's climate. New instrumental approaches have shown the occurrence of localized and intermittent subduction episodes associated with small-scale ocean circulation features. These studies also revealed the importance of such events for the export of organic matter, the so-called eddy-pump. However, the transient and localized nature of episodic subduction hindered its large-scale evaluation to date. In this work, we present an approach to detect subduction events at the scale of the Southern Ocean using measurements collected by biogeochemical autonomous floats (BGCArgo). We show how subduction events can be automatically identified as anomalies of spiciness and Apparent Oxygen Utilization (AOU) below the mixed layer. Using this methodology over more than 4,000 profiles, we detected 40 subduction events unevenly distributed across the Sothern Ocean. Events were more likely found in hot spots of eddy kinetic energy (EKE), downstream major bathymetric features. Moreover, the bio-optical measurements provided by BGCArgo allowed measuring the amount of Particulate Organic Carbon (POC) being subducted and assessing the contribution of these events to the total downward carbon flux at 100 m (EP100). We estimated that the eddy-pump represents less than 19% to the EP100 in the Southern Ocean, although we observed particularly strong events able to locally duplicate the EP100. This approach provides a novel perspective on where episodic subduction occurs that will be naturally improved as BGCArgo observations continue to increase. Plain Language Summary The vertical transport of surface organic carbon into the deep ocean is a fundamental question in oceanography. This transport of carbon supports ocean ecosystems and influences the global climate. Recently, several studies have observed that vertical transport can occur as short-lived events. These events are the most efficient way to inject surface organic carbon into the ocean, yet they are extremely hard to observe. In this study, we used autonomous floats to capture them. The observations made by these floats during the last 3 years allowed us to map, for the first time, the spatial distribution of vertical transport events throughout the Southern Ocean. Interestingly, we found that these events were concentrated in regions where ocean currents interact with bathymetry. Moreover, our study provides an innovative approach to observe the episodic transport of carbon from autonomous floats.</t>
  </si>
  <si>
    <t>[Llort, Joan; Moreau, S.; Strutton, Peter G.] Univ Tasmania, Inst Marine &amp; Antarctic Sci, Hobart, Tas, Australia; [Llort, Joan; Matear, R.; Strutton, Peter G.] Australian Res Council, Ctr Excellence Climate Syst Sci, Hobart, Tas, Australia; [Llort, Joan; Langlais, C.; Matear, R.; Lenton, A.; Strutton, Peter G.] CSIRO Oceans &amp; Atmosphere, Hobart, Tas, Australia; [Moreau, S.] Australian Res Council, Antarctic Gateway Strateg Res Initiat, Hobart, Tas, Australia; [Lenton, A.] Antarctic Climate &amp; Ecosyst CRC, Hobart, Tas, Australia</t>
  </si>
  <si>
    <t>Llort, J (corresponding author), Univ Tasmania, Inst Marine &amp; Antarctic Sci, Hobart, Tas, Australia.;Llort, J (corresponding author), Australian Res Council, Ctr Excellence Climate Syst Sci, Hobart, Tas, Australia.;Llort, J (corresponding author), CSIRO Oceans &amp; Atmosphere, Hobart, Tas, Australia.</t>
  </si>
  <si>
    <t>jllort@utas.edu.au</t>
  </si>
  <si>
    <t>Langlais, Clothilde/AAI-9859-2021; Llort, Joan/O-6182-2019; Llort, Joan/O-2162-2017; Strutton, Peter/C-4466-2011; matear, richard/C-5133-2011; Lenton, Andrew/D-2077-2012</t>
  </si>
  <si>
    <t>Langlais, Clothilde/0000-0002-6423-7678; Llort, Joan/0000-0003-1490-4521; Llort, Joan/0000-0003-1490-4521; Moreau, Sebastien/0000-0001-9446-812X; Strutton, Peter/0000-0002-2395-9471; matear, richard/0000-0002-3225-0800; Lenton, Andrew/0000-0001-9437-8896</t>
  </si>
  <si>
    <t>CNES; NSF PLR [1425989]; European Research Council [GA 246777]; BNP Paribas; ENS; UPMC; CNRS</t>
  </si>
  <si>
    <t>CNES(Centre National D'etudes Spatiales); NSF PLR; European Research Council(European Research Council (ERC)); BNP Paribas; ENS; UPMC; CNRS(Centre National de la Recherche Scientifique (CNRS))</t>
  </si>
  <si>
    <t>The altimeter products were produced by Ssalto/Duacs and distributed by AVISO, with support from CNES (http://www.aviso.altimetry.fr/duacs/). Biogeochemical Argo data were collected and made freely available by the SOCCOM project (funded by NSF PLR - 1425989), remOcean project (funded by the European Research Council, GA 246777) and the SOCLIM project (funded by BNP Paribas, ENS, UPMC and CNRS). We are extremely grateful to the teams, marine crews, and institutions who support these projects because they provide a unique set of reliable and precious data easily accessible by anyone. The authors acknowledge the insightful comments made by the two anonymous reviewers, as well as the fruitful comments and discussions with P. Boyd and M. Bressac during the creation of this document.</t>
  </si>
  <si>
    <t>10.1002/2017JC012861</t>
  </si>
  <si>
    <t>Green Published, Green Submitted, Green Accepted, Bronze</t>
  </si>
  <si>
    <t>WOS:000427970400015</t>
  </si>
  <si>
    <t>Gorman, AR; Smillie, MW; Cooper, JK; Bowman, MH; Vennell, R; Holbrook, WS; Frew, R</t>
  </si>
  <si>
    <t>Gorman, Andrew R.; Smillie, Matthew W.; Cooper, Joanna K.; Bowman, M. Hamish; Vennell, Ross; Holbrook, W. Steven; Frew, Russell</t>
  </si>
  <si>
    <t>Seismic Characterization of Oceanic Water Masses, Water Mass Boundaries, and Mesoscale Eddies SE of New Zealand</t>
  </si>
  <si>
    <t>seismic oceanography; Subtropical Front; mesoscale eddy; Southland Current; Subantarctic Water; Subantarctic Front</t>
  </si>
  <si>
    <t>SOUTHERN NEW-ZEALAND; MEDITERRANEAN SALT LENS; SUBTROPICAL FRONT; PHYTOPLANKTON BLOOM; FINE-STRUCTURE; CHATHAM RISE; OCEANOGRAPHY; IRON; TEMPERATURE; VARIABILITY</t>
  </si>
  <si>
    <t>The Subtropical and Subantarctic Fronts, which separate Subtropical, Subantarctic, and Antarctic Intermediate Waters, are diverted to the south of New Zealand by the submerged continental landmass of Zealandia. In the upper ocean of this region, large volumes of dissolved or suspended material are intermittently transported across the Subtropical Front; however, the mechanisms of such transport processes are enigmatic. Understanding these oceanic boundaries in three dimensions generally depends on measurements collected from stationary vessels and moorings. The details of these data sets, which are critical for understanding how water masses interact and mix at the fine-scale (&lt;10 m) to mesoscale (10-100 km), are inadequately constrained due to resolution considerations. Southeast of New Zealand, high-resolution seismic reflection images of oceanic water masses have been produced using petroleum industry data. These seismic sections clearly show three main water masses, the boundary zones (fronts) between them, and associated thermohaline fine structure that may be related to the mixing of water masses in this region. Interpretations of the data suggest that the Subtropical Front in this region is a landward-dipping zone, with a width that can vary between 20 and 40 km. The boundary zone between Subantarctic Waters and the underlying Antarctic Intermediate Waters is also observed to dip landward. Several isolated lenses have been identified on the three data sets, ranging in size from 9 to 30 km in diameter. These lenses are interpreted to be mesoscale eddies that form at relatively shallow depths along the south side of the Subtropical Front. Plain Language Summary Seismic data originally collected by the petroleum industry are used in this paper to examine oceanic water masses southeast of New Zealand where Subtropical Waters meet Subantarctic Waters at the Subtropical Front. The method enables us to make cross-sectional pictures of the oceanmuch like an X-ray might work in medical applications. This region is of particular interest because it is a well-known region of oceanic mixing. In the data, water mass boundaries or fronts are observed as subhorizontal bands of high reflectivity. Also, distinct lens-shaped reflectivity patterns are interpreted to be caused by meso-scale eddies (up to 100 km in diameter)features that are important in understanding how oceanic water bodies with different salinities and temperatures mix.</t>
  </si>
  <si>
    <t>[Gorman, Andrew R.; Smillie, Matthew W.; Cooper, Joanna K.; Bowman, M. Hamish] Univ Otago, Dept Geol, Dunedin, New Zealand; [Vennell, Ross] Univ Otago, Dept Marine Sci, Dunedin, New Zealand; [Vennell, Ross] Cawthron Inst, Nelson, New Zealand; [Holbrook, W. Steven] Univ Wyoming, Dept Geol &amp; Geophys, Laramie, WY 82071 USA; [Holbrook, W. Steven] Virginia Tech, Blacksburg, VA USA; [Frew, Russell] Univ Otago, Dept Chem, Dunedin, New Zealand</t>
  </si>
  <si>
    <t>University of Otago; University of Otago; Cawthron Institute; University of Wyoming; Virginia Polytechnic Institute &amp; State University; University of Otago</t>
  </si>
  <si>
    <t>Gorman, AR (corresponding author), Univ Otago, Dept Geol, Dunedin, New Zealand.</t>
  </si>
  <si>
    <t>andrew.gorman@otago.ac.nz</t>
  </si>
  <si>
    <t>Gorman, Andrew R/B-9674-2008; Frew, Russell/HDN-6138-2022; Frew, Russell/I-5591-2012; Holbrook, Steven/G-9800-2011; Vennell, Ross/A-7425-2010</t>
  </si>
  <si>
    <t>Frew, Russell/0000-0002-6138-2116; Gorman, Andrew/0000-0002-8581-0197; Bowman, Michael/0000-0002-0455-9421; Vennell, Ross/0000-0001-6961-9977</t>
  </si>
  <si>
    <t>New Zealand Marsden Fund [UOO0920]</t>
  </si>
  <si>
    <t>New Zealand Marsden Fund(Royal Society of New ZealandMarsden Fund (NZ))</t>
  </si>
  <si>
    <t>The seismic data for this project were provided by the New Zealand Government (line DUN-06-13) and a consortium of petroleum exploration companies: OMV New Zealand, Shell, Mitsui, and PTTEP (lines OMV-08-42 and OMV-08-45); the raw data are available from the New Zealand Petroleum and Minerals (New Zealand government) data archives (http://data.nzpam.govt.nz). In particular, we thank Tim Allan (from OMV) and Roland Spuij (recently retired from Shell) for their ongoing personal interest and support for our work. Seismic processing was undertaken with an academic license for Globe Claritas. Phil Sutton at New Zealand's National Institute of Water and Atmospheric Research (NIWA) provided access to archived CTD data from our area of interest. This work was supported by the New Zealand Marsden Fund, contract UOO0920. We thank Rob Smith for his insight into various aspects of physical oceanography particular to the New Zealand region. We sincerely thank Richard Hobbs, Warren Wood, and an anonymous reviewer for their constructive reviews of this work.</t>
  </si>
  <si>
    <t>10.1002/2017JC013459</t>
  </si>
  <si>
    <t>WOS:000427970400046</t>
  </si>
  <si>
    <t>Nardelli, BB; Mulet, S; Iudicone, D</t>
  </si>
  <si>
    <t>Nardelli, B. Buongiorno; Mulet, S.; Iudicone, D.</t>
  </si>
  <si>
    <t>Three-Dimensional Ageostrophic Motion and Water Mass Subduction in the Southern Ocean</t>
  </si>
  <si>
    <t>ANTARCTIC CIRCUMPOLAR CURRENT; IN-SITU; VERTICAL VELOCITY; OMEGA-EQUATION; GULF-STREAM; POTENTIAL VORTICITY; MESOSCALE EDDIES; CIRCULATION; LAYER; SATELLITE</t>
  </si>
  <si>
    <t>Vertical velocities at the ocean mesoscale are several orders of magnitude smaller than corresponding horizontal flows, making their direct monitoring a still unsolved challenge. Vertical motion is generally retrieved indirectly by applying diagnostic equations to observation-based fields. The most common approach relies on the solution of an adiabatic version of the Omega equation, neglecting the ageostrophic secondary circulation driven by frictional effects and turbulent mixing in the boundary layers. Here we apply a diabatic semigeostrophic diagnostic model to two different 3-D reconstructions covering the Southern Ocean during the period 2010-2012. We incorporate the effect of vertical mixing through a modified K-profile parameterization and using ERA-interim data, and perform an indirect validation of the ageostrophic circulation with independent drifter observations. Even if horizontal gradients and associated vertical flow are likely underestimated at 1/4 degrees x 1/4 degrees resolution, the exercise provides an unprecedented relative quantification of the contribution of vertical mixing and adiabatic internal dynamics on the vertical exchanges along the Antarctic Circumpolar Current. Kinematic estimates of subduction rates show the destruction of poleward flowing waters lighter than 26.6 kg/m(3) (14 divided by 15 Sv) and two main positive bands associated with the Antarctic Intermediate Water (7 divided by 11 Sv) and Sub-Antarctic Mode Waters (4 divided by 7 Sv) formation, while Circumpolar Deep Water upwelling attains around 3 divided by 6 Sv. Diabatic and adiabatic terms force distinct spatial responses and vertical velocity magnitudes along the water column and the restratifying effect of adiabatic internal dynamics due to mesoscale eddies is shown to at least partly compensate the contribution of wind-driven vertical exchanges to net subduction.</t>
  </si>
  <si>
    <t>[Nardelli, B. Buongiorno] CNR, Ist Sci Atmosfera Clima, Rome, Italy; [Nardelli, B. Buongiorno; Iudicone, D.] CNR, Ist Ambiente Marino Costiero, Naples, Italy; [Mulet, S.] Collecte Localisat Satellite, Ramonville St Agne, France; [Iudicone, D.] Stn Zool Anton Dohrn, Naples, Italy</t>
  </si>
  <si>
    <t>Consiglio Nazionale delle Ricerche (CNR); Istituto di Scienze dell'Atmosfera e del Clima (ISAC-CNR); Consiglio Nazionale delle Ricerche (CNR); L'Istituto per l'Ambiente Marino Costiero (IAMC-CNR); Stazione Zoologica Anton Dohrn di Napoli</t>
  </si>
  <si>
    <t>Nardelli, BB (corresponding author), CNR, Ist Sci Atmosfera Clima, Rome, Italy.;Nardelli, BB (corresponding author), CNR, Ist Ambiente Marino Costiero, Naples, Italy.</t>
  </si>
  <si>
    <t>bruno.buongiornonardelli@cnr.it</t>
  </si>
  <si>
    <t>Nardelli, Bruno Buongiorno/AAY-4289-2020; Buongiorno Nardelli, Bruno/I-4810-2012; Iudicone, Daniele/B-9008-2008</t>
  </si>
  <si>
    <t>Buongiorno Nardelli, Bruno/0000-0002-3416-7189; Iudicone, Daniele/0000-0002-7473-394X</t>
  </si>
  <si>
    <t>European Copernicus Marine Environment Monitoring Service; Italian National Program on Antarctic Research project Antarctic CircUmpolar Current dynamics Analysis</t>
  </si>
  <si>
    <t>This work has been partly funded by the European Copernicus Marine Environment Monitoring Service, and by the Italian National Program on Antarctic Research project Antarctic CircUmpolar Current dynamics Analysis. All input data can be accessed through the links given in section 2. CMEMS ARMOR3D products can be downloaded from http://marine.copernicus.eu/services-portfolio/access-to-products/and ACCUA mEOF-r product can be downloaded from http://gosopendata.artov.isac.cnr.it/ACCUA/.3-D velocity data can be accessed through the site http://gosopendata.artov.isac.cnr.it/MESO3D/. We thank M.-H. Rio for her useful suggestions and advices concerning the analysis of SVP data.</t>
  </si>
  <si>
    <t>10.1002/2017JC013316</t>
  </si>
  <si>
    <t>WOS:000427970400047</t>
  </si>
  <si>
    <t>Purcell, A; Tregoning, P; Dehecq, A</t>
  </si>
  <si>
    <t>Purcell, A.; Tregoning, P.; Dehecq, A.</t>
  </si>
  <si>
    <t>Reply to Comment by W. R. Peltier, D. F. Argus, and R. Drummond on An Assessment of the ICE6G_C (VM5a) Glacial Isostatic Adjustment Model</t>
  </si>
  <si>
    <t>glacio-isostatic modeling; Antarctic uplift rates</t>
  </si>
  <si>
    <t>The empirical approximation of Purcell et al. (2011, https://doi.org/10.1029/2011GL048624) has been validated by Peltier et al. (2018, https://doi.org/10.1002/2016JB013844). In their Comment they introduced new results derived from the same ice/rheology models of ICE6G_C (VM5a) but using a different model for Antarctic bathymetry. This has greatly reduced the differences in predicted Antarctic uplift rates relative to those of Purcell et al. (2016, https://doi.org/10.1002/2015JB012742). In fact, with a approximate to 50% reduction in uplift rate in the Weddell Sea, the results of Peltier et al. (2018, https://doi.org/10.1002/2016JB013844) now agree more closely with the predictions of Purcell et al. (2016, https://doi.org/10.1002/2015JB012742) than with the original ICE6G_C values. Peltier et al. (2018, https://doi.org/10.1002/2016JB013844) state that the high power in their high-frequency spherical harmonic coefficients remains in their new calculations. They also claim that Purcell et al. (2016, https://doi.org/10.1002/2015JB012742) used an inaccurate loading history in deriving their velocity field. In fact, the ice load history was unchanged; to remove any ambiguity, the ice and water load histories used in the CALSEA calculations are provided in the supporting information.</t>
  </si>
  <si>
    <t>[Purcell, A.; Tregoning, P.; Dehecq, A.] Australian Natl Univ, Res Sch Earth Sci, Canberra, ACT, Australia; [Dehecq, A.] Jet Prop Lab, Pasadena, CA USA</t>
  </si>
  <si>
    <t>Australian National University; National Aeronautics &amp; Space Administration (NASA); NASA Jet Propulsion Laboratory (JPL)</t>
  </si>
  <si>
    <t>Purcell, A (corresponding author), Australian Natl Univ, Res Sch Earth Sci, Canberra, ACT, Australia.</t>
  </si>
  <si>
    <t>Anthony.Purcell@anu.edu.au</t>
  </si>
  <si>
    <t>Dehecq, Amaury/ABD-3344-2020; Tregoning, Paul/N-4842-2018</t>
  </si>
  <si>
    <t>Dehecq, Amaury/0000-0002-5157-1183; Tregoning, Paul/0000-0001-7192-5391; Purcell, Anthony/0000-0001-5289-3902</t>
  </si>
  <si>
    <t>National Collaborative Research Infrastructure Strategy (NCRIS), an Australian Commonwealth Government Programme</t>
  </si>
  <si>
    <t>National Collaborative Research Infrastructure Strategy (NCRIS), an Australian Commonwealth Government Programme(Australian GovernmentDepartment of Industry, Innovation and Science)</t>
  </si>
  <si>
    <t>Australian Research Council (ARC) [10.13039/501100000923] (DP160100070). We thank JGR-Solid Earth for providing the opportunity to respond to the comment of Peltier et al. (2018), and to W. R. Peltier for making ice thickness history values available. Figures were plotted using GMT (Wessel &amp; Smith, 1998). Calculations were performed on the Terrawulf cluster, a computational facility supported through the AuScope initiative. AuScope Ltd is funded under the National Collaborative Research Infrastructure Strategy (NCRIS), an Australian Commonwealth Government Programme.</t>
  </si>
  <si>
    <t>10.1002/2017JB014930</t>
  </si>
  <si>
    <t>GA6IW</t>
  </si>
  <si>
    <t>WOS:000428437500062</t>
  </si>
  <si>
    <t>Dvornikov, Y; Leibman, M; Heim, B; Bartsch, A; Herzschuh, U; Skorospekhova, T; Fedorova, I; Khomutov, A; Widhalm, B; Gubarkov, A; Rössler, S</t>
  </si>
  <si>
    <t>Dvornikov, Yury; Leibman, Marina; Heim, Birgit; Bartsch, Annett; Herzschuh, Ulrike; Skorospekhova, Tatiana; Fedorova, Irina; Khomutov, Artem; Widhalm, Barbara; Gubarkov, Anatoly; Roessler, Sebastian</t>
  </si>
  <si>
    <t>Terrestrial CDOM in Lakes of Yamal Peninsula: Connection to Lake and Lake Catchment Properties</t>
  </si>
  <si>
    <t>CDOM; lakes; lake catchments; permafrost; Yamal; remote sensing data</t>
  </si>
  <si>
    <t>DISSOLVED ORGANIC-MATTER; MACKENZIE DELTA REGION; NORTHWEST-TERRITORIES; PERMAFROST THAW; NORTHERN-HEMISPHERE; YELLOW SUBSTANCE; CARBON; ABSORPTION; WATER; CHEMISTRY</t>
  </si>
  <si>
    <t>In this study, we analyze interactions in lake and lake catchment systems of a continuous permafrost area. We assessed colored dissolved organic matter (CDOM) absorption at 440 nm (a(440)(CDOM)) and absorption slope (S300-500) in lakes using field sampling and optical remote sensing data for an area of 350 km(2) in Central Yamal, Siberia. Applying a CDOM algorithm (ratio of green and red band reflectance) for two high spatial resolution multispectral GeoEye-1 and Worldview-2 satellite images, we were able to extrapolate the a()(CDOM) data from 18 lakes sampled in the field to 356 lakes in the study area (model R-2 = 0.79). Values of a(440)(CDOM) in 356 lakes varied from 0.48 to 8.35 m(-1) with a median of 1.43 m(-1). This a()(CDOM) dataset was used to relate lake CDOM to 17 lake and lake catchment parameters derived from optical and radar remote sensing data and from digital elevation model analysis in order to establish the parameters controlling CDOM in lakes on the Yamal Peninsula. Regression tree model and boosted regression tree analysis showed that the activity of cryogenic processes (thermocirques) in the lake shores and lake water level were the two most important controls, explaining 48.4% and 28.4% of lake CDOM, respectively (R-2 = 0.61). Activation of thermocirques led to a large input of terrestrial organic matter and sediments from catchments and thawed permafrost to lakes (n = 15, mean a(440)(CDOM) = 5.3 m(-1)). Large lakes on the floodplain with a connection to Mordy-Yakha River received more CDOM (n = 7, mean a(440)(CDOM) = 3.8 m(-1)) compared to lakes located on higher terraces.</t>
  </si>
  <si>
    <t>[Dvornikov, Yury; Leibman, Marina; Khomutov, Artem] Tyumen Sci Ctr SB RAS, Earth Cryosphere Inst, Tyumen 625026, Russia; [Dvornikov, Yury; Heim, Birgit; Herzschuh, Ulrike] Helmholtz Ctr Polar &amp; Marine Res, Alfred Wegener Inst, D-14473 Potsdam, Germany; [Leibman, Marina; Khomutov, Artem] Univ Tyumen, Int Inst Cryol &amp; Cryosophy, Tyumen 625003, Russia; [Bartsch, Annett] B Geos, A-2100 Korneuburg, Austria; [Bartsch, Annett; Widhalm, Barbara] Zent Anstalt Meteorol &amp; Geodynam, A-1190 Vienna, Austria; [Bartsch, Annett] Austrian Polar Res Inst, A-1090 Vienna, Austria; [Herzschuh, Ulrike] Univ Potsdam, Inst Earth &amp; Environm Sci, D-14469 Potsdam, Germany; [Skorospekhova, Tatiana] Arctic &amp; Antarctic Res Inst, St Petersburg 199397, Russia; [Fedorova, Irina] St Petersburg State Univ, Inst Earth Sci, St Petersburg 199178, Russia; [Fedorova, Irina] Kazan Fed Univ, Kazan 420008, Russia; [Gubarkov, Anatoly] Tyumen Ind Univ, Tyumen 625000, Russia; [Roessler, Sebastian] FIELAX, D-27568 Bremerhaven, Germany</t>
  </si>
  <si>
    <t>Tyumen Scientific Center of the Russian Academy of Sciences; Helmholtz Association; Alfred Wegener Institute, Helmholtz Centre for Polar &amp; Marine Research; Tyumen State University; University of Potsdam; Arctic &amp; Antarctic Research Institute; Saint Petersburg State University; Kazan Federal University; Tyumen Industrial University</t>
  </si>
  <si>
    <t>Dvornikov, Y (corresponding author), Tyumen Sci Ctr SB RAS, Earth Cryosphere Inst, Tyumen 625026, Russia.;Dvornikov, Y (corresponding author), Helmholtz Ctr Polar &amp; Marine Res, Alfred Wegener Inst, D-14473 Potsdam, Germany.</t>
  </si>
  <si>
    <t>ydvornikow@gmail.com; moleibman@gmail.com; birgit.heim@awi.de; annett.bartsch@bgeos.com; ulrike.herzschuh@awi.de; tanchiz@gmail.com; umnichka@mail.ru; akhomutov@gmail.com; Barbara.Widhalm@zamg.ac.at; agubarkov@gmail.com; roessler@fielax.de</t>
  </si>
  <si>
    <t>Rößler, Sebastian/ADX-0704-2022; Bartsch, Annett/G-6332-2012; Bartsch, Annett/N-1347-2019; Dvornikov, Yury/J-5087-2016; Khomutov, Artem V/M-6490-2017; Fedorova, Irina/N-3436-2013; Leibman, Marina/V-6577-2017; Heim, Birgit/B-2815-2017</t>
  </si>
  <si>
    <t>Bartsch, Annett/0000-0002-3737-7931; Dvornikov, Yury/0000-0003-3491-4487; Herzschuh, Ulrike/0000-0003-0999-1261; Fedorova, Irina/0000-0001-5370-427X; Leibman, Marina/0000-0003-4634-6413; Heim, Birgit/0000-0003-2614-9391</t>
  </si>
  <si>
    <t>Program of Fundamental Research Department of Earth Sciences [5582.2012.5, 3929.2014.5, 9880.2016.5]; international project Circumpolar Active Layer Monitoring (CALM); international project Thermal State of Permafrost (TSP); Austrian Science Fund [I 1401]; Russian Foundation for Basic Research [13-05-91001-ANF-a]; Russian Science Foundation (RSF) [16-17-10203]; German Academic Exchange Service (DAAD); Otto Schmidt Laboratory for Polar and Marine Research (OSL); Helmholtz graduate school for Polar and Marine Research (POLMAR); Helmholtz program for Regional Climate Change REKLIM; Russian Science Foundation [16-17-10203] Funding Source: Russian Science Foundation</t>
  </si>
  <si>
    <t>Program of Fundamental Research Department of Earth Sciences; international project Circumpolar Active Layer Monitoring (CALM); international project Thermal State of Permafrost (TSP); Austrian Science Fund(Austrian Science Fund (FWF)); Russian Foundation for Basic Research(Russian Foundation for Basic Research (RFBR)Spanish Government); Russian Science Foundation (RSF)(Russian Science Foundation (RSF)); German Academic Exchange Service (DAAD)(Deutscher Akademischer Austausch Dienst (DAAD)); Otto Schmidt Laboratory for Polar and Marine Research (OSL); Helmholtz graduate school for Polar and Marine Research (POLMAR); Helmholtz program for Regional Climate Change REKLIM; Russian Science Foundation(Russian Science Foundation (RSF))</t>
  </si>
  <si>
    <t>This research was conducted within the framework of the Program of Fundamental Research Department of Earth Sciences No. 12 The processes in the atmosphere and cryosphere as factors of environment changes, Presidential grant for scientific schools No. 5582.2012.5, 3929.2014.5, and 9880.2016.5 as well as international projects Circumpolar Active Layer Monitoring (CALM) and Thermal State of Permafrost (TSP). This work was supported by the Austrian Science Fund under Grant [I 1401] and Russian Foundation for Basic Research Grant 13-05-91001-ANF-a (Joint Russian-Austrian project COLD-Yamal). This work has been supported by Russian Science Foundation (RSF) grant No. 16-17-10203 through the database processing and analysis for thermokarst lakes to be compared to crater lakes. The Authors would like to thank for the personal advices: F. Gunter concerning remote sensing data fusion and orthorectification; E. Dobrotina concerning the laboratory assistance; S. Zhuravlev concerning DEM processing for catchment delineation; M. Greenacre for valuable comments and advice on statistical processing of the data; A. Beamish for valuable editing and improvements to the manuscript; German Academic Exchange Service (DAAD), Otto Schmidt Laboratory for Polar and Marine Research (OSL) and Helmholtz graduate school for Polar and Marine Research (POLMAR) and the Helmholtz program for Regional Climate Change REKLIM for financial support; Digital Globe Foundation, German Aerospace Center (DLR, TDX-PI HYDR0226 and TSX-PI LAN1706), Japanese Space Agency (JAXA, ALOS2-PI1200) and ESA &amp; CNES for providing satellite images. We thank 3 anonymous reviewers and the editor for valuable comments and improvements to the manuscript.</t>
  </si>
  <si>
    <t>10.3390/rs10020167</t>
  </si>
  <si>
    <t>WOS:000427542100014</t>
  </si>
  <si>
    <t>Ferster, BS; Subrahmanyam, B; Macdonald, AM</t>
  </si>
  <si>
    <t>Ferster, Brady S.; Subrahmanyam, Bulusu; Macdonald, Alison M.</t>
  </si>
  <si>
    <t>Confirmation of ENSO-Southern Ocean Teleconnections Using Satellite-Derived SST</t>
  </si>
  <si>
    <t>Southern Ocean; sea surface temperature; teleconnections; Antarctic Oscillation; El Nino-Southern Oscillation; AVHRR</t>
  </si>
  <si>
    <t>SEA-SURFACE TEMPERATURE; ANNULAR MODE; CLIMATE-CHANGE; HEMISPHERE; HEAT; PRECIPITATION; OSCILLATION; VARIABILITY; ANTARCTICA; ANOMALIES</t>
  </si>
  <si>
    <t>The Southern Ocean is the focus of many physical, chemical, and biological analyses due to its global importance and highly variable climate. This analysis of sea surface temperatures (SST) and global teleconnections shows that SSTs are significantly spatially correlated with both the Antarctic Oscillation and the Southern Oscillation, with spatial correlations between the indices and standardized SST anomalies approaching 1.0. Here, we report that the recent positive patterns in the Antarctic and Southern Oscillations are driving negative (cooling) trends in SST in the high latitude Southern Ocean and positive (warming) trends within the Southern Hemisphere sub-tropics and mid-latitudes. The coefficient of regression over the 35-year period analyzed implies that standardized temperatures have warmed at a rate of 0.0142 per year between 1982 and 2016 with a monthly standard error in the regression of 0.0008. Further regression calculations between the indices and SST indicate strong seasonality in response to changes in atmospheric circulation, with the strongest feedback occurring throughout the austral summer and autumn.</t>
  </si>
  <si>
    <t>[Ferster, Brady S.; Subrahmanyam, Bulusu] Univ South Carolina, Sch Earth Ocean &amp; Environm, 701 Sumter St, Columbia, SC 29208 USA; [Macdonald, Alison M.] Woods Hole Oceanog Inst, Dept Phys Oceanog, MS 21,266 Woods Hole Rd, Woods Hole, MA 02543 USA</t>
  </si>
  <si>
    <t>Ferster, BS (corresponding author), Univ South Carolina, Sch Earth Ocean &amp; Environm, 701 Sumter St, Columbia, SC 29208 USA.</t>
  </si>
  <si>
    <t>bferster@seoe.sc.edu; sbulusu@geol.sc.edu; amacdonald@whoi.edu</t>
  </si>
  <si>
    <t>Ferster, Brady/X-6870-2019</t>
  </si>
  <si>
    <t>Ferster, Brady/0000-0001-9241-518X; BULUSU, SUBRAHMANYAM/0000-0003-3465-8065</t>
  </si>
  <si>
    <t>NASA/South Carolina Space-grant Graduate Assistantship; NOAA [NA160AR4310172]</t>
  </si>
  <si>
    <t>NASA/South Carolina Space-grant Graduate Assistantship; NOAA(National Oceanic Atmospheric Admin (NOAA) - USA)</t>
  </si>
  <si>
    <t>B.S.F. is supported by the NASA/South Carolina Space-grant Graduate Assistantship. NOAA's OISST v2 AVHRR data is obtained through the Earth Science Research Laboratory Physical Science Division (NOAA/ESRL/PSD) (https://www.esrl.noaa.gov/psd/data/gridded/data.noaa.oisst.v2.highres.html). The indices for the Southern Oscillation and Antarctic Oscillation are distributed by the Climate Prediction Center (CPC) of the National Centers of Environmental Prediction (NCEP), National Oceanic and Atmospheric Administration (NOAA). A. Macdonald acknowledges support from NOAA Grant #NA160AR4310172.</t>
  </si>
  <si>
    <t>10.3390/rs10020331</t>
  </si>
  <si>
    <t>WOS:000427542100175</t>
  </si>
  <si>
    <t>Pang, XP; Pu, J; Zhao, X; Ji, Q; Qu, M; Cheng, Z</t>
  </si>
  <si>
    <t>Pang, Xiaoping; Pu, Jian; Zhao, Xi; Ji, Qing; Qu, Meng; Cheng, Zian</t>
  </si>
  <si>
    <t>Comparison between AMSR2 Sea Ice Concentration Products and Pseudo-Ship Observations of the Arctic and Antarctic Sea Ice Edge on Cloud-Free Days</t>
  </si>
  <si>
    <t>sea ice edge; passive microwave; pseudo-ship observations; AMSR2</t>
  </si>
  <si>
    <t>SATELLITE; MODIS</t>
  </si>
  <si>
    <t>In recent years, much attention has been paid to the behavior of passive microwave sea ice concentration (SIC) products for marginal ice zones. Based on the definition of ice edges from ship observations, we identified pseudo-ship observations (PSO) and generated PSO ice edges from twelve cloud-free moderate-resolution imaging spectroradiometer (MODIS) images. Two SIC products of the advanced microwave scanning radiometer 2 (AMSR2) were compared at the PSO ice edges: ARTIST (arctic radiation and turbulence interaction study) sea ice (ASI-SIC) and bootstrap (BST-SIC). The mean values of ASI-SIC pixels located at ice edges were 10.5% and 10.3% for the Arctic and the Antarctic, respectively, and are below the commonly applied 15% threshold, whereas the mean values of corresponding BST-SIC pixels were 23.6% and 27.3%, respectively. The mean values of both ASI-SIC and BST-SIC were lower in summer than in winter. The spatial gaps among the 15% ASI-SIC ice edge, the 15% BST-SIC ice edge and the PSO ice edge were mostly within 35 km, whereas the 15% ASI-SIC ice edge matched better with the PSO ice edge. Results also show that the ice edges were located in the thin ice region, with a mean ice thickness of around 5-8 cm. We conclude that the 15% threshold well determines the ice edge from passive microwave SIC in both the Arctic and the Antarctic.</t>
  </si>
  <si>
    <t>[Pang, Xiaoping; Pu, Jian; Zhao, Xi; Ji, Qing; Qu, Meng; Cheng, Zian] Wuhan Univ, Chinese Antarctic Ctr Surveying &amp; Mapping, Wuhan 430079, Hubei, Peoples R China; [Pang, Xiaoping; Zhao, Xi; Ji, Qing] Natl Adm Surveying Mapping &amp; Geoinformat, Key Lab Polar Surveying &amp; Mapping, Wuhan 430079, Hubei, Peoples R China</t>
  </si>
  <si>
    <t>Zhao, X; Ji, Q (corresponding author), Wuhan Univ, Chinese Antarctic Ctr Surveying &amp; Mapping, Wuhan 430079, Hubei, Peoples R China.;Zhao, X; Ji, Q (corresponding author), Natl Adm Surveying Mapping &amp; Geoinformat, Key Lab Polar Surveying &amp; Mapping, Wuhan 430079, Hubei, Peoples R China.</t>
  </si>
  <si>
    <t>pxp@whu.edu.cn; pj9527@whu.edu.cn; xi.zhao@whu.edu.cn; jiqing@whu.edu.cn; mango@whu.edu.cn; chengzian@whu.edu.cn</t>
  </si>
  <si>
    <t>zhao, xi/HJY-6017-2023</t>
  </si>
  <si>
    <t>Qu, Meng/0000-0002-0036-917X; Zhao, Xi/0000-0003-2274-891X; Cheng, Zian/0000-0003-2201-5775</t>
  </si>
  <si>
    <t>National Natural Science Foundation of China [41576188, 41606215]</t>
  </si>
  <si>
    <t>This work was supported by the National Natural Science Foundation of China (No. 41576188 and 41606215). The authors want to thank the Institute of Environmental Physics (IEP), University of Bremen, Germany, for providing ASI and BST concentration data as well as SMOS data, and the Level-1 and Atmosphere Archive &amp; Distribution System for the MODIS data. We also thank two referees and Prof. Alfred Stein for their valuable comments and editing which improved the manuscript.</t>
  </si>
  <si>
    <t>10.3390/rs10020317</t>
  </si>
  <si>
    <t>WOS:000427542100161</t>
  </si>
  <si>
    <t>Testa, FJ; Villanueva, C; Cooke, DR; Zhang, LJ</t>
  </si>
  <si>
    <t>Testa, Francisco J.; Villanueva, Cecilia; Cooke, David R.; Zhang, Lejun</t>
  </si>
  <si>
    <t>Lithological and Hydrothermal Alteration Mapping of Epithermal, Porphyry and Tourmaline Breccia Districts in the Argentine Andes Using ASTER Imagery</t>
  </si>
  <si>
    <t>ASTER; geology; hydrothermal alteration; mineralization; epithermal; porphyry; magmatic-hydrothermal breccia pipe</t>
  </si>
  <si>
    <t>SPACEBORNE THERMAL EMISSION; REFLECTION RADIOMETER ASTER; ALTERED ROCKS; ALTERATION MINERALS; SPECTRA; AREA; IDENTIFICATION; EXPLORATION; PERFORMANCE; DEPOSITS</t>
  </si>
  <si>
    <t>The area of interest is located on the eastern flank of the Andean Cordillera, San Juan province, Argentina. The 3600 km(2) area is characterized by Siluro-Devonian to Neogene sedimentary and igneous rocks and unconsolidated Quaternary sediments. Epithermal, porphyry-related, and magmatic-hydrothermal breccia-hosted ore deposits, common in this part of the Frontal Cordillera, are associated with various types of hydrothermal alteration assemblages. Kaolinite - alunite-rich argillic, quartz - illite-rich phyllic, epidote - chlorite - calcite-rich propylitic and silicic are the most common hydrothermal alteration assemblages in the study area. VNIR, SWIR and TIR ASTER data were used to characterize geological features on a portion of the Frontal Cordillera. Red-green-blue band combinations, band ratios, logical operations, mineral indices and principal component analysis were applied to successfully identify rock types and hydrothermal alteration zones in the study area. These techniques were used to enhance geological features to contrast different lithologies and zones with high concentrations of argillic, phyllic, propylitic alteration mineral assemblages and silicic altered rocks. Alteration minerals detected with portable short-wave infrared spectrometry in hand specimens confirmed the capability of ASTER to identify hydrothermal alteration assemblages. The results from field control areas confirmed the presence of those minerals in the areas classified by ASTER processing techniques and allowed mapping the same mineralogy where pixels had similar information. The current study proved ASTER processing techniques to be valuable mapping tools for geological reconnaissance of a large area of the Argentinean Frontal Cordillera, providing preliminary lithologic and hydrothermal alteration maps that are accurate as well as cost and time effective.</t>
  </si>
  <si>
    <t>[Testa, Francisco J.; Cooke, David R.; Zhang, Lejun] Univ Tasmania, CODES, Private Bag 79, Hobart, Tas 7001, Australia; [Testa, Francisco J.; Cooke, David R.; Zhang, Lejun] Univ Tasmania, Transforming Min Value Chain, Private Bag 79, Hobart, Tas 7001, Australia; [Villanueva, Cecilia] Univ Tasmania, Sch Land &amp; Food, Geog &amp; Spatial Sci, Private Bag 78, Hobart, Tas 7001, Australia; [Villanueva, Cecilia] Univ Tasmania, Inst Marine &amp; Antarctic Studies, Private Bag 49, Hobart, Tas 7001, Australia</t>
  </si>
  <si>
    <t>University of Tasmania; University of Tasmania; University of Tasmania; University of Tasmania</t>
  </si>
  <si>
    <t>Testa, FJ (corresponding author), Univ Tasmania, CODES, Private Bag 79, Hobart, Tas 7001, Australia.;Testa, FJ (corresponding author), Univ Tasmania, Transforming Min Value Chain, Private Bag 79, Hobart, Tas 7001, Australia.</t>
  </si>
  <si>
    <t>F.J.Testa@utas.edu.au; Cecilia.Villanueva@utas.edu.au; D.Cooke@utas.edu.au; Lejun.Zhang@utas.edu.au</t>
  </si>
  <si>
    <t>Cooke, David/C-7371-2008; Zhang, Lei/B-6258-2012</t>
  </si>
  <si>
    <t>Cooke, David/0000-0003-3096-5658; Zhang, Lejun/0000-0003-0874-8526; Villanueva, Cecilia/0000-0001-9694-3131</t>
  </si>
  <si>
    <t>AMIRA project [P1060]; ARC Research Hub for Transforming the Mining Value Chain [IH130200004]; University of Tasmania-CODES; CONICET</t>
  </si>
  <si>
    <t>AMIRA project; ARC Research Hub for Transforming the Mining Value Chain(Australian Research Council); University of Tasmania-CODES; CONICET(Consejo Nacional de Investigaciones Cientificas y Tecnicas (CONICET))</t>
  </si>
  <si>
    <t>The information published in this article is part of Francisco J Testa's PhD thesis. the main author wants to thank the AMIRA P1060 project, the ARC Research Hub for Transforming the Mining Value Chain (project number IH130200004) and the University of Tasmania-CODES, for providing funding for Francisco's PhD thesis and allowing the usage of licensed software, especially ENVI 4.8, ENVI 5.0 and ENVI FLAASH Atmospheric Correction Module. The senior author is grateful to CONICET for providing postgrad funding for the early stages of Francisco's PhD study as well as the Geology Department at Universidad Nacional del Sur and INGEOSUR for allowing the use of its facilities. The authors would like to thank the Servicio Geologico Minero Argentino (SEGEMAR) for providing the ASTER scene used in this study. Special thanks to Graciela Marin, Remote Sensing and GIS coordinator at SEGEMAR, for taking time to answer every question regarding the scene provided. The atmospheric data used in this study were acquired as part of the activities of NASA's Science Mission Directorate and are archived and distributed by the Goddard Earth Sciences (GES) Data and Information Services Centre (DISC). Last but not least, we gratefully acknowledge the three anonymous reviewers selected by Remote Sensing who examined the original manuscript; their critical reading and valuable comments greatly improved this article.</t>
  </si>
  <si>
    <t>10.3390/rs10020203</t>
  </si>
  <si>
    <t>WOS:000427542100049</t>
  </si>
  <si>
    <t>Duron, Q; Jiménez, JE; Vergara, PM; Soto, GE; Lizama, M; Rozzi, R</t>
  </si>
  <si>
    <t>Duron, Quiterie; Jimenez, Jaime E.; Vergara, Pablo M.; Soto, Gerardo E.; Lizama, Marlene; Rozzi, Ricardo</t>
  </si>
  <si>
    <t>Intersexual segregation in foraging microhabitat use by Magellanic Woodpeckers (Campephilus magellanicus): Seasonal and habitat effects at the world's southernmost forests</t>
  </si>
  <si>
    <t>AUSTRAL ECOLOGY</t>
  </si>
  <si>
    <t>Campephilus magellanicus; foraging strategy; intersexual niche overlap; resource partitioning; sub-Antarctic forests</t>
  </si>
  <si>
    <t>TIERRA-DEL-FUEGO; SEXUAL-DIMORPHISM; NICHE DIFFERENTIATION; PICOIDES-TRIDACTYLUS; TERRITORY USE; BEHAVIOR; CONSERVATION; OVERLAP; QUALITY</t>
  </si>
  <si>
    <t>Animals facing seasonal food shortage and habitat degradation may adjust their foraging behaviour to reduce intraspecific competition. In the harsh environment of the world's southernmost forests in the Magellanic sub-Antarctic ecoregion in Chile, we studied intersexual foraging differences in the largest South American woodpecker species, the Magellanic Woodpecker (Campephilus magellanicus). We assessed whether niche overlap between males and females decrease when food resources are less abundant or accessible, that is, during winter and in secondary forests, compared to summer and in old-growth forests, respectively. We analysed 421 foraging microhabitat observations from six males and six females during 2011 and 2012. As predicted, the amount of niche overlap between males and females decreased during winter, when provisioning is more difficult. During winter, males and females (i) used trees with different diameter at breast height (DBH); (ii) fed in trunk sections with different diameters; and (iii) fed at different heights on tree trunks or branches. Vertical niche partitioning between sexes was found in both old-growth and secondary forests. Such a niche partitioning during winter may be a seasonal strategy to avoid competition between sexes when prey resources are less abundant or accessible. Our results suggest that the conservation of this forest specialist, dimorphic and charismatic woodpecker species requires considering differences in habitat use between males and females.</t>
  </si>
  <si>
    <t>[Duron, Quiterie; Jimenez, Jaime E.; Rozzi, Ricardo] Univ Magallanes, Omora Ethnobot Pk, Punta Arenas, Chile; [Jimenez, Jaime E.] Univ North Texas, Dept Biol Sci, Denton, TX USA; [Jimenez, Jaime E.; Rozzi, Ricardo] Univ North Texas, Dept Philosophy &amp; Relig, Denton, TX USA; [Jimenez, Jaime E.; Rozzi, Ricardo] Inst Ecol &amp; Biodivers, Santiago, Chile; [Vergara, Pablo M.; Lizama, Marlene] Univ Santiago Chile, Dept Gest Agr, Santiago, Chile; [Soto, Gerardo E.] Cornell Univ, Cornell Lab Ornithol, Dept Nat Resources, Ithaca, NY USA; [Duron, Quiterie] Naleche, F-23200 Moutier Rozeille, France</t>
  </si>
  <si>
    <t>Universidad de Magallanes; University of North Texas System; University of North Texas Denton; University of North Texas System; University of North Texas Denton; Universidad de Santiago de Chile; Cornell University</t>
  </si>
  <si>
    <t>Duron, Q (corresponding author), Univ Magallanes, Omora Ethnobot Pk, Punta Arenas, Chile.;Duron, Q (corresponding author), Naleche, F-23200 Moutier Rozeille, France.</t>
  </si>
  <si>
    <t>kithry@hotmail.fr</t>
  </si>
  <si>
    <t>Rozzi, Ricardo/G-1047-2012; Soto, Gerardo Emanuel/JAX-4165-2023; Vergara, Pablo M/F-2519-2010; Jimenez, Jaime E./AAO-7531-2020</t>
  </si>
  <si>
    <t>Rozzi, Ricardo/0000-0001-5265-8726; Vergara, Pablo M/0000-0002-0024-1678; Soto, Gerardo/0000-0002-9706-6588</t>
  </si>
  <si>
    <t>University of North Texas; Universidad de Magallanes; Universidad de Santiago de Chile; Institute of Ecology and Biodiversity (IEB-Chile) [P05-002 ICM, CONICYT PFB-23]; FONDECYT [1131133]; Advanced Human Capital Program - CONICYT</t>
  </si>
  <si>
    <t>University of North Texas; Universidad de Magallanes; Universidad de Santiago de Chile; Institute of Ecology and Biodiversity (IEB-Chile); FONDECYT(Comision Nacional de Investigacion Cientifica y Tecnologica (CONICYT)CONICYT FONDECYT); Advanced Human Capital Program - CONICYT</t>
  </si>
  <si>
    <t>We appreciate the help of several people for their assistance in the field, capturing and tracking birds. J. Tomasevic and J. C. Bednarz advised us on how to fit the transmitters. We also appreciate the help of S. Londe for his assistance in R analysis, and A. Wynia for English editing. Financial support came from the University of North Texas, Universidad de Magallanes, Universidad de Santiago de Chile, and the Institute of Ecology and Biodiversity (IEB-Chile, grants P05-002 ICM, and CONICYT PFB-23). Data analyses were supported by FONDECYT 1131133 (Proyecto Basal USA1555). We thank M. Bull and an anonymous reviewer who provided comments that greatly improved the quality of the manuscript. GES acknowledges W. Hochachka and R. Bennett from the Cornell Lab of Ornithology and M. Nazar for their technical support and the Advanced Human Capital Program - CONICYT for supporting his research. This work is a contribution to the Sub-Antarctic Biocultural Conservation Program.</t>
  </si>
  <si>
    <t>1442-9985</t>
  </si>
  <si>
    <t>1442-9993</t>
  </si>
  <si>
    <t>AUSTRAL ECOL</t>
  </si>
  <si>
    <t>Austral Ecol.</t>
  </si>
  <si>
    <t>10.1111/aec.12531</t>
  </si>
  <si>
    <t>FZ9YT</t>
  </si>
  <si>
    <t>WOS:000427969700003</t>
  </si>
  <si>
    <t>Latip, W; Abd Rahman, RNZR; Leow, ATC; Shariff, FM; Kamarudin, NHA; Ali, MSM</t>
  </si>
  <si>
    <t>Latip, Wahhida; Abd Rahman, Raja Noor Zaliha Raja; Leow, Adam Thean Chor; Shariff, Fairolniza Mohd; Kamarudin, Nor Hafizah Ahmad; Ali, Mohd Shukuri Mohamad</t>
  </si>
  <si>
    <t>The Effect of N-Terminal Domain Removal towards the Biochemical and Structural Features of a Thermotolerant Lipase from an Antarctic Pseudomonas sp Strain AMS3</t>
  </si>
  <si>
    <t>microbial enzyme; N-terminal domain; biochemical characterization; in silico; lipase; antarctic</t>
  </si>
  <si>
    <t>SOLVENT-STABLE LIPASE; EXPRESSION; PROTEIN; CLONING; PURIFICATION; GENE; DELETION; STABILITY; EFFICIENT; MUTATION</t>
  </si>
  <si>
    <t>Lipase plays an important role in industrial and biotechnological applications. Lipases have been subject to modification at the N and C terminals, allowing better understanding of lipase stability and the discovery of novel properties. A thermotolerant lipase has been isolated from Antarctic Pseudomonas sp. The purified Antarctic AMS3 lipase (native) was found to be stable across a broad range of temperatures and pH levels. The lipase has a partial Glutathione-S-transferase type C (GST-C) domain at the N-terminal not found in other lipases. To understand the influence of N-terminal GST-C domain on the biochemical and structural features of the native lipase, the deletion of the GST-C domain was carried out. The truncated protein was successfully expressed in E. coli BL21(DE3). The molecular weight of truncated AMS3 lipase was approximately similar to 45 kDa. The number of truncated AMS3 lipase purification folds was higher than native lipase. Various mono and divalent metal ions increased the activity of the AMS3 lipase. The truncated AMS3 lipase demonstrated a similarly broad temperature range, with the pH profile exhibiting higher activity under alkaline conditions. The purified lipase showed a substrate preference for a long carbon chain substrate. In addition, the enzyme activity in organic solvents was enhanced, especially for toluene, Dimethylsulfoxide (DMSO), chloroform and xylene. Molecular simulation revealed that the truncated lipase had increased structural compactness and rigidity as compared to native lipase. Removal of the N terminal GST-C generally improved the lipase biochemical characteristics. This enzyme may be utilized for industrial purposes.</t>
  </si>
  <si>
    <t>[Latip, Wahhida; Kamarudin, Nor Hafizah Ahmad] Univ Putra Malaysia, Enzyme &amp; Microbial Technol Res Ctr, Serdang 43400, Selangor, Malaysia; [Abd Rahman, Raja Noor Zaliha Raja; Shariff, Fairolniza Mohd] Univ Putra Malaysia, Dept Microbiol, Enzyme &amp; Microbial Technol Res Ctr, Serdang 43400, Selangor, Malaysia; [Leow, Adam Thean Chor] Univ Putra Malaysia, Dept Cell &amp; Mol Biol, Enzyme &amp; Microbial Technol Res Ctr, Serdang 43400, Selangor, Malaysia; [Ali, Mohd Shukuri Mohamad] Univ Putra Malaysia, Dept Biochem, Enzyme &amp; Microbial Technol Res Ctr, Serdang 43400, Selangor, Malaysia</t>
  </si>
  <si>
    <t>Universiti Putra Malaysia; Universiti Putra Malaysia; Universiti Putra Malaysia; Universiti Putra Malaysia</t>
  </si>
  <si>
    <t>Abd Rahman, RNZR (corresponding author), Univ Putra Malaysia, Dept Microbiol, Enzyme &amp; Microbial Technol Res Ctr, Serdang 43400, Selangor, Malaysia.</t>
  </si>
  <si>
    <t>wahhidalatip@gmail.com; rnzaliha@upm.edu.my; adamleow@upm.edu.my; fairolniza@upm.edu.my; hafizah_kamar@upm.edu.my; mshukuri@upm.edu.my</t>
  </si>
  <si>
    <t>Ali, Mohd Shukuri Mohamad/AAG-5453-2021; ALI, MOHD/IUM-6916-2023; latip, wahhida/AAK-3734-2020; Shariff, Fairolniza Mohd/IYJ-2362-2023; latip, wahhida/AAG-5438-2021; Rahman, Raja Noor Zaliha Raja Abd/I-5556-2019; Shariff, Fairolniza Mohd/AAL-2880-2020</t>
  </si>
  <si>
    <t>Ali, Mohd Shukuri Mohamad/0000-0003-2751-9649; latip, wahhida/0000-0002-6241-7528; Rahman, Raja Noor Zaliha Raja Abd/0000-0002-6316-6177; Mohd Shariff, Fairolniza/0000-0001-7586-4784</t>
  </si>
  <si>
    <t>Universiti Putra Malaysia research grant [GP-IPS/2016/9479200]</t>
  </si>
  <si>
    <t>Universiti Putra Malaysia research grant</t>
  </si>
  <si>
    <t>This research was supported by Universiti Putra Malaysia research grant (GP-IPS/2016/9479200).</t>
  </si>
  <si>
    <t>10.3390/ijms19020560</t>
  </si>
  <si>
    <t>FZ3YN</t>
  </si>
  <si>
    <t>gold, Green Accepted, Green Published, Green Submitted</t>
  </si>
  <si>
    <t>WOS:000427527400244</t>
  </si>
  <si>
    <t>Wright, NM; Scher, HD; Seton, M; Huck, CE; Duggan, BD</t>
  </si>
  <si>
    <t>Wright, Nicky M.; Scher, Howie D.; Seton, Maria; Huck, Claire E.; Duggan, Brian D.</t>
  </si>
  <si>
    <t>No Change in Southern Ocean Circulation in the Indian Ocean From the Eocene Through Late Oligocene</t>
  </si>
  <si>
    <t>Kerguelen Plateau; neodymium isotopes; Eocene-Oligocene transition; Southern Ocean</t>
  </si>
  <si>
    <t>ANTARCTIC BOTTOM WATER; ATLANTIC DEEP-WATER; ICE-SHEET EXPANSION; KERGUELEN PLATEAU; PRYDZ BAY; EAST ANTARCTICA; STABLE-ISOTOPE; FRONTAL STRUCTURE; MARINE-SEDIMENTS; POLAR WANDER</t>
  </si>
  <si>
    <t>Deciphering the evolution of Southern Ocean circulation during the Eocene and Oligocene has important implications for understanding the development of the Antarctic Circumpolar Current and transition to Earth's icehouse climate. To better understand ocean circulation patterns in the Indian Ocean sector of the Southern Ocean, we generated a new fossil fish tooth neodymium isotope record (epsilon(Nd)) from the upper Eocene to upper Oligocene sections (36-23Ma) of Ocean Drilling Program Sites 744 and 748 (Kerguelen Plateau, Indian Ocean). Reconstructed seawater epsilon(Nd) values from fossil fish teeth are used to trace changes in water masses across ocean basins. The records from Site 748 and Site 744 reveal a gradual shift from epsilon(Nd) values around -6.5 to -7.5 in the late Eocene to epsilon(Nd) values between -7.5 and -8.3 by the late Oligocene, consistent with a Circumpolar Deep Water (CDW) influence at the Kerguelen Plateau throughout the Oligocene. We interpret the shift to less radiogenic values to reflect the increased export of Northern Component Water to the Southern Ocean, likely into the proto-CDW. However, the records show no major change in water mass composition around the Kerguelen Plateau that would accompany an increase in Pacific throughflow related to the opening of Drake Passage and imply that Pacific throughflow via the Drake Passage occurred by the late Eocene. High-frequency variability in epsilon(Nd) values at Site 744 is interpreted as an imprint of Oligocene glacial activity, with a particularly pronounced excursion at 32.6Ma roughly coinciding with other glacial weathering indicators around Antarctica.</t>
  </si>
  <si>
    <t>[Wright, Nicky M.; Seton, Maria] Univ Sydney, Sch Geosci, EarthByte Grp, Sydney, NSW, Australia; [Scher, Howie D.; Duggan, Brian D.] Univ South Carolina, Dept Earth &amp; Ocean Sci, Columbia, SC USA; [Huck, Claire E.] Univ Southampton, Dept Ocean &amp; Earth Sci, Natl Oceanog Ctr, Southampton, Hants, England</t>
  </si>
  <si>
    <t>University of Sydney; University of South Carolina System; University of South Carolina Columbia; University of Southampton; NERC National Oceanography Centre</t>
  </si>
  <si>
    <t>Wright, NM (corresponding author), Univ Sydney, Sch Geosci, EarthByte Grp, Sydney, NSW, Australia.</t>
  </si>
  <si>
    <t>nicky.wright@sydney.edu.au</t>
  </si>
  <si>
    <t>Scher, Howie/C-4927-2013; Seton, Maria/H-8272-2013</t>
  </si>
  <si>
    <t>Seton, Maria/0000-0001-8541-1367; Wright, Nicky/0000-0002-5600-3193</t>
  </si>
  <si>
    <t>Australian Postgraduate Award; NSF [OCE 1155630]; ARC [FT130101564]; Marine Science Program at the University of South Carolina</t>
  </si>
  <si>
    <t>Australian Postgraduate Award(Australian Government); NSF(National Science Foundation (NSF)); ARC(Australian Research Council); Marine Science Program at the University of South Carolina</t>
  </si>
  <si>
    <t>We thank Steven Bohaty for sharing his updated age model for ODP Sites 744 and 748. We also thank the Editor and two anonymous reviewers for their comments, which has improved the quality of this manuscript. N. M. W. was supported by an Australian Postgraduate Award, H. D. S. by NSF OCE 1155630, M. S. by ARC grant FT130101564, and B. D. D. by the Marine Science Program at the University of South Carolina. Figures were constructed using Generic Mapping Tools. The Nd isotope data generated in this study are available in Tables S1 and S2 of the supporting information.</t>
  </si>
  <si>
    <t>10.1002/2017PA003238</t>
  </si>
  <si>
    <t>GA1IX</t>
  </si>
  <si>
    <t>WOS:000428070000002</t>
  </si>
  <si>
    <t>Oliver, ECJ; Lago, V; Hobday, AJ; Holbrook, NJ; Ling, SD; Mundy, CN</t>
  </si>
  <si>
    <t>Oliver, Eric C. J.; Lago, Veronique; Hobday, Alistair J.; Holbrook, Neil J.; Ling, Scott D.; Mundy, Craig N.</t>
  </si>
  <si>
    <t>Marine heatwaves off eastern Tasmania: Trends, interannual variability, and predictability</t>
  </si>
  <si>
    <t>Extreme events; Climate change; Climate variability; Ocean modelling; Self-organising maps</t>
  </si>
  <si>
    <t>KELP UNDARIA-PINNATIFIDA; CLIMATE-CHANGE; PROJECTED CHANGES; RAPID ASSESSMENT; OCEAN; ADAPTATION; ESTABLISHMENT; PATTERNS; HOTSPOT; SYSTEM</t>
  </si>
  <si>
    <t>Surface waters off eastern Tasmania are a global warming hotspot. Here, mean temperatures have been rising over several decades at nearly four times the global average rate, with concomitant changes in extreme temperatures - marine heatwaves. These changes have recently caused the marine biodiversity, fisheries and aquaculture industries off Tasmania's east coast to come under stress. In this study we quantify the long-term trends, variability and predictability of marine heatwaves off eastern Tasmania. We use a high-resolution ocean model for Tasmania's eastern continental shelf. The ocean state over the 1993-2015 period is hindcast, providing daily estimates of the three-dimensional temperature and circulation fields. Marine heatwaves are identified at the surface and subsurface from ocean temperature time series using a consistent definition. Trends in marine heatwave frequency are positive nearly everywhere and annual marine heatwave days and penetration depths indicate significant positive changes, particularly off southeastern Tasmania. A decomposition into modes of variability indicates that the East Australian Current is the dominant driver of marine heatwaves across the domain. Self-organising maps are used to identify 12 marine heatwave types, each with its own regionality, seasonality, and associated large-scale oceanic and atmospheric circulation patterns. The implications of this work for marine ecosystems and their management were revealed through review of past impacts and stake-holder discussions regarding use of these data.</t>
  </si>
  <si>
    <t>[Oliver, Eric C. J.; Lago, Veronique; Holbrook, Neil J.; Ling, Scott D.; Mundy, Craig N.] Univ Tasmania, Inst Marine &amp; Antarctic Studies, Hobart, Tas, Australia; [Oliver, Eric C. J.; Lago, Veronique] Univ Tasmania, Australian Res Council, Ctr Excellence Climate Syst Sci, Hobart, Tas, Australia; [Oliver, Eric C. J.] Dalhousie Univ, Dept Oceanog, Halifax, NS, Canada; [Lago, Veronique; Hobday, Alistair J.] CSIRO Oceans &amp; Atmosphere, Hobart, Tas, Australia; [Holbrook, Neil J.] Univ Tasmania, Ctr Excellence Climate Extremes, Australian Res Council, Hobart, Tas, Australia</t>
  </si>
  <si>
    <t>University of Tasmania; University of Tasmania; Dalhousie University; Commonwealth Scientific &amp; Industrial Research Organisation (CSIRO); University of Tasmania</t>
  </si>
  <si>
    <t>Oliver, ECJ (corresponding author), Dalhousie Univ, Dept Oceanog, Life Sci Ctr, Room 5617,1355 Oxford St, Halifax, NS, Canada.</t>
  </si>
  <si>
    <t>Mundy, Craig/G-3390-2014; Hobday, Alistair/A-1460-2012; Ling, Scott/J-7161-2014; Holbrook, Neil/M-7544-2013; Oliver, Eric/G-5118-2014</t>
  </si>
  <si>
    <t>Mundy, Craig/0000-0002-1945-3750; Ling, Scott/0000-0002-5544-8174; Holbrook, Neil/0000-0002-3523-6254; Oliver, Eric/0000-0002-4006-2826</t>
  </si>
  <si>
    <t>University of Tasmania (UTAS) Research Enhancement Granting Scheme (REGS) grant [00023890]; Australian Research Council Centre of Excellence for Climate System Science [CE110001028]; Australian Research Council Centre of Excellence for Climate Extremes [CE170100023]; NESP Earth Systems Science and Climate Change Hub Project [2.3]</t>
  </si>
  <si>
    <t>University of Tasmania (UTAS) Research Enhancement Granting Scheme (REGS) grant; Australian Research Council Centre of Excellence for Climate System Science(Australian Research Council); Australian Research Council Centre of Excellence for Climate Extremes(Australian Research Council); NESP Earth Systems Science and Climate Change Hub Project</t>
  </si>
  <si>
    <t>This work was funded by a University of Tasmania (UTAS) Research Enhancement Granting Scheme (REGS) 2016 grant (Oliver, Holbrook, Ling, Mundy and Hobday, 2016, Identifying historical marine heatwaves off eastern Tasmania, UTAS REGS 2016, Grant No. 00023890). ECJO acknowledges funding from the Australian Research Council Centre of Excellence for Climate System Science (Grant No. CE110001028). NJH acknowledges funding from the Australian Research Council Centre of Excellence for Climate Extremes (Grant No. CE170100023). This paper makes a contribution to NESP Earth Systems Science and Climate Change Hub Project 2.3 (component 2) on the predictability of ocean temperature extremes. The ecological and management implications were partly informed by the Marine Heatwaves Stakeholder Workshop: Marine heatwaves off eastern Tasmania: trends, variability, and typologies held at the University of Tasmania on 20 March 2017, bringing together representatives from science (oceanographers, ecologists), industry (fisheries, aquculture), and Tasmanian state government departments. The ETAS ocean model data is available through the IMAS data portal (data.imas.utas.edu.au). The Bluelink ocean data products were provided by CSIRO; Bluelink is a collaboration involving the Commonwealth Bureau of Meteorology, the Commonwealth Scientific and Industrial Research Organisation and the Royal Australian Navy. The National Centers for Environmental Prediction (NCEP) Climate Forecast System (CFS) Reanalysis and Version 2 analysis data were provided by the Research Data Archive at the National Center for Atmospheric Research, Computational and Information Systems Laboratory.</t>
  </si>
  <si>
    <t>10.1016/j.pocean.2018.02.007</t>
  </si>
  <si>
    <t>GA0GU</t>
  </si>
  <si>
    <t>WOS:000427992300008</t>
  </si>
  <si>
    <t>Douma, E; Rodger, CJ; Clilverd, MA; Hendry, AT; Engebretson, MJ; Lessard, MR</t>
  </si>
  <si>
    <t>Douma, Emma; Rodger, Craig J.; Clilverd, Mark A.; Hendry, Aaron T.; Engebretson, Mark J.; Lessard, Marc R.</t>
  </si>
  <si>
    <t>Comparison of Relativistic Microburst Activity Seen by SAMPEX With Ground-Based Wave Measurements at Halley, Antarctica</t>
  </si>
  <si>
    <t>VAN ALLEN PROBES; ELECTRON MICROBURSTS; RADIATION BELT; CHORUS EVENTS; VLF CHORUS; PRECIPITATION; EMISSIONS; MISSION; STORMS; SOLAR</t>
  </si>
  <si>
    <t>Relativistic electron microbursts are a known radiation belt particle precipitation phenomenon; however, experimental evidence of their drivers in space have just begun to be observed. Recent modeling efforts have shown that two different wave modes (whistler mode chorus waves and electromagnetic ion cyclotron (EMIC) waves) are capable of causing relativistic microbursts. We use the very low frequency/extremely low frequency Logger Experiment and search coil magnetometer at Halley, Antarctica, to investigate the ground-based wave activity at the time of the relativistic microbursts observed by the Solar Anomalous Magnetospheric Particle Explorer. We present three case studies of relativistic microburst events, which have one or both of the wave modes present in ground-based observations at Halley. To extend and solidify our case study results, we conduct superposed epoch analyses of the wave activity present at the time of the relativistic microburst events. Increased very low frequency wave amplitude is present at the time of the relativistic microburst events, identified as whistler mode chorus wave activity. However, there is also an increase in Pc1 - Pc2 wave power at the time of the relativistic microburst events, but it is identified as broadband noise and not structured EMIC emissions. We conclude that whistler mode chorus waves are, most likely, the primary drivers of relativistic microbursts. However, case studies confirm the potential of EMIC waves as an occasional driver of relativistic microbursts.</t>
  </si>
  <si>
    <t>[Douma, Emma; Rodger, Craig J.; Hendry, Aaron T.] Univ Otago, Dept Phys, Dunedin, New Zealand; [Clilverd, Mark A.] NERC, British Antarctic Survey, Cambridge, England; [Engebretson, Mark J.] Augsburg Univ, Dept Phys, Minneapolis, MN USA; [Lessard, Marc R.] Univ New Hampshire, Dept Phys, Durham, NH 03824 USA</t>
  </si>
  <si>
    <t>University of Otago; UK Research &amp; Innovation (UKRI); Natural Environment Research Council (NERC); NERC British Antarctic Survey; Augsburg University; University System Of New Hampshire; University of New Hampshire</t>
  </si>
  <si>
    <t>Douma, E (corresponding author), Univ Otago, Dept Phys, Dunedin, New Zealand.</t>
  </si>
  <si>
    <t>emmadouma@gmail.com</t>
  </si>
  <si>
    <t>Douma, Emma/AAE-9976-2020; Rodger, Craig/A-1501-2011; Hendry, Aaron/T-1911-2019</t>
  </si>
  <si>
    <t>Douma, Emma/0000-0003-3709-4939; Hendry, Aaron/0000-0002-9130-3781; Rodger, Craig J./0000-0002-6770-2707</t>
  </si>
  <si>
    <t>U.S. National Science Foundation [PLR-1341493, PLR-1341677]; University of Otago; Directorate For Geosciences; Office of Polar Programs (OPP) [1341493] Funding Source: National Science Foundation; Directorate For Geosciences; Office of Polar Programs (OPP) [1341677] Funding Source: National Science Foundation; NERC [bas0100031, NE/P01738X/1, NE/R016038/1] Funding Source: UKRI</t>
  </si>
  <si>
    <t>U.S. National Science Foundation(National Science Foundation (NSF)); University of Otago; Directorate For Geosciences; Office of Polar Programs (OPP)(National Science Foundation (NSF)NSF - Directorate for Geosciences (GEO)); Directorate For Geosciences; Office of Polar Programs (OPP)(National Science Foundation (NSF)NSF - Directorate for Geosciences (GEO)); NERC(UK Research &amp; Innovation (UKRI)Natural Environment Research Council (NERC))</t>
  </si>
  <si>
    <t>The authors would like to thank the many individuals involved in the development, operation, and maintenance of SAMPEX, the Halley search coil magnetometer, and the Halley VELOX instrument. Support for the Halley search coil magnetometer was provided by U.S. National Science Foundation grants PLR-1341493 to Augsburg College and PLR-1341677 to the University of New Hampshire. E. D. was supported by the University of Otago via a Fanny Evans PhD scholarship for women. Data availability is described at the following websites: http://www.srl.caltech.edu/sampex/DataCenter/index.html (SAMPEX), http://psddb.nerc-bas.ac.uk/data/access/coverage.php?class=101&amp;menu=1&amp;old=7&amp;source=1&amp;script=1 (Halley magnetometer), wdc.kugi.kyoto-u.ac.jp (AE), and http://psddb.nerc-bas.ac.uk/data/access/coverage.php?menu=1,7&amp;source=1&amp;script=1&amp;class=140(Halley VELOX).</t>
  </si>
  <si>
    <t>10.1002/2017JA024754</t>
  </si>
  <si>
    <t>WOS:000427568000017</t>
  </si>
  <si>
    <t>Investigating the Development of Abnormal Subauroral Ion Drift (ASAID) and Abnormal Subauroral Polarization Stream (ASAPS) During the Magnetically Active Times of September 2003</t>
  </si>
  <si>
    <t>FIELD-ALIGNED CURRENTS; ELECTRIC-FIELDS; INNER MAGNETOSPHERE; GEOSYNCHRONOUS OBSERVATIONS; SUBSTORM INJECTIONS; IONIZATION TROUGHS; IMF ORIENTATION; PLASMA-FLOW; F-LAYER; IONOSPHERE</t>
  </si>
  <si>
    <t>This study investigates two recently reported subauroral phenomena: the abnormal subauroral ion drift (ASAID) appearing as an inverted SAID and the shielding. E-SAID structure depicting a SAID feature on the poleward side of a small eastward or antisunward flow channel that is the shielding electric (E) field's signature. We have analyzed polar cross sections, constructed with multi-instrument Defense Meteorological Satellite Program data, for the development of these subauroral phenomena. New results show the features of abnormal subauroral polarization stream (ASAPS) and ASAID-ASAPS comprised by a narrow ASAID embedded in a wider ASAPS. We have identified undershielding, perfect shielding, and overshielding events. Our observational results demonstrate SAPS development during undershielding, the absence of subauroral flow channel during perfect shielding, and ASAID/ASAPS and shielding. E-SAID/SAPS development during overshielding. The appearance of an ASAID-ASAPS structure together with a pair of dayside-nightside eastward auroral flow channels implies the intensification of region 2 field-aligned currents via the westward traveling surge and thus the strengthening of overshielding conditions. From the observational results presented we conclude for the magnetically active time period studied that (i) the shielding E field drove the wider ASAPS flow channel, (ii) the ASAID-ASAPS structure's narrow antisunward flow channel developed due to the injections of hot ring current ions in a short-circuited system wherein the hot ring current plasma was closer to the Earth than the cold plasmaspheric plasma, and (iii) overshielding created this hot-cold plasma configuration via the development of a plasmaspheric shoulder.</t>
  </si>
  <si>
    <t>Lovell, Brian/0000-0001-6722-1754; Horvath, Ildiko/0000-0002-1899-3907</t>
  </si>
  <si>
    <t>This material is based on research sponsored by the Air Force Office of Scientific Research, under agreement FA2386-16-1-4127. The U.S. Government is authorized to reproduce and distribute reprints for governmental purposes notwithstanding any copyright notation thereon. We gratefully acknowledge the Los Alamos National Laboratory data (https://cdaweb.gsfc.nasa.gov/cgi-bin/eval1.cgi) and are grateful to the ACE SWEPAM instrument team, the ACE Science Center for providing the ACE data (http://www.srl.caltech.edu/ACE/ASC/level2/), and to the Center for Space Sciences at the University of Texas at Dallas (http://cindispace.utdallas.edu/DMSP/dmsp_data_at_utdallas.html) along with the CEDAR Archival Madrigal Database (http://cedar.open-madrigal.org/) and the U.S. Air Force for providing the DMSP thermal plasma data. We also thank the World Data Center for Geomagnetism at Kyoto (http://wdc.kugi.kyoto-u.ac.jp/wdc/Sec3.html) for providing the geomagnetic indices and both The Technical University of Denmark and the Arctic and Antarctic Research Institute for the PCN index (http://pcindex.org/). Special thanks are extended to Virginia Tech for the Interactive Map Potential Plotting tool (http://vt.superdarn.org/tiki-index.php?page=DaViT+Map+Potential+Plot) and to The Johns Hopkins University Applied Physics Laboratory for the spectrogram images.</t>
  </si>
  <si>
    <t>10.1002/2017JA024870</t>
  </si>
  <si>
    <t>WOS:000427568000038</t>
  </si>
  <si>
    <t>High-Latitude Neutral Density Structures Investigated by Utilizing Multi-Instrument Satellite Data and NRLMSISE-00 Simulations</t>
  </si>
  <si>
    <t>IONOSPHERIC DISTURBANCE DYNAMO; IMF B-Y; POLAR-REGIONS; CUSP REGION; SCALE FAC; WIND; CHAMP; CONVECTION; FIELD; CONDUCTIVITY</t>
  </si>
  <si>
    <t>This study investigates various types of neutral density features developed in the cusp region during magnetically active and quiet times. Multi-instrument Challenging Minisatellite Payload data provide neutral density, electron temperature, neutral wind speed, and small-scale field-aligned current (SS-FAC) values. Gravity Recovery and Climate Experiment neutral density data are also employed. During active times, cusp densities or density spikes appeared with their underlying flow channels (FCs) and enhanced SS-FACs implying upwelling, fueled by Joule heating, within/above FCs. Both the moderate nightside cusp enhancements under disturbed conditions and the minor dayside cusp enhancements under quiet conditions developed without any underlying FC and enhanced SS-FACs implying the role of particle precipitation in their development. Observations demonstrate the relations of FCs, density spikes, and upwelling-related divergent flows and their connections to the underlying (1) dayside magnetopause reconnection depositing magnetospheric energy into the high-latitude region and (2) Joule heating-driven disturbance dynamo effects. Results provide observational evidence that the moderate nightside cusp enhancements and the minor dayside cusp enhancements detected developed due to direct heating by weak particle precipitation. Chemical compositions related to the dayside density spike and low cusp densities are modeled by Naval Research Laboratory Mass Spectrometer Incoherent Scatter Radar Extended 2000. Modeled composition outputs for the dayside density spike's plasma environment depict some characteristic upwelling signatures. Oppositely, in the case of low dayside cusp densities, composition outputs show opposite characteristics due to the absence of upwelling.</t>
  </si>
  <si>
    <t>This material is based on research sponsored by the Air Force Office of Scientific Research, under agreement FA2386-16-1-4127. The U.S. Government is authorized to reproduce and distribute reprints for Governmental purposes notwithstanding any copyright notation thereon. We are grateful to Eelco Doornbos and ESA's Living Planet Programme and to the Delft Institute for Earth Observation and Space Systems (DEOS) for the CHAMP and GRACE-A data and for the NRLMSISE-00 simulations, to the GFZ German Research Centre for Geosciences for the CHAMP electron temperature data, and to the Center for Space Sciences at the University of Texas at Dallas, CEDAR Archival Madrigal Database, and the U.S. Air Force for providing the DMSP thermal plasma data. We are thankful to Hermann Luhr for fruitful discussions and for providing the CHAMP field-aligned current estimates. We also thank the World Data Center for Geomagnetism at Kyoto (http://wdc.kugi.kyoto-u.ac.jp/wdc/Sec3.html) for providing the geomagnetic indices and the Space Physics Interactive Data Resource (SPIDR) for the magnetometer data. Special thanks are extended to The Johns Hopkins University Applied Physics Laboratory for the spectrogram images, to the Arctic and Antarctic Research Institute and the Technical University of Denmark for the polar cap indices, and to The Johns Hopkins University Applied Physics Laboratory for the spectrogram images and OVATION data.</t>
  </si>
  <si>
    <t>10.1002/2017JA024600</t>
  </si>
  <si>
    <t>WOS:000427568000045</t>
  </si>
  <si>
    <t>Mateling, ME; Lazzara, MA; Keller, LM; Weidner, GA; Cassano, JJ</t>
  </si>
  <si>
    <t>Mateling, Marian E.; Lazzara, Matthew A.; Keller, Linda M.; Weidner, George A.; Cassano, John J.</t>
  </si>
  <si>
    <t>Alexander Tall Tower! A Study of the Boundary Layer on the Ross Ice Shelf, Antarctica</t>
  </si>
  <si>
    <t>SURFACE-ENERGY BALANCE; AUTOMATIC WEATHER STATIONS; DAILY CYCLE; TEMPERATURE; WIND; CLIMATOLOGY; HEAT; SIMULATIONS; PREDICTION; LATITUDES</t>
  </si>
  <si>
    <t>Because of the harsh weather conditions on the Antarctic continent, year-round observations of the low-level boundary layer must be obtained via automated data acquisition systems. Alexander Tall Tower! is an automatic weather station on the Ross Ice Shelf in Antarctica and has been operational since February 2011. At 30 m tall, this station has six levels of instruments to collect environmental data, including temperature, wind speed and direction, relative humidity, and pressure. Data are collected at 30-, 15-, 7.5-, 4-, 2-, and 1-m levels above the snow surface. This study identifies short-term trends and provides an improved description of the lowest portion of the boundary layer over this portion of the Ross Ice Shelf for the February 2011-January 2014 period. Observations indicate two separate initiations of the winter season occur annually, caused by synoptic-scale anomalies. Sensible and latent heat flux estimates are computed using Monin-Obukhov similarity theory and vertical profiles of potential air temperature and wind speed. Over the three years, the monthly mean sensible heat flux ranges between 1 and 39 W m(-2) (toward the surface) and the monthly mean latent heat flux ranges between -8 and 0 W m(-2). Net heat fluxes directed toward the surface occur most of the year, indicating an atmospheric sink of energy.</t>
  </si>
  <si>
    <t>[Mateling, Marian E.; Lazzara, Matthew A.; Keller, Linda M.; Weidner, George A.] Univ Wisconsin, Space Sci &amp; Engn Ctr, Antarctic Meteorol Res Ctr, Madison, WI 53706 USA; [Mateling, Marian E.; Keller, Linda M.; Weidner, George A.] Univ Wisconsin, Dept Atmospher &amp; Ocean Sci, Madison, WI 53706 USA; [Lazzara, Matthew A.] Madison Area Tech Coll, Sch Arts &amp; Sci, Dept Phys Sci, Madison, WI USA; [Cassano, John J.] Univ Colorado, Cooperat Inst Res Environm Sci, Boulder, CO 80309 USA; [Cassano, John J.] Univ Colorado, Dept Atmospher &amp; Ocean Sci, Boulder, CO 80309 USA</t>
  </si>
  <si>
    <t>University of Wisconsin System; University of Wisconsin Madison; University of Wisconsin System; University of Wisconsin Madison; University of Colorado System; University of Colorado Boulder; University of Colorado System; University of Colorado Boulder</t>
  </si>
  <si>
    <t>Mateling, ME (corresponding author), Univ Wisconsin, Space Sci &amp; Engn Ctr, Antarctic Meteorol Res Ctr, Madison, WI 53706 USA.;Mateling, ME (corresponding author), Univ Wisconsin, Dept Atmospher &amp; Ocean Sci, Madison, WI 53706 USA.</t>
  </si>
  <si>
    <t>mateling@wisc.edu</t>
  </si>
  <si>
    <t>Cassano, John/HKW-8817-2023</t>
  </si>
  <si>
    <t>Lazzara, Matthew/0000-0002-4343-498X</t>
  </si>
  <si>
    <t>Office of Polar Programs at the National Science Foundation [ANT-0944018, ANT-1141908, ANT-1245663, ANT-1543305, OPP-2345737, OPP-1543158]; National Aeronautics and Space Administration (NASA) under NSF [EAR-0735156]; Directorate For Geosciences; Office of Polar Programs (OPP) [1543305] Funding Source: National Science Foundation</t>
  </si>
  <si>
    <t>Office of Polar Programs at the National Science Foundation(National Science Foundation (NSF)); National Aeronautics and Space Administration (NASA) under NSF(National Aeronautics &amp; Space Administration (NASA)); Directorate For Geosciences; Office of Polar Programs (OPP)(National Science Foundation (NSF)NSF - Directorate for Geosciences (GEO))</t>
  </si>
  <si>
    <t>The authors appreciate the support of the Office of Polar Programs at the National Science Foundation (Grants ANT-0944018, ANT-1141908, ANT-1245663, ANT-1543305, OPP-2345737, and OPP-1543158) for their support of the U.S. Antarctic AWS program and the Antarctic Meteorological Research Center. This material is based on (data, equipment, and/or engineering) services provided by the UNAVCO Facility with support from the National Science Foundation (NSF) and the National Aeronautics and Space Administration (NASA) under NSF Cooperative Agreement EAR-0735156. Thanks are given to Melissa Nigro of the University of Colorado Boulder for providing quality-controlled wind data and to Joey Snarski for his help in creating the depiction of the tower and instrumentation. Last, we thank Ankur Desai of the University of Wisconsin-Madison for guidance with the turbulent heat flux estimates.</t>
  </si>
  <si>
    <t>10.1175/JAMC-D-17-0017.1</t>
  </si>
  <si>
    <t>FZ1UG</t>
  </si>
  <si>
    <t>WOS:000427362400013</t>
  </si>
  <si>
    <t>Motti, CA; Bose, U; Roberts, RE; McDougall, C; Smith, MK; Hall, MR; Cummins, SF</t>
  </si>
  <si>
    <t>Motti, Cherie A.; Bose, Utpal; Roberts, Rebecca E.; McDougall, Carmel; Smith, Meaghan K.; Hall, Michael R.; Cummins, Scott F.</t>
  </si>
  <si>
    <t>Chemical Ecology of Chemosensation in Asteroidea: Insights Towards Management Strategies of Pest Species</t>
  </si>
  <si>
    <t>JOURNAL OF CHEMICAL ECOLOGY</t>
  </si>
  <si>
    <t>Asteroid; Semiochemical; Kairomone; Allomone; Hormone; Chemosensation; Chemoreceptors, chemoreception; Crown-of-Thorns starfish</t>
  </si>
  <si>
    <t>OF-THORNS STARFISH; ACANTHASTER-PLANCI L; URCHIN STRONGYLOCENTROTUS-DROEBACHIENSIS; MEDIASTER-AEQUALIS STIMPSON; MARINE INVERTEBRATE LARVAE; PREDATOR-PREY INTERACTIONS; SPERM-ACTIVATING PEPTIDES; ANTARCTIC SEA STARS; GREAT-BARRIER-REEF; ASTERIAS-RUBENS</t>
  </si>
  <si>
    <t>Within the Phylum Echinodermata, the class Asteroidea, commonly known as starfish and sea stars, encompasses a large number of benthos inhabiting genera and species with various feeding modalities including herbivores, carnivores, omnivores and detritivores. The Asteroidea rely on chemosensation throughout their life histories including hunting prey, avoiding or deterring predators, in the formation of spawning aggregations, synchronizing gamete release and targeting appropriate locations for larval settlement. The identities of many of the chemical stimuli that mediate these physiological and behavioural processes remain unresolved even though evidence indicates they play pivotal roles in the functionality of benthic communities. Aspects of chemosensation, as well as putative chemically-mediated behaviours and the molecular mechanisms of chemoreception, within the Asteroidea are reviewed here, with particular reference to the coral reef pest the Crown-of-Thorns starfish Acanthaster planci species complex, in the context of mitigation of population outbreaks.</t>
  </si>
  <si>
    <t>[Motti, Cherie A.; Hall, Michael R.] AIMS, Townsville, Qld 4810, Australia; [Bose, Utpal; Roberts, Rebecca E.; Smith, Meaghan K.; Cummins, Scott F.] Univ Sunshine Coast, Genecol Res Ctr, Maroochydore, Qld 4558, Australia; [Bose, Utpal] CSIRO Agr &amp; Food, 306 Carmody Rd, St Lucia, Qld 4067, Australia; [McDougall, Carmel] Univ Queensland, Sch Biol Sci, Ctr Marine Sci, Brisbane, Qld 4072, Australia; [McDougall, Carmel] Griffith Univ, Australian Rivers Inst, Brisbane, Qld 4111, Australia</t>
  </si>
  <si>
    <t>Australian Institute of Marine Science; University of the Sunshine Coast; Commonwealth Scientific &amp; Industrial Research Organisation (CSIRO); University of Queensland; Griffith University</t>
  </si>
  <si>
    <t>Motti, CA (corresponding author), AIMS, Townsville, Qld 4810, Australia.</t>
  </si>
  <si>
    <t>c.motti@aims.gov.au</t>
  </si>
  <si>
    <t>Smith, Meaghan/T-9452-2019; McDougall, Carmel/G-3512-2010; Motti, Cherie/A-2588-2012; Bose, Utpal/AAU-5241-2020; Cummins, Scott/I-6420-2016</t>
  </si>
  <si>
    <t>McDougall, Carmel/0000-0002-2116-5651; Motti, Cherie/0000-0002-3292-2785; Bose, Utpal/0000-0003-1156-6504; Smith, Meaghan/0000-0002-7139-6618; Cummins, Scott/0000-0002-1454-2076</t>
  </si>
  <si>
    <t>Australian Federal Government Department of the Environment Reef Rescue 'Caring for Country' program</t>
  </si>
  <si>
    <t>This paper was supported by the Australian Federal Government Department of the Environment Reef Rescue 'Caring for Country' program for funding the 'The Crown-of-Thorns secretome: Towards a control technology' project.</t>
  </si>
  <si>
    <t>0098-0331</t>
  </si>
  <si>
    <t>1573-1561</t>
  </si>
  <si>
    <t>J CHEM ECOL</t>
  </si>
  <si>
    <t>J. Chem. Ecol.</t>
  </si>
  <si>
    <t>10.1007/s10886-018-0926-4</t>
  </si>
  <si>
    <t>Biochemistry &amp; Molecular Biology; Ecology</t>
  </si>
  <si>
    <t>Biochemistry &amp; Molecular Biology; Environmental Sciences &amp; Ecology</t>
  </si>
  <si>
    <t>FY8AC</t>
  </si>
  <si>
    <t>WOS:000427084000005</t>
  </si>
  <si>
    <t>Fabri, R; Krause, M; Dalfior, BM; Salles, RC; de Freitas, AC; da Silva, HE; Licinio, MVVJ; Brandao, GP; Carneiro, MTWD</t>
  </si>
  <si>
    <t>Fabri-, Reginaldo, Jr.; Krause, Maiara; Dalfior, Bruna M.; Salles, Roberta C.; de Freitas, Antonio Carlos; da Silva, Heitor E.; Licinio, Marcus Vinicius V. J.; Brandao, Geisamanda P.; Carneiro, Maria Tereza W. D.</t>
  </si>
  <si>
    <t>Trace elements in soil, lichens, and mosses from Fildes Peninsula, Antarctica: spatial distribution and possible origins</t>
  </si>
  <si>
    <t>Soil; Mosses; Lichens; Antarctic; Trace elements; ICP OES</t>
  </si>
  <si>
    <t>KING-GEORGE ISLAND; LIMPET NACELLA-CONCINNA; SOUTH SHETLAND ISLANDS; ATMOSPHERIC-POLLUTION; ADMIRALTY BAY; BASE-LINE; METALS; CONTAMINATION; SEDIMENTS; BIOACCUMULATION</t>
  </si>
  <si>
    <t>Antarctica is a region of great scientific interest, and several countries have scientific stations installed in that place. The exploration of Antarctica continent may be causing an impact on the environment. So, this study aims to evaluate the distribution of Cr, Cu, Ni, Zn, and V through the analysis of soil, lichens, and mosses from Fildes Peninsula, King George Island, Antarctica. Soil, lichens, and mosses samples were obtained from 13 points along the entire length of Fildes Peninsula, and the trace elements were determined by ICP OES. The concentration ranges (mu g/g) were: Soil-Cr 5.92-28.96; Cu 81.59-123.68; Ni 20.11-41.07; Zn 43.25-73.21; V 123.52-206.06; Lichens-Cr 0.76-2.12; Cu 0.74-16.79; Ni &lt; LD-1.88; Zn 4.97-12.06; V 0.96-20.95; Mosses-Cr 2.03-14.74; Cu 27.09-59.64; Ni 2.15-13.71; Zn 13.16-36.69; V 15.79-89.23. In general, these concentrations can be associated with several factors since this region presents intense human occupation and so the use of fossil fuels can be major source of the trace elements investigated.</t>
  </si>
  <si>
    <t>[Fabri-, Reginaldo, Jr.; Krause, Maiara; Dalfior, Bruna M.; Salles, Roberta C.; Brandao, Geisamanda P.; Carneiro, Maria Tereza W. D.] Univ Fed Espirito Santo, Dept Quim, Av Fernando Ferrari 514, BR-29075910 Vitoria, ES, Brazil; [de Freitas, Antonio Carlos; da Silva, Heitor E.] Univ Estado Rio De Janeiro, Inst Biol Roberto Alcantara Gomes, Dept Biofis &amp; Biometria, Av Sao Francisco Xavier 524, BR-20550900 Rio De Janeiro, RJ, Brazil; [Licinio, Marcus Vinicius V. J.] Univ Fed Espirito Santo, Dept Ciencias Fisiol, Av Marechal Campos 1468, BR-29043900 Vitoria, ES, Brazil</t>
  </si>
  <si>
    <t>Universidade Federal do Espirito Santo; Universidade do Estado do Rio de Janeiro; Universidade Federal do Espirito Santo</t>
  </si>
  <si>
    <t>Carneiro, MTWD (corresponding author), Univ Fed Espirito Santo, Dept Quim, Av Fernando Ferrari 514, BR-29075910 Vitoria, ES, Brazil.</t>
  </si>
  <si>
    <t>mariacarneiro@hotmail.com</t>
  </si>
  <si>
    <t>CARNEIRO, MARIA TEREZA Weitzel Dias/C-6116-2012; Carneiro, Maria João Alves/HDN-9049-2022; Carneiro, Maria João Alves/JCE-2044-2023; Evangelista, Heitor/C-7561-2013; Licínio, Marcus VVJ/G-6317-2012; CARNEIRO, MARIA TEREZA/AAW-5566-2020; Brandao, Geisamanda/D-1810-2013</t>
  </si>
  <si>
    <t>CARNEIRO, MARIA TEREZA Weitzel Dias/0000-0002-8731-5093; Brandao, Geisamanda/0000-0002-4315-0653; Licinio, Marcus Vinicius/0000-0003-3589-5652</t>
  </si>
  <si>
    <t>FAPES (Fundacao de Amparo a Pesquisa do Espirito Santo); CAPES (Coordenacao de Aperfeicoamento de Pessoal de Nivel Superior); CNPq (Conselho Nacional de Desenvolvimento Cientifico e Tecnologico); LabPetro/UFES - Laboratorio de Pesquisa e Desenvolvimento de Metodologias para Analise de Petroleo</t>
  </si>
  <si>
    <t>FAPES (Fundacao de Amparo a Pesquisa do Espirito Santo); CAPES (Coordenacao de Aperfeicoamento de Pessoal de Nivel Superior)(Coordenacao de Aperfeicoamento de Pessoal de Nivel Superior (CAPES)); CNPq (Conselho Nacional de Desenvolvimento Cientifico e Tecnologico)(Conselho Nacional de Desenvolvimento Cientifico e Tecnologico (CNPQ)); LabPetro/UFES - Laboratorio de Pesquisa e Desenvolvimento de Metodologias para Analise de Petroleo</t>
  </si>
  <si>
    <t>The authors are grateful to FAPES (Fundacao de Amparo a Pesquisa do Espirito Santo), CAPES (Coordenacao de Aperfeicoamento de Pessoal de Nivel Superior), CNPq (Conselho Nacional de Desenvolvimento Cientifico e Tecnologico) and LabPetro/UFES - Laboratorio de Pesquisa e Desenvolvimento de Metodologias para Analise de Petroleo for supporting this study. The authors are also grateful to PROANTAR (Programa Antartico Brasileiro) by the samples obtained.</t>
  </si>
  <si>
    <t>10.1007/s12665-018-7298-5</t>
  </si>
  <si>
    <t>FY3XS</t>
  </si>
  <si>
    <t>WOS:000426755300017</t>
  </si>
  <si>
    <t>Caruso, C; Rizzo, C; Mangano, S; Poli, A; Di Donato, P; Nicolaus, B; Di Marco, G; Michaud, L; Lo Giudice, A</t>
  </si>
  <si>
    <t>Caruso, Consolazione; Rizzo, Carmen; Mangano, Santina; Poli, Annarita; Di Donato, Paola; Nicolaus, Barbara; Di Marco, Gaetano; Michaud, Luigi; Lo Giudice, Angelina</t>
  </si>
  <si>
    <t>Extracellular polymeric substances with metal adsorption capacity produced by Pseudoalteromonas sp MER144 from Antarctic seawater</t>
  </si>
  <si>
    <t>Antarctica; Exopolymers; Heavy metals; Cryoprotection</t>
  </si>
  <si>
    <t>TERRA-NOVA BAY; ATMOSPHERIC HEAVY-METALS; BACTERIAL EXOPOLYSACCHARIDES; SEA-ICE; STRUCTURAL-CHARACTERIZATION; PSYCHROTROPHIC BACTERIA; PSEUDOMONAS-AERUGINOSA; ANTIBIOTIC-RESISTANCE; HYDROTHERMAL VENTS; ECOLOGICAL ROLES</t>
  </si>
  <si>
    <t>The EPS-producing Pseudoalteromonas sp. MER144 was selected among 606 isolates from Antarctic seawater due to its evident slimy appearance on agar plates. The production of EPSs was enhanced by a step-by-step approach varying the carbon source, substrate and NaCl concentrations, temperature, and pH. Optimal conditions for the EPS production resulted at temperature of 4 degrees C and pH 7, with addition of 2% sucrose (w/v) and 3% NaCl (w/v). EPSs produced under optimal conditions were chemically characterized, resulting in a moderate carbohydrate content (35%), uronic acids (14%), and proteins (12%). Monosaccharide composition was estimated to be Glu:Man:GluN:Ara:GluA:GalA:Gal (1:0.36:0.26:0.06:0.06:0.05:0.03), while the estimated molecular weight was about 250 kDa. The addition of sucrose in the culture medium, by stimulating the EPS production, allowed MER144 to tolerate higher concentrations of mercury and cadmium. This finding was probably dependent on the presence of uronic acids and sulfate groups, which can bind cations, in the extracted EPSs. Monitoring EPS production under optimal conditions at different concentrations of mercury and cadmium revealed that EPS amounts increased at increasing heavy metal concentrations, indicating an adaptation to the stress conditions tested.</t>
  </si>
  <si>
    <t>[Caruso, Consolazione; Rizzo, Carmen; Mangano, Santina; Michaud, Luigi; Lo Giudice, Angelina] Univ Messina, Dept Chem Biol Pharmaceut &amp; Environm Sci ChiBioFa, Messina, Italy; [Poli, Annarita; Di Donato, Paola; Nicolaus, Barbara] CNR, ICB, Inst Biomol Chem, Natl Res Council, Pozzuoli, NA, Italy; [Di Donato, Paola] Univ Naples Parthenope, Dept Sci &amp; Technol, Ctr Direz, Isola C4, I-80143 Naples, Italy; [Di Marco, Gaetano] CNR, IPCF, Inst Chem Phys Proc, Natl Res Council, Messina, Italy; [Lo Giudice, Angelina] CNR, Inst Coastal Marine Environm, IAMC, Natl Res Council, Spianata San Raineri 86, I-98122 Messina, Italy</t>
  </si>
  <si>
    <t>University of Messina; Consiglio Nazionale delle Ricerche (CNR); Istituto di Chimica Biomolecolare (ICB-CNR); Parthenope University Naples; Consiglio Nazionale delle Ricerche (CNR); Istituto per i Processi Chimico-Fisici (IPCF-CNR); Consiglio Nazionale delle Ricerche (CNR); L'Istituto per l'Ambiente Marino Costiero (IAMC-CNR)</t>
  </si>
  <si>
    <t>Lo Giudice, A (corresponding author), Univ Messina, Dept Chem Biol Pharmaceut &amp; Environm Sci ChiBioFa, Messina, Italy.;Lo Giudice, A (corresponding author), CNR, Inst Coastal Marine Environm, IAMC, Natl Res Council, Spianata San Raineri 86, I-98122 Messina, Italy.</t>
  </si>
  <si>
    <t>Rizzo, Carmen/AAA-3075-2022; Di Donato, Paola/P-9245-2016; Rizzo, Carmen/S-6285-2019</t>
  </si>
  <si>
    <t>Di Donato, Paola/0000-0002-7485-1815;</t>
  </si>
  <si>
    <t>PNRA (Programma Nazionale di Ricerche in Antartide); Italian Ministry of Education and Research [PNRA 2004/1.6, PNRA16_00020]; MNA (Museo Nazionale dell'Antartide)</t>
  </si>
  <si>
    <t>PNRA (Programma Nazionale di Ricerche in Antartide); Italian Ministry of Education and Research(Ministry of Education, Universities and Research (MIUR)); MNA (Museo Nazionale dell'Antartide)</t>
  </si>
  <si>
    <t>This research was supported by grants from PNRA (Programma Nazionale di Ricerche in Antartide), Italian Ministry of Education and Research (Research Projects PNRA 2004/1.6 and PNRA16_00020), and from MNA (Museo Nazionale dell'Antartide).</t>
  </si>
  <si>
    <t>10.1007/s11356-017-0851-z</t>
  </si>
  <si>
    <t>FX0XG</t>
  </si>
  <si>
    <t>WOS:000425770300059</t>
  </si>
  <si>
    <t>Budge, JS; Long, DG</t>
  </si>
  <si>
    <t>Budge, Jeffrey S.; Long, David G.</t>
  </si>
  <si>
    <t>A Comprehensive Database for Antarctic Iceberg Tracking Using Scatterometer Data</t>
  </si>
  <si>
    <t>IEEE JOURNAL OF SELECTED TOPICS IN APPLIED EARTH OBSERVATIONS AND REMOTE SENSING</t>
  </si>
  <si>
    <t>Advanced scatterometer (ASCAT); backscatter; European remote sensing (ERS); icebergs; NASA scatterometer (NSCAT); OceanSat; QuikSCAT; scatterometer; Seasat scatterometer (SASS); SeaWinds</t>
  </si>
  <si>
    <t>SEA</t>
  </si>
  <si>
    <t>This paper describes the development of, and the methodology for, a new, consolidated Brigham Young University (BYU)/National Ice Center (NIC) Antarctic iceberg tracking database. The new database combines daily positional data from the original BYU daily iceberg tracking database derived from scatterometers, and the NIC's weekly Antarctic iceberg tracking database derived mostly from optical and infrared sensors. Interpolation methods and statistical analyses of iceberg locations are discussed. A new, automated method of using positional data and scatterometer backscatter images to estimate sizes and rotational patterns of icebergs is also developed. This information is included in the new database.</t>
  </si>
  <si>
    <t>[Budge, Jeffrey S.; Long, David G.] Brigham Young Univ, Dept Elect &amp; Comp Engn, Provo, UT 84602 USA</t>
  </si>
  <si>
    <t>Brigham Young University</t>
  </si>
  <si>
    <t>Long, DG (corresponding author), Brigham Young Univ, Dept Elect &amp; Comp Engn, Provo, UT 84602 USA.</t>
  </si>
  <si>
    <t>Jeff.Budge@comcast.net; long@ee.byu.edu</t>
  </si>
  <si>
    <t>1939-1404</t>
  </si>
  <si>
    <t>2151-1535</t>
  </si>
  <si>
    <t>IEEE J-STARS</t>
  </si>
  <si>
    <t>IEEE J. Sel. Top. Appl. Earth Observ. Remote Sens.</t>
  </si>
  <si>
    <t>10.1109/JSTARS.2017.2784186</t>
  </si>
  <si>
    <t>Engineering, Electrical &amp; Electronic; Geography, Physical; Remote Sensing; Imaging Science &amp; Photographic Technology</t>
  </si>
  <si>
    <t>Engineering; Physical Geography; Remote Sensing; Imaging Science &amp; Photographic Technology</t>
  </si>
  <si>
    <t>FW9NK</t>
  </si>
  <si>
    <t>WOS:000425661700009</t>
  </si>
  <si>
    <t>Bergstrom, DM; Sharman, A; Shaw, JD; Houghton, M; Janion-Scheepers, C; Achurch, H; Terauds, A</t>
  </si>
  <si>
    <t>Bergstrom, Dana M.; Sharman, Andrew; Shaw, Justine D.; Houghton, Melissa; Janion-Scheepers, Charlene; Achurch, Helen; Terauds, Aleks</t>
  </si>
  <si>
    <t>Detection and eradication of a non-native Collembola incursion in a hydroponics facility in East Antarctica</t>
  </si>
  <si>
    <t>BIOLOGICAL INVASIONS</t>
  </si>
  <si>
    <t>Springtail; Non-native species; Early detection; Rapid response; Surveillance; DNA barcoding</t>
  </si>
  <si>
    <t>BIOLOGICAL INVASIONS; MARION ISLAND; SPRINGTAILS; TERRESTRIAL; EXTENT</t>
  </si>
  <si>
    <t>A non-native incursion of the collembolan, Xenylla sp. was found within the hydroponics facility at Davis Station, East Antarctica in May 2014. A rapid response was implemented to eradicate the incursion, including localised insecticide use, incineration of plants and growing media, sterilisation of the facility and three cycles of freezing/thawing of both internal rooms and external sub floor areas. Two consecutive years of summer monitoring programs have not detected any Collembola in station buildings or in the surrounding environment, suggesting the eradication was successful. This case highlights the importance of a multiple barrier approach to non-native species risks, and how activation of the last barrier-regular surveillance-resulted in early detection. The use of an online, real-time incident reporting system facilitated efficient communication between scientific experts, operational managers and expeditioners on site, resulting in a rapid and effective response following detection and potentially the first successful eradication of a non-native microarthropod in Antarctica. Monitoring will continue to confirm eradication.</t>
  </si>
  <si>
    <t>[Bergstrom, Dana M.; Sharman, Andrew; Houghton, Melissa; Achurch, Helen; Terauds, Aleks] Australian Antarctic Div, 203 Channel Highway, Kingston, Tas 7050, Australia; [Shaw, Justine D.; Houghton, Melissa] Univ Queensland, Sch Biol Sci, Brisbane, Qld, Australia; [Janion-Scheepers, Charlene] Monash Univ, Sch Biol Sci, Clayton, Vic 3800, Australia</t>
  </si>
  <si>
    <t>Australian Antarctic Division; University of Queensland; Monash University</t>
  </si>
  <si>
    <t>Bergstrom, DM (corresponding author), Australian Antarctic Div, 203 Channel Highway, Kingston, Tas 7050, Australia.</t>
  </si>
  <si>
    <t>dana.bergstrom@aad.gov.au</t>
  </si>
  <si>
    <t>Bergstrom, Dana/AAC-2837-2022; Terauds, Aleks/A-4991-2010; Houghton, Melissa/IZE-8544-2023</t>
  </si>
  <si>
    <t>Bergstrom, Dana/0000-0001-8484-8954; Janion-Scheepers, Charlene/0000-0001-5942-7912; Shaw, Justine/0000-0002-9603-2271</t>
  </si>
  <si>
    <t>Australian Research Council [ARC DP140102815]</t>
  </si>
  <si>
    <t>Australian Research Council(Australian Research Council)</t>
  </si>
  <si>
    <t>We appreciate Narelle Campbell, Sarah Payne, Alyce Hancock, Stacey Deppler, and Matt Pauza for their on-site assistance. We thank the International Barcoding of Life (iBOL) project, barcoding projects COLSA (Collembola of South Africa) and Biobus for barcoding data, and Wanda M Weiner for expert taxonomic advice. Funding was provided by Australian Research Council (Grant No. ARC DP140102815).</t>
  </si>
  <si>
    <t>1387-3547</t>
  </si>
  <si>
    <t>1573-1464</t>
  </si>
  <si>
    <t>BIOL INVASIONS</t>
  </si>
  <si>
    <t>Biol. Invasions</t>
  </si>
  <si>
    <t>10.1007/s10530-017-1551-9</t>
  </si>
  <si>
    <t>FX4RM</t>
  </si>
  <si>
    <t>WOS:000426065700003</t>
  </si>
  <si>
    <t>Annibaldi, A; Illuminati, S; Truzzi, C; Scarponi, G</t>
  </si>
  <si>
    <t>Annibaldi, Anna; Illuminati, Silvia; Truzzi, Cristina; Scarponi, Giuseppe</t>
  </si>
  <si>
    <t>Heavy Metals in Spring and Bottled Drinking Waters of Sibylline Mountains National Park (Central Italy)</t>
  </si>
  <si>
    <t>JOURNAL OF FOOD PROTECTION</t>
  </si>
  <si>
    <t>Cadmium; Copper; Lead; Mineral water; Spring water; Tap water</t>
  </si>
  <si>
    <t>ANODIC-STRIPPING VOLTAMMETRY; TRACE-ELEMENTS; ANTARCTIC AEROSOL; TAP WATER; LEAD; CONTAMINATION; CADMIUM; RELEASE; COPPER; PB</t>
  </si>
  <si>
    <t>Heavy metal concentrations (cadmium, lead, and copper) in spring, tap, and bottled waters of the Sibylline Mountains National Park (central Italy) were investigated using square wave anodic stripping voltammetry from 2004 to 2011. The mean (+/- SD) concentrations detected (1.3 +/- 0.4 ng L-1 cadmium, 14 +/- 6 ng L-1 lead, and 0.16 +/- 0.10 mu g L-1 copper) were below the limits stipulated by Italian and European legislation for drinking and natural mineral water. In the three studied areas of the park (Mount Bove north, Mount Bove south, and springs of River Nera) with very few exceptions, both mineral waters bottled in the area and aqueduct waters from public fountains had approximately the same metal concentrations as did the spring waters from which they were derived. Conversely, substantially higher metal concentrations were found at some sites in private houses, which may be due to release of metals from old metal pipes. At the time of this study, waters of Sibylline Mountains National Park were of good quality, and no influence of the bottling process on heavy metal concentrations was found.</t>
  </si>
  <si>
    <t>[Annibaldi, Anna; Illuminati, Silvia; Truzzi, Cristina; Scarponi, Giuseppe] Univ Politecn Marche, Dept Life &amp; Environm Sci, Via Brecce Bianche, I-60131 Ancona, Italy</t>
  </si>
  <si>
    <t>Annibaldi, A (corresponding author), Univ Politecn Marche, Dept Life &amp; Environm Sci, Via Brecce Bianche, I-60131 Ancona, Italy.</t>
  </si>
  <si>
    <t>a.annibaldi@univpm.it</t>
  </si>
  <si>
    <t>Illuminati, Silvia/T-7873-2019; Illuminati, Silvia/GXZ-5038-2022; Scarponi, Giuseppe/AAQ-6394-2021</t>
  </si>
  <si>
    <t>Illuminati, Silvia/0000-0001-6465-5477; Scarponi, Giuseppe/0000-0003-2932-0596</t>
  </si>
  <si>
    <t>Universita Politecnica delle Marche</t>
  </si>
  <si>
    <t>Financial support was obtained from the Universita Politecnica delle Marche under university funding for scientific research Ricerca Scientifica di Ateneo and is gratefully acknowledged. Many thanks are due to Dr. Trognoni (Acqua Roana), Dr. Mariani (Acqua Nerea), and Carlo Ercoli for providing water samples from their factories and houses and for technical support on-site.</t>
  </si>
  <si>
    <t>INT ASSOC FOOD PROTECTION</t>
  </si>
  <si>
    <t>DES MOINES</t>
  </si>
  <si>
    <t>6200 AURORA AVE SUITE 200W, DES MOINES, IA 50322-2863 USA</t>
  </si>
  <si>
    <t>0362-028X</t>
  </si>
  <si>
    <t>1944-9097</t>
  </si>
  <si>
    <t>J FOOD PROTECT</t>
  </si>
  <si>
    <t>J. Food Prot.</t>
  </si>
  <si>
    <t>10.4315/0362-028X.JFP-17-310</t>
  </si>
  <si>
    <t>Biotechnology &amp; Applied Microbiology; Food Science &amp; Technology</t>
  </si>
  <si>
    <t>FW2YB</t>
  </si>
  <si>
    <t>WOS:000425170300020</t>
  </si>
  <si>
    <t>Pour, AB; Hashim, M; Park, Y</t>
  </si>
  <si>
    <t>Pour, Amin Beiranvand; Hashim, Mazlan; Park, Yongcheol</t>
  </si>
  <si>
    <t>Gondwana-Derived Terranes Structural Mapping Using PALSAR Remote Sensing Data</t>
  </si>
  <si>
    <t>JOURNAL OF THE INDIAN SOCIETY OF REMOTE SENSING</t>
  </si>
  <si>
    <t>Remote sensing; Gondwana-derived terranes; ore mineral deposits; Central Gold Belt; Western Tin Belt</t>
  </si>
  <si>
    <t>MAINLAND SOUTHEAST-ASIA; RAUB SUTURE ZONE; PENINSULAR MALAYSIA; TECTONIC EVOLUTION; GOLD DEPOSIT; INDO-CHINA; BELT; SARAWAK; MINERALIZATION; EXPLORATION</t>
  </si>
  <si>
    <t>Gondwana-derived terranes are now separated by major faults or suture zone, which are rarely simple and easily recognizable lineaments. Different association of ore mineral systems such as deposits of sediment-hosted/orogenic gold and granite-related minerals is discovered in collision and subduction zones of the Gondwana-derived terranes. They are associated with large-scale, terrane-bounding fault systems and broad areas of deformation. Mineralization mostly associated with structurally-controlled complex lodes, veins, sheeted veins and veinlets in diverse orientations. Recognizing the structural significance of lineaments and curvilinear is very difficult in tropical, arid and Antarctic regions due to environmental obstacles. Remote sensing data could be used to detect geological structures associated with suture zones between Gondwana-derived terranes especially for large inaccessible regions where fieldwork is limited or nonexistent. In this investigation, the Phased Array type L-band Synthetic Aperture Radar (PALSAR) satellite remote sensing data were used to map major geological structures in the Bentong-Raub Suture Zone of Peninsular Malaysia. It is one of the major structural zones in Sundaland, Southeast Asia, which forms the boundary between the Gondwana-derived the Sibumasu terrane and Sukhothai-Indochina arc. Structural features associated with sediment-hosted/orogenic gold deposits in the Central Gold Belt and tin mineralization in S-type granites in the Main Range were investigated using PALSAR data and comprehensive fieldwork. Results indicate that main faults strike along 340A degrees to 350A degrees that are intersected by many shear or lateral fault zones are high potential zone for gold mineralization in the Central Gold Belt. Hydrothermally alteration mineral zones and cataclastic rocks are also the other indicators of gold mineralized veins in the gold belt. High potential zones for tin mineralization are N-S strike-slip faults, fault zones and shear zones trending E-W, NE-SW and WNW-ESE in dissected crystalline granitic rocks that are associated with hydrothermal alteration zones in the Western Tin Belt. Lineament analysis using PALSAR satellite remote sensing data is a useful tool for mapping major geological structural features and detection of the boundary between the Gondwana-derived terranes and detailed structural analysis of fault systems and deformation with high potential for a variety of mineral resources, especially in tropical, arid and Antarctic regions.</t>
  </si>
  <si>
    <t>[Pour, Amin Beiranvand; Hashim, Mazlan] Univ Teknol Malaysia UTM, Geosci &amp; Digital Earth Ctr INSTeG, Johor Baharu 81310, Malaysia; [Pour, Amin Beiranvand; Park, Yongcheol] Korea Polar Res Inst KOPRI, Incheon 21990, South Korea</t>
  </si>
  <si>
    <t>Universiti Teknologi Malaysia; Korea Polar Research Institute (KOPRI)</t>
  </si>
  <si>
    <t>Pour, AB (corresponding author), Univ Teknol Malaysia UTM, Geosci &amp; Digital Earth Ctr INSTeG, Johor Baharu 81310, Malaysia.;Pour, AB (corresponding author), Korea Polar Res Inst KOPRI, Incheon 21990, South Korea.</t>
  </si>
  <si>
    <t>beiranvand.amin80@gmail.com; mazlanhashim@utm.my; ypark@kopri.re.kr</t>
  </si>
  <si>
    <t>Beiranvand Pour, Amin/E-1723-2013; Hashim, Mazlan/J-7291-2012</t>
  </si>
  <si>
    <t>Beiranvand Pour, Amin/0000-0001-8783-5120; Hashim, Mazlan/0000-0001-8284-3332</t>
  </si>
  <si>
    <t>KOPRI grant [PE17050]; [Q.J130000.2527.13H13]</t>
  </si>
  <si>
    <t>KOPRI grant(Korea Polar Research Institute of Marine Research Placement (KOPRI));</t>
  </si>
  <si>
    <t>This study was conducted as a part of Tier 1 (vote no: Q.J130000.2527.13H13), research university grant category. We are thankful to the Universiti Teknologi Malaysia for providing the facilities for this investigation. This study was partially supported by KOPRI grant PE17050. We acknowledge the assistance of the Selingsing gold mine Sdn Bhd companies for their logistic support during the field investigations and ground truth data collection. The authors would like to express their sincere to Norfarulrafiq Ghazali and Zaidi Harun from Selingsing gold mine for their assistance in various other ways during this research. We also would like to express our great appreciation to Prof. Vinay Kumar Dadhwal and the anonymous reviewer for their very useful and constructive comments and suggestions for improvement of this manuscript.</t>
  </si>
  <si>
    <t>0255-660X</t>
  </si>
  <si>
    <t>0974-3006</t>
  </si>
  <si>
    <t>J INDIAN SOC REMOTE</t>
  </si>
  <si>
    <t>J. Indian Soc. Remote Sens.</t>
  </si>
  <si>
    <t>10.1007/s12524-017-0673-y</t>
  </si>
  <si>
    <t>FX5GE</t>
  </si>
  <si>
    <t>WOS:000426105300009</t>
  </si>
  <si>
    <t>Venegas-Gonzalez, A; Junent, FR; Gutierrez, AG; Tomazello, M</t>
  </si>
  <si>
    <t>Venegas-Gonzalez, Alejandro; Junent, Fidel Roig; Gutierrez, Alvaro G.; Tomazello Filho, Mario</t>
  </si>
  <si>
    <t>Recent radial growth decline in response to increased drought conditions in the northernmost Nothofagus populations from South America</t>
  </si>
  <si>
    <t>FOREST ECOLOGY AND MANAGEMENT</t>
  </si>
  <si>
    <t>Chilean Mediterranean-type forest; Dendroecology; Forest decline; Global warming; Precipitation decrease; ENSO</t>
  </si>
  <si>
    <t>TREE-GROWTH; CENTRAL CHILE; SCOTS PINE; REAR-EDGE; FOREST; VARIABILITY; OAK; CIRCULATION; MORTALITY; PATAGONIA</t>
  </si>
  <si>
    <t>An emerging phenomenon of forest decline in Mediterranean-type ecosystems has been detected in response to climate change during the last century. It is expected that the Mediterranean regions will likely experience drought events during this century with consequences for biodiversity maintenance. Although the Chilean Mediterranean-type forests are among the most threatened forest ecosystems in South America, their responses to recent increased drought events due to global warming are poorly documented. In the same region, the endangered and endemic forests of Nothofagus macrocarpa (Nothofagaceae) are found on mountain peaks. It is unclear how N. macrocarpa forests are responding to increased drought conditions occurring in the area over the last few decades. Here, we analyzed how recent climatic variability has affected the growth of N. macrocarpa. We selected five sites along the whole geographic distribution of N. macrocarpa forests in central Chile (32.5-34.5 degrees S) to develop tree-ring chronologies. Climate-growth relationships were analyzed through correlations with local (precipitation, temperature and drought index) and large-scale climate data (ENSO index and Antarctic Oscillation). N. macrocarpa growth was positively influenced by May to November precipitation (austral winter spring seasons) and negatively influenced by temperature from October to December (austral spring/early-summer seasons). Using a piecewise regression analysis, we identified a significant decrease in growth from 1980 onwards that resembled a precipitation decline and temperature increase in central Chile during the same time period. Tree-ring chronologies were positively correlated to the ENSO index and negatively correlated to the Antarctic Oscillation index during the current growing season, and more strongly from 1980 onwards. Based on our results, we conclude that increased drought conditions have produced a decline in radial growth of N. macrocarpa forests in the last decades. We propose that increased drought conditions predicted for this century in this region will exacerbate this declining N. macrocarpa growth trend with unknown consequences for the survival of these endemic and endangered forest ecosystems.</t>
  </si>
  <si>
    <t>[Venegas-Gonzalez, Alejandro; Tomazello Filho, Mario] Univ Sao Paulo, Dept Ciencias Florestais, Ave Padua Dias 11, BR-13418572 Piracicaba, Brazil; [Junent, Fidel Roig] CCT CONICET Mendoza, IANIGLA, Lab Dendrocronol &amp; Hist Ambiental, CC 330,M5502IRA, Mendoza, Argentina; [Gutierrez, Alvaro G.] Univ Chile, Fac Ciencias Agron, Dept Ciencias Ambientales &amp; Recursos Nat Renovabl, Santiago, Chile</t>
  </si>
  <si>
    <t>Universidade de Sao Paulo; Consejo Nacional de Investigaciones Cientificas y Tecnicas (CONICET); University Nacional Cuyo Mendoza; Universidad de Chile</t>
  </si>
  <si>
    <t>Venegas-Gonzalez, A (corresponding author), Univ Sao Paulo, Dept Ciencias Florestais, Ave Padua Dias 11, BR-13418572 Piracicaba, Brazil.</t>
  </si>
  <si>
    <t>avenegasgon@gmail.com; froig@mendoza-conicet.gob.ar; bosqueciencia@gmail.com; mtomazel@usp.br</t>
  </si>
  <si>
    <t>Tomazello-Filho, Mario/ABD-8077-2020; Gutierrez, Alvaro G./AAC-9385-2019; VENEGAS-GONZALEZ, ALEJANDRO/AAK-1882-2020</t>
  </si>
  <si>
    <t>Tomazello-Filho, Mario/0000-0002-9814-0778; Gutierrez, Alvaro G./0000-0001-8928-3198; VENEGAS-GONZALEZ, ALEJANDRO/0000-0003-4568-4533; Roig, Fidel Alejandro/0000-0003-0987-0486</t>
  </si>
  <si>
    <t>Rufford Small Grants for Nature Conservation [16502-1]; Coordination for the Improvement of Higher Education Personnel [88887.116430/2016-00]; FONDECYT [11150835]; Commission for Scientific and Technological Research of Chile [CONICYT-PAI/INDUSTRIA79090016]</t>
  </si>
  <si>
    <t>Rufford Small Grants for Nature Conservation; Coordination for the Improvement of Higher Education Personnel(Coordenacao de Aperfeicoamento de Pessoal de Nivel Superior (CAPES)); FONDECYT(Comision Nacional de Investigacion Cientifica y Tecnologica (CONICYT)CONICYT FONDECYT); Commission for Scientific and Technological Research of Chile</t>
  </si>
  <si>
    <t>We appreciate comments from Duncan Christie, Karen Pena, Martin Hadad and referees in previous versions of this work. This study was funded by the Rufford Small Grants for Nature Conservation (http:// www.rufford.org/, RSGA application 16502-1), Coordination for the Improvement of Higher Education Personnel (http://www.capes.gov.br/, process: 88887.116430/2016-00), and a FONDECYT 11150835 grant to AGG. AVG was supported by a PhD scholarship from Commission for Scientific and Technological Research of Chile (CONICYT-PAI/INDUSTRIA79090016). We also thank the Chilean National Forest Corporation (CONAF), Christian Diaz, Julio Vergara, Fernanda Romero, Corporation Altos de Cantillana, Nature sanctuary 'Cerro El Roble', Francisco Muller for the authorization of the fieldwork and logistics support.</t>
  </si>
  <si>
    <t>0378-1127</t>
  </si>
  <si>
    <t>1872-7042</t>
  </si>
  <si>
    <t>FOREST ECOL MANAG</t>
  </si>
  <si>
    <t>For. Ecol. Manage.</t>
  </si>
  <si>
    <t>10.1016/j.foreco.2017.11.006</t>
  </si>
  <si>
    <t>FW8JL</t>
  </si>
  <si>
    <t>WOS:000425578000011</t>
  </si>
  <si>
    <t>Palmeri, R; Godard, G; Di Vincenzo, G; Sandroni, S; Talarico, FM</t>
  </si>
  <si>
    <t>Palmeri, Rosaria; Godard, Gaston; Di Vincenzo, Gianfranco; Sandroni, Sonia; Talarico, Franco M.</t>
  </si>
  <si>
    <t>High-pressure granulite-facies metamorphism in central Dronning Maud Land (East Antarctica): Implications for Gondwana assembly</t>
  </si>
  <si>
    <t>Antarctica; Grenvillian orogeny; East African Antarctic (Pan-African) orogeny; Gondwana; Mafic/ultramafic rocks; HP-HT granulite</t>
  </si>
  <si>
    <t>MINERAL EQUILIBRIA CALCULATIONS; SHACKLETON RANGE; GRENVILLE-AGE; HU SVERDRUPFJELLA; DATING STANDARD; AFRICAN; CONSTRAINTS; CLINOPYROXENE; GEOCHEMISTRY; EVOLUTION</t>
  </si>
  <si>
    <t>Central Dronning Maud Land (DML; East Antarctica) is located in a key region of the Gondwana supercontinent. The Conradgebirge area (central DML) consists of orthogneisses, derived from both volcanic and plutonic protoliths, and minor metasedimentary rocks, intruded by Cambrian syn- to post-metamorphic plutons and dykes. Mafic-ultramafic boudins in the metavolcanic and metaplutonic gneisses from Conradgebirge consist of amphibolites and high-grade garnet-bearing pyroxene- and amphibole-rich granofels. They occur either as discontinuous levels or as pods boudinaged within highly-strained and strongly-migmatized gneisses. Bulk-rock major and trace-element compositions, together with geochemical discriminant diagrams (e.g., Th/Yb versus Ta/Yb and V versus Ti), suggest derivation from enriched mantle source for the mafic rocks boudinaged in metaplutonic gneisses, whereas a calc-alkaline signature is common for the mafic boudins in metavolcanic rocks. The micro structural study and P-T modelling of an ultramafic metagabbroic rock reveal a prograde metamorphic evolution from amphibolite-facies (ca. 0.5 GPa; 500 degrees C) up to high-P granulite-facies conditions (ca. 1.5-1.7 GPa; 960-970 degrees C). Partial melting is testified by nanogranitoid inclusions enclosed in garnet. An almost isothermal decompression down to ca. 0.4 GPa and 750-850 degrees C produced well-developed An + Opx-bearing symplectites around garnet. A final isobaric cooling at nearly 0.4 GPa is testified by Grt coronas around high-T symplectites. The above reconstruction traces a clockwise loading-heating P-T evolution with a peak metamorphism at high-P granulite-facies conditions suggesting crustal thickening at nearly 570 Ma, followed by a tectonically assisted rapid exhumation, and then, by an isobaric cooling. 40Ar-39Ar dating of amphibole and biotite at similar to 505-480 Ma testify mineral re-equilibration at upper crustal level (T &lt; 650 degrees C) during the isobaric cooling. This tectono-metamorphic scenario seems representative of the evolution resulting from the Neoproterozoic/Early Palaeozoic (600-500 Ma) collision between parts of East- and West-Gondwana blocks that led to the final assembly of Gondwana. (C) 2017 Elsevier B.V. All rights reserved. Central Dronning Maud Land (DML; East Antarctica) is located in a key region of the Gondwana supercontinent. The Conradgebirge area (central DML) consists of orthogneisses, derived from both volcanic and plutonic protoliths, and minor metasedimentary rocks, intruded by Cambrian syn- to post-metamorphic plutons and dykes. Mafic-ultramafic boudins in the metavolcanic and metaplutonic gneisses from Conradgebirge consist of amphibolites and high-grade garnet-bearing pyroxene- and amphibole-rich granofels. They occur either as discontinuous levels or as pods boudinaged within highly-strained and strongly-migmatized gneisses. Bulk-rock major and trace-element compositions, together with geochemical discriminant diagrams (e.g., Th/Yb versus Ta/Yb and V versus Ti), suggest derivation from enriched mantle source for the mafic rocks boudinaged in metaplutonic gneisses, whereas a calc-alkaline signature is common for the mafic boudins in metavolcanic rocks. The micro structural study and P-T modelling of an ultramafic metagabbroic rock reveal a prograde metamorphic evolution from amphibolite-facies (ca. 0.5 GPa; 500 degrees C) up to high-P granulite-facies conditions (ca. 1.5-1.7 GPa; 960-970 degrees C). Partial melting is testified by nanogranitoid inclusions enclosed in garnet. An almost isothermal decompression down to ca. 0.4 GPa and 750-850 degrees C produced well-developed An + Opx-bearing symplectites around garnet. A final isobaric cooling at nearly 0.4 GPa is testified by Grt coronas around high-T symplectites. The above reconstruction traces a clockwise loading-heating P-T evolution with a peak metamorphism at high-P granulite-facies conditions suggesting crustal thickening at nearly 570 Ma, followed by a tectonically assisted rapid exhumation, and then, by an isobaric cooling. 40Ar-39Ar dating of amphibole and biotite at similar to 505-480 Ma testify mineral re-equilibration at upper crustal level (T &lt; 650 degrees C) during the isobaric cooling. This tectono-metamorphic scenario seems representative of the evolution resulting from the Neoproterozoic/Early Palaeozoic (600-500 Ma) collision between parts of East- and West-Gondwana blocks that led to the final assembly of Gondwana. (C) 2017 Elsevier B.V. All rights reserved. Central Dronning Maud Land (DML; East Antarctica) is located in a key region of the Gondwana supercontinent. The Conradgebirge area (central DML) consists of orthogneisses, derived from both volcanic and plutonic protoliths, and minor metasedimentary rocks, intruded by Cambrian syn- to post-metamorphic plutons and dykes. Mafic-ultramafic boudins in the metavolcanic and metaplutonic gneisses from Conradgebirge consist of amphibolites and high-grade garnet-bearing pyroxene- and amphibole-rich granofels. They occur either as discontinuous levels or as pods boudinaged within highly-strained and strongly-migmatized gneisses. Bulk-rock major and trace-element compositions, together with geochemical discriminant diagrams (e.g., Th/Yb versus Ta/Yb and V versus Ti), suggest derivation from enriched mantle source for the mafic rocks boudinaged in metaplutonic gneisses, whereas a calc-alkaline signature is common for the mafic boudins in metavolcanic rocks. The micro structural study and P-T modelling of an ultramafic metagabbroic rock reveal a prograde metamorphic evolution from amphibolite-facies (ca. 0.5 GPa; 500 degrees C) up to high-P granulite-facies conditions (ca. 1.5-1.7 GPa; 960-970 degrees C). Partial melting is testified by nanogranitoid inclusions enclosed in garnet. An almost isothermal decompression down to ca. 0.4 GPa and 750-850 degrees C produced well-developed An + Opx-bearing symplectites around garnet. A final isobaric cooling at nearly 0.4 GPa is testified by Grt coronas around high-T symplectites. The above reconstruction traces a clockwise loading-heating P-T evolution with a peak metamorphism at high-P granulite-facies conditions suggesting crustal thickening at nearly 570 Ma, followed by a tectonically assisted rapid exhumation, and then, by an isobaric cooling. 40Ar-39Ar dating of amphibole and biotite at similar to 505-480 Ma testify mineral re-equilibration at upper crustal level (T &lt; 650 degrees C) during the isobaric cooling. This tectono-metamorphic scenario seems representative of the evolution resulting from the Neoproterozoic/Early Palaeozoic (600-500 Ma) collision between parts of East- and West-Gondwana blocks that led to the final assembly of Gondwana. (C) 2017 Elsevier B.V. All rights reserved. Central Dronning Maud Land (DML; East Antarctica) is located in a key region of the Gondwana supercontinent. The Conradgebirge area (central DML) consists of orthogneisses, derived from both volcanic and plutonic protoliths, and minor metasedimentary rocks, intruded by Cambrian syn- to post-metamorphic plutons and dykes. Mafic-ultramafic boudins in the metavolcanic and metaplutonic gneisses from Conradgebirge consist of amphibolites and high-grade garnet-bearing pyroxene- and amphibole-rich granofels. They occur either as discontinuous levels or as pods boudinaged within highly-strained and strongly-migmatized gneisses. Bulk-rock major and trace-element compositions, together with geochemical discriminant diagrams (e.g., Th/Yb versus Ta/Yb and V versus Ti), suggest derivation from enriched mantle source for the mafic rocks boudinaged in metaplutonic gneisses, whereas a calc-alkaline signature is common for the mafic boudins in metavolcanic rocks. The micro structural study and P-T modelling of an ultramafic metagabbroic rock reveal a prograde metamorphic evolution from amphibolite-facies (ca. 0.5 GPa; 500 degrees C) up to high-P granulite-facies conditions (ca. 1.5-1.7 GPa; 960-970 degrees C). Partial melting is testified by nanogranitoid inclusions enclosed in garnet. An almost isothermal decompression down to ca. 0.4 GPa and 750-850 degrees C produced well-developed An + Opx-bearing symplectites around garnet. A final isobaric cooling at nearly 0.4 GPa is testified by Grt coronas around high-T symplectites. The above reconstruction traces a clockwise loading-heating P-T evolution with a peak metamorphism at high-P granulite-facies conditions suggesting crustal thickening at nearly 570 Ma, followed by a tectonically assisted rapid exhumation, and then, by an isobaric cooling. 40Ar-39Ar dating of amphibole and biotite at similar to 505-480 Ma testify mineral re-equilibration at upper crustal level (T &lt; 650 degrees C) during the isobaric cooling. This tectono-metamorphic scenario seems representative of the evolution resulting from the Neoproterozoic/Early Palaeozoic (600-500 Ma) collision between parts of East- and West-Gondwana blocks that led to the final assembly of Gondwana. (C) 2017 Elsevier B.V. All rights reserved.</t>
  </si>
  <si>
    <t>[Palmeri, Rosaria; Sandroni, Sonia; Talarico, Franco M.] Univ Siena, Museo Nazl Antartide, Via Laterina 8, I-53100 Siena, Italy; [Godard, Gaston] Univ Paris Diderot, UMR 7154, CNRS, Inst Phys Globe, F-75252 Paris, France; [Di Vincenzo, Gianfranco] CNR, Ist Geosci &amp; Georisorse, Via Moruzzi 1, I-56124 Pisa, Italy; [Talarico, Franco M.] Univ Siena, Dipartimento Sci Fis Terra &amp; Ambiente, Via Laterina 8, I-53100 Siena, Italy</t>
  </si>
  <si>
    <t>University of Siena; Centre National de la Recherche Scientifique (CNRS); CNRS - National Institute for Earth Sciences &amp; Astronomy (INSU); Universite Paris Cite; Consiglio Nazionale delle Ricerche (CNR); Istituto di Geoscienze e Georisorse (IGG-CNR); University of Siena</t>
  </si>
  <si>
    <t>Palmeri, R (corresponding author), Univ Siena, Museo Nazl Antartide, Via Laterina 8, I-53100 Siena, Italy.</t>
  </si>
  <si>
    <t>rosaria.palmeri@unisi.it</t>
  </si>
  <si>
    <t>Sandroni, Sonia/C-7188-2008</t>
  </si>
  <si>
    <t>Sandroni, Sonia/0000-0002-7941-7145; DI VINCENZO, GIANFRANCO/0000-0002-9669-9789</t>
  </si>
  <si>
    <t>PNRA [PdR 13/B2.07]</t>
  </si>
  <si>
    <t>Bundesanstalt fur Geowissenschaften and Rohstoffe (BGR, Hannover, Germany) is thanked for logistic support during the 1995/96 GeoMaud expedition. Rock samples used in this study were collected in the field by F.M.T. and are now available at the PNRA (Programma Nazionale Ricerche in Antartide) rock repository located at the Museo Nazionale dell'Antartide (Siena, Italy). Thoughtful reviews by J. Jacobs and W. Bauer improved the manuscript. The research was realized with the financial support by PNRA (PdR 13/B2.07).</t>
  </si>
  <si>
    <t>10.1016/j.lithos.2017.12.014</t>
  </si>
  <si>
    <t>FW8JC</t>
  </si>
  <si>
    <t>WOS:000425577000022</t>
  </si>
  <si>
    <t>Thomalla, SJ; Moutier, W; Ryan-Keogh, TJ; Gregor, L; Schütt, J</t>
  </si>
  <si>
    <t>Thomalla, Sandy J.; Moutier, William; Ryan-Keogh, Thomas J.; Gregor, Luke; Schutt, Julia</t>
  </si>
  <si>
    <t>An optimized method for correcting fluorescence quenching using optical backscattering on autonomous platforms</t>
  </si>
  <si>
    <t>LIMNOLOGY AND OCEANOGRAPHY-METHODS</t>
  </si>
  <si>
    <t>DIATOM PHAEODACTYLUM-TRICORNUTUM; DIADINOXANTHIN DE-EPOXIDASE; CHLOROPHYLL FLUORESCENCE; PHYTOPLANKTON BIOMASS; SOUTHERN-OCEAN; THALASSIOSIRA-WEISSFLOGII; ELECTRON-TRANSPORT; PHOTOSYSTEM-II; SEASONAL CYCLE; NORTH-ATLANTIC</t>
  </si>
  <si>
    <t>Autonomous platforms will begin to address the space-time gaps required to improve estimates of phytoplankton distribution, which will aid in the quantification of baseline conditions necessary to detect long-term trends that can be attributed to factors such as climate change. However, there is a need for high quality controlled and verified datasets. In vivo fluorescence provides a proxy for chlorophyll pigment concentration, but it is sensitive to physiological downregulation under incident irradiance (fluorescence quenching). Quenching can undermine the validity of these datasets by underestimating daytime fluorescence derived chlorophyll across regional and temporal scales. Existing methods from the literature have corrected for quenching, however, these methods require certain assumptions to be made that do not hold true across all regions and seasons. The method presented here overcomes some of these assumptions to produce corrected surface fluorescence during the day that closely matched profiles from the previous (or following) night, decreasing the difference to less than 10%. This method corrects daytime quenched fluorescence using a mean nighttime profile of the fluorescence to backscattering ratio multiplied by daytime profiles of backscattering from the surface to the depth of quenching (determined as the depth at which the day fluorescence profile diverges from the mean night profile). This method was applied to a 7-month glider time series in the sub-Antarctic Southern Ocean together with four other methods from the literature for comparison. In addition, the method was applied to a glider time series from the North Atlantic to demonstrate its applicability to other ocean regions.</t>
  </si>
  <si>
    <t>[Thomalla, Sandy J.; Moutier, William; Ryan-Keogh, Thomas J.; Gregor, Luke; Schutt, Julia] CSIR, Nat Resources &amp; Environm, Southern Ocean Carbon &amp; Climate Observ, Cape Town, South Africa; [Thomalla, Sandy J.; Moutier, William; Ryan-Keogh, Thomas J.; Gregor, Luke] Univ Cape Town, Dept Oceanog, Cape Town, South Africa; [Schutt, Julia] Lund Univ, Dept Phys Geog &amp; Ecosyst Sci, Lund, Sweden</t>
  </si>
  <si>
    <t>Council for Scientific &amp; Industrial Research (CSIR) - South Africa; University of Cape Town; Lund University</t>
  </si>
  <si>
    <t>Thomalla, SJ (corresponding author), CSIR, Nat Resources &amp; Environm, Southern Ocean Carbon &amp; Climate Observ, Cape Town, South Africa.;Thomalla, SJ (corresponding author), Univ Cape Town, Dept Oceanog, Cape Town, South Africa.</t>
  </si>
  <si>
    <t>sandy.thomalla@gmail.com</t>
  </si>
  <si>
    <t>Thomalla, Sandy/AAS-4133-2021; Gregor, Luke/AAY-5082-2021; Ryan-Keogh, Thomas/AAS-3716-2021</t>
  </si>
  <si>
    <t>Gregor, Luke/0000-0001-6071-1857; Ryan-Keogh, Thomas/0000-0001-5144-171X</t>
  </si>
  <si>
    <t>NERC; CSIR's Parliamentary Grant funding [SNA2011112600001]; NRF SANAP grants [SNA2011120800004, SNA14071475720]</t>
  </si>
  <si>
    <t>NERC(UK Research &amp; Innovation (UKRI)Natural Environment Research Council (NERC)); CSIR's Parliamentary Grant funding; NRF SANAP grants</t>
  </si>
  <si>
    <t>We thank the South African National Antarctic Programme (SANAP) and the captain, officers, and crew of the SA Agulhas II for their professional support throughout the cruise. We are thankful and in awe of the dedicated and professional service delivered by the engineers and glider pilots from Sea Technology Services, without whom this glider time series would not be possible. Special thanks go to the NERC funded OSMOSIS project for sharing their North Atlantic glider time series with us. This work was undertaken through the CSIR's Southern Ocean Carbon and Climate Observatory (SOCCO) Programme (http://socco.org.za) and supported by CSIR's Parliamentary Grant funding (SNA2011112600001) and NRF SANAP grants (SNA2011120800004 and SNA14071475720).</t>
  </si>
  <si>
    <t>1541-5856</t>
  </si>
  <si>
    <t>LIMNOL OCEANOGR-METH</t>
  </si>
  <si>
    <t>Limnol. Oceanogr. Meth.</t>
  </si>
  <si>
    <t>10.1002/lom3.10234</t>
  </si>
  <si>
    <t>FW7RR</t>
  </si>
  <si>
    <t>WOS:000425522400007</t>
  </si>
  <si>
    <t>Saurral, RI; Doblas-Reyes, FJ; García-Serrano, J</t>
  </si>
  <si>
    <t>Saurral, Ramiro I.; Doblas-Reyes, Francisco J.; Garcia-Serrano, Javier</t>
  </si>
  <si>
    <t>Observed modes of sea surface temperature variability in the South Pacific region</t>
  </si>
  <si>
    <t>South Pacific; Southern Hemisphere warming; IPO; ENSO; CEOF analysis</t>
  </si>
  <si>
    <t>ANTARCTIC CIRCUMPOLAR WAVE; EL-NINO; CLIMATE VARIABILITY; REANALYSIS PROJECT; TROPICAL PACIFIC; OCEAN; OSCILLATION; AMERICA; WIND; ENSO</t>
  </si>
  <si>
    <t>The South Pacific (SP) region exerts large control on the climate of the Southern Hemisphere at many times scales. This paper identifies the main modes of interannual sea surface temperature (SST) variability in the SP which consist of a tropical-driven mode related to a horseshoe structure of positive/negative SST anomalies within midlatitudes and highly correlated to ENSO and Interdecadal Pacific Oscillation (IPO) variability, and another mode mostly confined to extratropical latitudes which is characterized by zonal propagation of SST anomalies within the South Pacific Gyre. Both modes are associated with temperature and rainfall anomalies over the continental regions of the Southern Hemisphere. Besides the leading mode which is related to well known warmer/cooler and drier/moister conditions due to its relationship with ENSO and the IPO, an inspection of the extratropical mode indicates that it is associated with distinct patterns of sea level pressure and surface temperature advection. These relationships are used here as plausible and partial explanations to the observed warming trend observed within the Southern Hemisphere during the last decades.</t>
  </si>
  <si>
    <t>[Saurral, Ramiro I.] UBA, FCEN, DCAO, CIMA,CONICET,UMI IFAECI CNRS, Int Guiraldes 2160,Ciudad Univ,Pab 2 C1428EGA, Buenos Aires, DF, Argentina; [Doblas-Reyes, Francisco J.; Garcia-Serrano, Javier] BSC, Barcelona, Spain; [Doblas-Reyes, Francisco J.] ICREA, Barcelona, Spain</t>
  </si>
  <si>
    <t>University of Buenos Aires; Consejo Nacional de Investigaciones Cientificas y Tecnicas (CONICET); ICREA</t>
  </si>
  <si>
    <t>Saurral, RI (corresponding author), UBA, FCEN, DCAO, CIMA,CONICET,UMI IFAECI CNRS, Int Guiraldes 2160,Ciudad Univ,Pab 2 C1428EGA, Buenos Aires, DF, Argentina.</t>
  </si>
  <si>
    <t>saurral@cima.fcen.uba.ar</t>
  </si>
  <si>
    <t>García-Serrano, Javier/I-5058-2015; Doblas-Reyes, Francisco J./C-1228-2016</t>
  </si>
  <si>
    <t>García-Serrano, Javier/0000-0003-3913-0876; Saurral, Ramiro Ignacio/0000-0002-8600-199X</t>
  </si>
  <si>
    <t>EU [GA 308378]; H2020 [655339]; [UBACyT-20020100100803]; [UBACyT-20020120300051]; [PIP-11220120100586]</t>
  </si>
  <si>
    <t>EU(European Union (EU)); H2020(Horizon 2020); ; ;</t>
  </si>
  <si>
    <t>The authors would like to thank Scott Power for his comments on an earlier version of the manuscript and the two anonymous reviewers whose suggestions led to a substantial improvement of the paper. This study was supported by Grants UBACyT-20020100100803, UBACyT-20020120300051, PIP-11220120100586 and the SPECS (GA 308378) EU-funded Project. JG-S was partially supported by the H2020-funded MSCA-IF-EF DPETNA project (GA No. 655339). The authors acknowledge the Red Espanola de Supercomputacion (RES) and PRACE for awarding access to MareNostrum 3 at the Barcelona Supercomputing Center through the HiResClim project. The support of Virginie Guemas and Oriol Mula-Valls at the Barcelona Supercomputing Center is warmly appreciated.</t>
  </si>
  <si>
    <t>10.1007/s00382-017-3666-1</t>
  </si>
  <si>
    <t>FW5AP</t>
  </si>
  <si>
    <t>WOS:000425328700023</t>
  </si>
  <si>
    <t>Zhang, ZR; Uotila, P; Stössel, A; Vihma, T; Liu, HL; Zhong, YS</t>
  </si>
  <si>
    <t>Zhang, Zhaoru; Uotila, Petteri; Stoessel, Achim; Vihma, Timo; Liu, Hailong; Zhong, Yisen</t>
  </si>
  <si>
    <t>Seasonal southern hemisphere multi-variable reflection of the southern annular mode in atmosphere and ocean reanalyses</t>
  </si>
  <si>
    <t>Southern annular mode; Climate anomaly; Seasonal variation; Reanalysis products; Southern hemisphere</t>
  </si>
  <si>
    <t>ANTARCTIC SEA-ICE; OZONE HOLE; CLIMATE; SIMULATION; TRENDS; IMPACT; VARIABILITY; CIRCULATION; EDDIES; SYSTEM</t>
  </si>
  <si>
    <t>Variations of southern hemisphere (SH) climate variables are often linked to the southern annular mode (SAM) variability. We examined such linkage by seasons using state-of-the-art atmosphere and ocean/sea-ice reanalyses. The associated SAM related anomaly (SRA) fields of the climate variables, denoting anomalies corresponding to the same variation in SAM, are overall consistent across the reanalyses. Among the atmospheric products, 20CRV2 differs from ERA-interim and CFSR in the sea-level pressure SRAs over the Amundsen Sea, resulting in less warming over the Antarctic Peninsula. Among the ocean reanalyses, ORAP5 and C-GLORS exhibit the largest consistency. The major difference between them and the lower-resolution CFSR and SODA reanalyses is deeper penetration of anomalous meridional currents. Compared to the other ocean reanalyses, CFSR exhibits stronger and spatially more coherent surface-current SRAs, resulting in greater SRAs of sea-ice motion and ice thickness along the ice edges. The SRAs of sensible and total surface heat fluxes are reduced in CFSR due to ocean-atmosphere coupling. Significant sea-ice concentration SRAs are present on the west side of peninsulas along the east Antarctica coast in spring and winter, most notably in ORAP5 and C-GLORS, implying changes in new-ice production and shelf-water formation. Most atmosphere and ocean variables manifest an annular SRA pattern in summer and a non-annular pattern in the other seasons, with a wavenumber-3 structure strongest in autumn and weakest in summer. The wavenumber-3 structure should be related to the zonal wave three pattern of the SH circulation, the relation of which to SAM needs further exploration.</t>
  </si>
  <si>
    <t>[Zhang, Zhaoru; Liu, Hailong; Zhong, Yisen] Shanghai Jiao Tong Univ, Inst Oceanog, 800 Dongchuan Rd, Shanghai 200240, Peoples R China; [Uotila, Petteri; Vihma, Timo] Finnish Meteorol Inst, POB 503, FIN-00101 Helsinki, Finland; [Stoessel, Achim] Texas A&amp;M Univ, Dept Oceanog, College Stn, TX 77843 USA</t>
  </si>
  <si>
    <t>Shanghai Jiao Tong University; Finnish Meteorological Institute; Texas A&amp;M University System; Texas A&amp;M University College Station</t>
  </si>
  <si>
    <t>Zhang, ZR (corresponding author), Shanghai Jiao Tong Univ, Inst Oceanog, 800 Dongchuan Rd, Shanghai 200240, Peoples R China.</t>
  </si>
  <si>
    <t>Vihma, Timo/ABC-9771-2020; LIU, JIALIN/JXN-8034-2024; Uotila, Petteri/A-1703-2012; Liu, Hailong/I-3869-2013</t>
  </si>
  <si>
    <t>Uotila, Petteri/0000-0002-2939-7561; Liu, Hailong/0000-0001-8335-7272</t>
  </si>
  <si>
    <t>National Natural Science Foundation of China [41406006]; Shanghai Sailling Program [15FY1406400]; Academy of Finland [263918, 264358]; U.S. Department of Energy, Office of Science Innovative and Novel Computational Impact on Theory and Experiment (DOE INCITE) program; Office of Biological and Environmental Research (BER); National Oceanic and Atmospheric Administration Climate Program Office; Academy of Finland (AKA) [263918, 264358] Funding Source: Academy of Finland (AKA)</t>
  </si>
  <si>
    <t>National Natural Science Foundation of China(National Natural Science Foundation of China (NSFC)); Shanghai Sailling Program; Academy of Finland(Research Council of Finland); U.S. Department of Energy, Office of Science Innovative and Novel Computational Impact on Theory and Experiment (DOE INCITE) program(United States Department of Energy (DOE)); Office of Biological and Environmental Research (BER); National Oceanic and Atmospheric Administration Climate Program Office(National Oceanic Atmospheric Admin (NOAA) - USA); Academy of Finland (AKA)(Research Council of Finland)</t>
  </si>
  <si>
    <t>This work was funded by the National Natural Science Foundation of China (Grant No. 41406006). Y. Z was sponsored by Shanghai Sailling Program (Grant No. 15FY1406400), and P. U. and T.V. by the Academy of Finland (contracts 263918 and 264358). The ERA-interim product was obtained from ECMWF. The CFSR product was obtained through the NCAR/UCAR Research Data Archive. Support for the 20CRV2 product is provided by the U.S. Department of Energy, Office of Science Innovative and Novel Computational Impact on Theory and Experiment (DOE INCITE) program, and Office of Biological and Environmental Research (BER), and by the National Oceanic and Atmospheric Administration Climate Program Office. The ORAP5 reanalysis was obtained through Copernicus Environment Monitoring Service. CMCC is acknowledged for providing the C-GLORS reanalysis. The SODA Version 2.2.4 is retrieved from the NCAR/UVAR Climate Data Guild. We thank Hao Zuo from ECMWF, Andrea Storto from CMCC, Benjamin Giese from Texas A&amp;M University, Robert Dattore from NCAR and Gilbert Compo from University of Colorado for their help in retrieving these data.</t>
  </si>
  <si>
    <t>10.1007/s00382-017-3698-6</t>
  </si>
  <si>
    <t>WOS:000425328700043</t>
  </si>
  <si>
    <t>Zhou, MY; Zhang, YJ; Zhang, XY; Yang, XD; He, HL; Ning, DL; Du, ZJ</t>
  </si>
  <si>
    <t>Zhou, Ming-Yang; Zhang, Yan-Jiao; Zhang, Xi-Ying; Yang, Xiao-Deng; He, Hai-Lun; Ning, Daliang; Du, Zongjun</t>
  </si>
  <si>
    <t>Flavobacterium phocarum sp nov., isolated from soils of a seal habitat in Antarctica</t>
  </si>
  <si>
    <t>polyphasic taxonomy; Antarctic soil; sp nov.</t>
  </si>
  <si>
    <t>EMENDED DESCRIPTION; GENUS FLAVOBACTERIUM; FRESH-WATER; BACTERIUM; SEDIMENT; LAKE; SEQUENCES; PROPOSAL; GLACIER; FAMILY</t>
  </si>
  <si>
    <t>A Gram-stain-negative, yellow-pigmented, non-flagellated, gliding, rod-shaped, oxidase-negative and catalase-positive bacterium, designated SE14(T), was isolated from soil on King George Island, South Shetland Islands, Antarctica. Strain SE14(T) grew at 4-25 degrees C (optimum, 20 degrees C), at pH 6.0-9.0 (optimum, pH 7.0-7.5) and with 0-3.0% NaCl (optimum, 1.0-1.5 %), and could not produce flexirubin-type pigments. 16S rRNA gene sequence analysis showed the the isolate belonged to the genus Flavobacterium. Strain SE14(T) had the highest 16S rRNA gene sequence similarity to Flavobacterium antarcticum, F. tegetincola and F. degerlachei with 95.8, 95.5 and 95.2 %, respectively. The strain SE14(T) consisted of a clade with Flavobacterium noncentrifugens (16S rRNA gene sequence similarity 94.9 %) and F. qiangtangense (16S rRNA gene sequence similarity 94.2 %) and simultaneously formed a distinct phyletic lineage in the neighbour-joining phylogenetic tree. Polar lipids of the strain included phosphatidylethanolamine and four unidentified aminolipids. Strain SE14(T) contained anteiso-C-15 : 0, iso-C-15 : 0 and a mixture of iso-C-15 : 0 2-OH and/or C-16 : 1 omega 7c as the main fatty acids, and the only respiratory quinone was menaquinone-6. The genomic DNA G+C content was 42.3 mol%. The polyphasic taxonomic study revealed that strain SE14(T) belongs to a novel species within the genus Flavobacterium, and the name Flavobacterium phocarum sp. nov. is proposed. The type strain is SE14(T) (=CCTCC AB 2017225(T)=KCTC 52612(T)).</t>
  </si>
  <si>
    <t>[Zhou, Ming-Yang; Yang, Xiao-Deng] Qilu Univ Technol, Shandong Acad Sci, Sch Chem &amp; Pharmaceut Engn, Shandong Prov Key Lab Fine Chem, Jinan 250353, Shandong, Peoples R China; [Zhang, Yan-Jiao] Qingdao Agr Univ, Sch Life Sci, Shandong Prov Key Lab Appl Mycol, Qingdao 266109, Peoples R China; [Zhang, Xi-Ying] Shandong Univ, Marine Biotechnol Res Ctr, State Key Lab Microbial Technol, Jinan 250100, Shandong, Peoples R China; [He, Hai-Lun] Cent S Univ, Sch Life Sci, State Key Lab Med Genet, Changsha 410013, Hunan, Peoples R China; [Ning, Daliang] Univ Oklahoma, Dept Microbiol &amp; Plant Biol, Inst Environm Genom, Norman, OK 73019 USA; [Du, Zongjun] Shandong Univ Weihai, Coll Marine Sci, Weihai 264209, Peoples R China</t>
  </si>
  <si>
    <t>Qilu University of Technology; Qingdao Agricultural University; Shandong University; Central South University; University of Oklahoma System; University of Oklahoma - Norman; Shandong University</t>
  </si>
  <si>
    <t>Zhou, MY (corresponding author), Qilu Univ Technol, Shandong Acad Sci, Sch Chem &amp; Pharmaceut Engn, Shandong Prov Key Lab Fine Chem, Jinan 250353, Shandong, Peoples R China.</t>
  </si>
  <si>
    <t>myzhou@qlu.edu.cn</t>
  </si>
  <si>
    <t>Zhang, Xi/HJH-1211-2023; Zhou, Mingyang/IUP-4675-2023</t>
  </si>
  <si>
    <t>National Natural Science Foundation of China [31400002, 31670063, 31300005, 31370104, 21306092]; Key Research and Development Program of Shandong Province [2015GSF121043]</t>
  </si>
  <si>
    <t>National Natural Science Foundation of China(National Natural Science Foundation of China (NSFC)); Key Research and Development Program of Shandong Province</t>
  </si>
  <si>
    <t>This work was supported by the National Natural Science Foundation of China (31400002, 31670063, 31300005, 31370104, 21306092) and Key Research and Development Program of Shandong Province (2015GSF121043).</t>
  </si>
  <si>
    <t>10.1099/ijsem.0.002535</t>
  </si>
  <si>
    <t>FW3PQ</t>
  </si>
  <si>
    <t>WOS:000425221100011</t>
  </si>
  <si>
    <t>Jiang, F; Danzeng, WM; Zhang, YM; Zhang, Y; Jiang, L; Liu, J; Lu, L; Fan, W; Peng, F</t>
  </si>
  <si>
    <t>Jiang, Fan; Danzeng, Wangmu; Zhang, Yuming; Zhang, Yan; Jiang, Li; Liu, Jia; Lu, Lu; Fan, Wei; Peng, Fang</t>
  </si>
  <si>
    <t>Hymenobacter rubripertinctus sp nov., isolated from Antarctic tundra soil</t>
  </si>
  <si>
    <t>Hymenobacter; Antarctic; novel species</t>
  </si>
  <si>
    <t>RADIATION-RESISTANT BACTERIUM; EMENDED DESCRIPTION; CLASSIFICATION; SANDSTONE; SEQUENCES; XINJIANG; PROPOSAL; DESERT; FAMILY</t>
  </si>
  <si>
    <t>A red-pigmented, Gram-reaction-negative, aerobic, non-motile and rod-shaped bacterium, designated NY03-3-30(T), was isolated from a soil sample collected from Inexpressible Island, Northern Victoria Land of the Antarctic Ross Orogen, and subjected to a polyphasic taxonomic study. Growth occurred at 4-28 degrees C (optimum 20 degrees C) and at pH 6.0-9.0 (optimum pH 7.0). Phylogenetic analysis based on 16S rRNA gene sequences indicated that strain NY03-3-30(T) belonged to the genus Hymenobacter in the family Cytophagaceae. 16S rRNA gene sequence similarities between strain NY03-3-30(T) and the type strains of Hymenobacter species with validly published names ranged from 92.7 to 96.2 %. Strain NY03-3-30(T) contained summed feature 3 (C-16 (:) (1)omega 7c and/or C-16 (:) (1)omega 6c), iso-C-15 : 0, C-16 : (0), C-16 : 1 omega 5c, anteiso-C-15 : 0 and summed feature 4 (iso-C-17 : 1-I and/or anteiso-C-17 : 1-B) as major cellular fatty acids, MK-7 as the respiratory quinone and phosphatidylethanolamine as the main polar lipid. The DNA G+C content of strain NY03-3-30(T) was 59.4 mol%. On the basis of phylogenetic, physiological and chemotaxonomic data, strain NY03-3-30(T) is considered to represent a novel species of genus Hymenobacter, for which the name Hymenobacter rubripertinctus sp. nov. is proposed. The type strain is NY03-3-30(T) (=CCTCC AB 2017095(T)=KCTC 62163(T)).</t>
  </si>
  <si>
    <t>[Jiang, Fan; Zhang, Yan; Fan, Wei] Chinese Acad Agr Sci, Agr Genom Inst, Shenzhen 518120, Peoples R China; [Danzeng, Wangmu; Zhang, Yuming; Jiang, Li; Liu, Jia; Lu, Lu; Peng, Fang] Wuhan Univ, Coll Life Sci, CCTCC, Wuhan 430072, Hubei, Peoples R China; [Peng, Fang] Hubei Prov Cooperat Innovat Ctr Ind Fermentat, Wuhan 430072, Hubei, Peoples R China</t>
  </si>
  <si>
    <t>Chinese Academy of Agricultural Sciences; Agriculture Genomes Institute at Shenzhen, CAAS; Wuhan University</t>
  </si>
  <si>
    <t>Fan, W (corresponding author), Chinese Acad Agr Sci, Agr Genom Inst, Shenzhen 518120, Peoples R China.;Peng, F (corresponding author), Wuhan Univ, Coll Life Sci, CCTCC, Wuhan 430072, Hubei, Peoples R China.;Peng, F (corresponding author), Hubei Prov Cooperat Innovat Ctr Ind Fermentat, Wuhan 430072, Hubei, Peoples R China.</t>
  </si>
  <si>
    <t>fanwei@caas.cn; pf-cctcc@whu.edu.cn</t>
  </si>
  <si>
    <t>Fan, Wei/JBS-5256-2023; Shi, Yaolin/JXN-8322-2024; zhen, wang/KBA-3844-2024</t>
  </si>
  <si>
    <t>Fan, Wei/0000-0001-5036-8733;</t>
  </si>
  <si>
    <t>Ministry of Science and Technology of the People's Republic of China [NIMR-2017-8]; National Natural Science Foundation of China [31270538]; Shenzhen Science and Technology Program [JCYJ20150630165133395]; National Key Research and Development Program of China [2016YFC1200600]; Chinese Polar Scientific Strategy Research Fund [20150306]; Chinese Ministry of Education [113042A]</t>
  </si>
  <si>
    <t>Ministry of Science and Technology of the People's Republic of China(Ministry of Science and Technology, China); National Natural Science Foundation of China(National Natural Science Foundation of China (NSFC)); Shenzhen Science and Technology Program; National Key Research and Development Program of China; Chinese Polar Scientific Strategy Research Fund; Chinese Ministry of Education(Ministry of Education, China)</t>
  </si>
  <si>
    <t>This work was kindly supported by the R&amp;D Infrastructure and Facility Development Program from the Ministry of Science and Technology of the People's Republic of China (no. NIMR-2017-8), the National Natural Science Foundation of China (no. 31270538), the Shenzhen Science and Technology Program (JCYJ20150630165133395), the National Key Research and Development Program of China (2016YFC1200600), the Chinese Polar Scientific Strategy Research Fund 20150306 and Key Project of Chinese Ministry of Education (113042A).</t>
  </si>
  <si>
    <t>10.1099/ijsem.0.002563</t>
  </si>
  <si>
    <t>WOS:000425221100031</t>
  </si>
  <si>
    <t>Dinniman, MS; Klinck, JM; Hofmann, EE; Smith, WO</t>
  </si>
  <si>
    <t>Dinniman, Michael S.; Klinck, John M.; Hofmann, Eileen E.; Smith, Walker O., Jr.</t>
  </si>
  <si>
    <t>Effects of Projected Changes in Wind, Atmospheric Temperature, and Freshwater Inflow on the Ross Sea</t>
  </si>
  <si>
    <t>ANTARCTIC BOTTOM WATER; ICE-SHELF; OCEAN CIRCULATION; ERA-INTERIM; VARIABILITY; SURFACE; MODEL; TRENDS; IMPACTS; OCEANOGRAPHY</t>
  </si>
  <si>
    <t>A 5-km horizontal resolution regional ocean-sea ice-ice shelf model of the Ross Sea is used to examine the effects of changes in wind strength, air temperature, and increased meltwater input on the formation of high-salinity shelf water (HSSW), on-shelf transport and vertical mixing of Circumpolar Deep Water (CDW) and its transformation into modified CDW (MCDW), and basal melt of the Ross Ice Shelf (RIS). A 20% increase in wind speed, with no other atmospheric changes, reduced summer sea ice minimum area by 20%, opposite the observed trend of the past three decades. Increased winds with spatially uniform, reduced atmospheric temperatures increased summer sea ice concentrations, on-shelf transport of CDW, vertical mixing of MCDW, HSSW volume, and (albeit small) RIS basal melt. Winds and atmospheric temperatures from the SRES A1B scenario forcing of the MPI ECHAM5 model decreased on-shelf transport of CDW and vertical mixing of MCDW for 2046-61 and 2085-2100 relative to the end of the twentieth century. The RIS basal melt increased slightly by 2046-61 (9%) and 2085-2100 (13%). Advection of lower-salinity water onto the continental shelf did not significantly affect sea ice extent for the 2046-61 or 2085-2100 simulations. However, freshening reduces on-shelf transport of CDW, vertical mixing of MCDW, and the volume of HSSW produced. The reduced vertical mixing of MCDW, while partially balanced by the reduced on-shelf transport of CDW, enhances the RIS basal melt rate relative to the twentieth-century simulation for 2046-61 (13%) and 2085-2100 (17%).</t>
  </si>
  <si>
    <t>[Dinniman, Michael S.; Klinck, John M.; Hofmann, Eileen E.] Old Dominion Univ, Ctr Coastal Phys Oceanog, Norfolk, VA 23529 USA; [Smith, Walker O., Jr.] Virginia Inst Marine Sci, Coll William &amp; Mary, Gloucester Point, VA 23062 USA</t>
  </si>
  <si>
    <t>Old Dominion University; William &amp; Mary; Virginia Institute of Marine Science</t>
  </si>
  <si>
    <t>Dinniman, MS (corresponding author), Old Dominion Univ, Ctr Coastal Phys Oceanog, Norfolk, VA 23529 USA.</t>
  </si>
  <si>
    <t>msd@ccpo.odu.edu</t>
  </si>
  <si>
    <t>Dinniman, Michael/0000-0001-7519-9278; Klinck, John/0000-0003-4312-5201</t>
  </si>
  <si>
    <t>National Science Foundation [OCE-0927797, ANT-0944174, ANT-0944254]; Turing High Performance Computing cluster at Old Dominion University</t>
  </si>
  <si>
    <t>National Science Foundation(National Science Foundation (NSF)); Turing High Performance Computing cluster at Old Dominion University</t>
  </si>
  <si>
    <t>This research was supported by the National Science Foundation under Grants OCE-0927797, ANT-0944174, and ANT-0944254 and by the Turing High Performance Computing cluster at Old Dominion University. The AMPS data were provided by John Cassano, and AMPS is supported by U.S. National Science Foundation support to NCAR, The Ohio State University, and the University of Colorado. Stefanie Mack provided the enhanced version of the Ross Sea model used in this study. Comments from three anonymous reviewers greatly improved the manuscript. This is Virginia Institute of Marine Science Contribution Number 3716.</t>
  </si>
  <si>
    <t>10.1175/JCLI-D-17-0351.1</t>
  </si>
  <si>
    <t>FW2WU</t>
  </si>
  <si>
    <t>WOS:000425166600018</t>
  </si>
  <si>
    <t>Hanamseth, R; Baker, GB; Sherwen, S; Hindell, M; Lea, MA</t>
  </si>
  <si>
    <t>Hanamseth, Roshan; Baker, G. Barry; Sherwen, Sally; Hindell, Mark; Lea, Mary-Anne</t>
  </si>
  <si>
    <t>Assessing the importance of net colour as a seabird bycatch mitigation measure in gillnet fishing</t>
  </si>
  <si>
    <t>AQUATIC CONSERVATION-MARINE AND FRESHWATER ECOSYSTEMS</t>
  </si>
  <si>
    <t>bird; incidental mortality; new techniques; ocean; penguin; seabird; sensory perception</t>
  </si>
  <si>
    <t>Gillnets are used widely in fisheries throughout the world and known to cause the death of thousands of seabirds each year. Currently few practical or technical options are available to fishers for preventing seabird mortalities. The ability of little penguins (Eudyptula minor) to differentiate between different coloured netting materials was tested under controlled conditions to ascertain if changes in gillnet colour could facilitate a potential mitigation measure by improving visibility of nets. The study involved a repeated-measures design with penguins exposed to variously coloured mono-filament threads creating a gillnet mimic. The gillnet mimic was made up of gillnet material configured as a series of vertical lines 25mm apart stretched tightly across a stainless steel frame that measured 1160mmx1540mm and divided into two equal panel areas. The panels were placed in a large tank within an enclosure that housed 25 penguins. Penguins were able to readily access the tank and swim freely. The frame was always introduced into the tank with one panel containing a gillnet mimic, and the other panel left empty as a control. Gillnet filament colours tested were clear, green and orange. Orange coloured monofilament lines resulted in lower collision rates (5.5%), while clear and green monofilament lines resulted in higher rates of collision (35.9% and 30.8%, respectively). These results suggest that orange-coloured lines were more apparent to the birds. Constructing nets of orange-coloured material may be effective in reducing bycatch in gillnets set in shallow waters and high light levels where seabirds are able to identify fine colour differences. Further testing under experimental conditions, accompanied with at-sea trials to verify effectiveness in varied light conditions is warranted, together with an assessment of the effect of gillnet colour on catch efficiency of target species.</t>
  </si>
  <si>
    <t>[Hanamseth, Roshan; Baker, G. Barry; Hindell, Mark; Lea, Mary-Anne] Univ Tasmania, Inst Marine &amp; Antarctic Studies, Hobart, Tas, Australia; [Baker, G. Barry] Southern Seabirds Solut, Hobart, Tas, Australia; [Sherwen, Sally] Zoos Victoria, Dept Wildlife Conservat &amp; Sci, Parkville, Vic, Australia; [Hindell, Mark; Lea, Mary-Anne] Antarctic Climate &amp; Ecosyst Cooperat Res Ctr, Hobart, Tas, Australia</t>
  </si>
  <si>
    <t>University of Tasmania; Antarctic Climate &amp; Ecosystems Cooperative Research Centre (ACE CRC)</t>
  </si>
  <si>
    <t>Baker, GB (corresponding author), Univ Tasmania, Inst Marine &amp; Antarctic Studies, Hobart, Tas, Australia.</t>
  </si>
  <si>
    <t>barry.baker@latitude42.com.au</t>
  </si>
  <si>
    <t>Hindell, Mark A/K-1131-2013; Lea, Mary-Anne/E-9054-2013</t>
  </si>
  <si>
    <t>Baker, G. Barry/0000-0003-4766-8182; Hindell, Mark/0000-0002-7823-7185; Lea, Mary-Anne/0000-0001-8318-9299; Sherwen, Sally/0000-0003-2170-0762</t>
  </si>
  <si>
    <t>Agreement on the Conservation of Albatrosses and Petrels (ACAP)</t>
  </si>
  <si>
    <t>1052-7613</t>
  </si>
  <si>
    <t>1099-0755</t>
  </si>
  <si>
    <t>AQUAT CONSERV</t>
  </si>
  <si>
    <t>Aquat. Conserv.-Mar. Freshw. Ecosyst.</t>
  </si>
  <si>
    <t>10.1002/aqc.2805</t>
  </si>
  <si>
    <t>Environmental Sciences; Marine &amp; Freshwater Biology; Water Resources</t>
  </si>
  <si>
    <t>Environmental Sciences &amp; Ecology; Marine &amp; Freshwater Biology; Water Resources</t>
  </si>
  <si>
    <t>FW2GU</t>
  </si>
  <si>
    <t>WOS:000425121900018</t>
  </si>
  <si>
    <t>Alikunju, AP; Joy, S; Rahiman, M; Rosmine, E; Antony, AC; Solomon, S; Manjusha, K; Saramma, AV; Krishnan, KP; Hatha, AAM</t>
  </si>
  <si>
    <t>Alikunju, Aneesa P.; Joy, Susan; Rahiman, Mujeeb; Rosmine, Emilda; Antony, Ally C.; Solomon, Solly; Manjusha, K.; Saramma, A. V.; Krishnan, K. P.; Hatha, A. A. Mohamed</t>
  </si>
  <si>
    <t>A Statistical Approach to Optimize Cold Active β-Galactosidase Production by an Arctic Sediment Pscychrotrophic Bacteria, Enterobacter ludwigii (MCC 3423) in Cheese Whey</t>
  </si>
  <si>
    <t>CATALYSIS LETTERS</t>
  </si>
  <si>
    <t>Arctic; Cold active beta-galactosidase; Response surface methodology; Whey</t>
  </si>
  <si>
    <t>NATTOKINASE PRODUCTION; PROTEASE PRODUCTION; LACTOSE HYDROLYSIS; PURIFICATION; CLONING; OLIGOSACCHARIDES</t>
  </si>
  <si>
    <t>Cold active beta-galactosidases which catalyze lactose hydrolysis and transglycosylation reactions at low temperature make them highly potential biocatalyst in biotechnology, pharmaceutical and food processing industries. Moreover, an interest towards the utilization of diary industrial waste, whey and its constituents, for manufacturing a wide range of valuable products at reliable cost is increasing among researchers in order to facilitate its wider commercial use. In the present study, the fermentation parameters for the maximum production of cold active beta-galactosidase from a psychrotrophic bacterium, Enterobacter ludwigii in cheese whey was optimized by exploring statistical methods, Plackett-Burman design (PBD) and central composite design (CCD). Three most significant factors viz, pH, whey and tryptone out of 11 were selected by PBD and were further optimized by response surface methodology using CCD. The optimal levels of pH, whey and tryptone were indicated as 7.3, 82 (v/v) % and 3.84 g% respectively. An overall 3.6-fold increase in cold active beta-galactosidase production (34.37 U/mL) was achieved in optimized medium compared to the yield from unoptimized medium. The quadratic regression model was proven to be adequate (p = 0.0001, R (2) = 0.9880, CV = 7.96%) and the response (cold active beta-galactosidase production) obtained on validation coincident with the predicted value. Graphical Abstract [GRAPHICS] .</t>
  </si>
  <si>
    <t>[Alikunju, Aneesa P.; Joy, Susan; Rosmine, Emilda; Antony, Ally C.; Solomon, Solly; Saramma, A. V.; Hatha, A. A. Mohamed] Cochin Univ Sci &amp; Technol, Dept Marine Biol Microbiol &amp; Biochem, Cochin 682016, Kerala, India; [Rahiman, Mujeeb] MES Ponnani Coll, Dept Aquaculture &amp; Fishery Microbiol, Ponnani 679586, Kerala, India; [Manjusha, K.] St Xaviers Coll Women, Dept Microbiol, Aluva 683101, Kerala, India; [Krishnan, K. P.] Natl Ctr Antarctic &amp; Ocean Res, Vasco Da Gama 403804, Goa, India</t>
  </si>
  <si>
    <t>Cochin University Science &amp; Technology; Ministry of Earth Sciences (MoES) - India; National Centre for Polar and Ocean Research (NCPOR)</t>
  </si>
  <si>
    <t>Alikunju, AP (corresponding author), Cochin Univ Sci &amp; Technol, Dept Marine Biol Microbiol &amp; Biochem, Cochin 682016, Kerala, India.</t>
  </si>
  <si>
    <t>aneesasiraj2005@gmail.com</t>
  </si>
  <si>
    <t>A, ANEESA P/AGM-1292-2022; Antony, Ally C./AAU-4975-2021; K, Manjusha/JKI-4199-2023; P, Krishnan K/ABF-8783-2020</t>
  </si>
  <si>
    <t>A, ANEESA P/0000-0002-8937-1451; rosmine, emilda/0000-0002-9854-6014; Abdulla, Mohamed Hatha/0000-0003-0136-2911</t>
  </si>
  <si>
    <t>UGC-BSR, India (UGC) [25-1/2014-15(BSR)/5-24/2007/(BSR)]</t>
  </si>
  <si>
    <t>UGC-BSR, India (UGC)</t>
  </si>
  <si>
    <t>The authors are thankful to UGC-BSR, India for funding the research work (UGC Grant No. F.No. 25-1/2014-15(BSR)/5-24/2007/(BSR). Authors are also thankful to the Department of Marine Biology, Microbiology and Biochemistry and Sophisticated Testing and Instrumentation Centre (STIC) at Cochin University of Science and Technology (CUSAT) and National Centre for Antarctic and Ocean Research (NCAOR) for providing the facilities to carry out the research. Authors acknowledge Dr. C. K. Radhakrishnan and K. T. Thomas for their valuable suggestions and support.</t>
  </si>
  <si>
    <t>1011-372X</t>
  </si>
  <si>
    <t>1572-879X</t>
  </si>
  <si>
    <t>CATAL LETT</t>
  </si>
  <si>
    <t>Catal. Lett.</t>
  </si>
  <si>
    <t>10.1007/s10562-017-2257-4</t>
  </si>
  <si>
    <t>Chemistry, Physical</t>
  </si>
  <si>
    <t>FW2EU</t>
  </si>
  <si>
    <t>WOS:000425116300021</t>
  </si>
  <si>
    <t>Jilly-Rehak, CE; Huss, GR; Nagashima, K; Schrader, DL</t>
  </si>
  <si>
    <t>Jilly-Rehak, Christine E.; Huss, Gary R.; Nagashima, Kazu; Schrader, Devin L.</t>
  </si>
  <si>
    <t>Low-temperature aqueous alteration on the CR chondrite parent body: Implications from in situ oxygen-isotope analyses</t>
  </si>
  <si>
    <t>CR chondrite; Carbonaceous chondrites; Aqueous alteration; Secondary processes; Oxygen isotopes</t>
  </si>
  <si>
    <t>EARLY SOLAR-SYSTEM; CARBONACEOUS CHONDRITES; CM CHONDRITES; FRACTIONATION; TERRESTRIAL; MAGNETITE; CARBONATES; CHONDRULES; METEORITES; CALCITE</t>
  </si>
  <si>
    <t>The presence of hydrated minerals in chondrites indicates that water played an important role in the geologic evolution of the early Solar System; however, the process of aqueous alteration is still poorly understood. Renazzo-like carbonaceous (CR) chondrites are particularly well-suited for the study of aqueous alteration. Samples range from being nearly anhydrous to fully altered, essentially representing snapshots of the alteration process through time. We studied oxygen isotopes in secondary-minerals from six CR chondrites of varying hydration states to determine how aqueous fluid conditions (including composition and temperature) evolved on the parent body. Secondary minerals analyzed included calcite, dolomite, and magnetite. The O-isotope composition of calcites ranged from delta O-18 approximate to 9 to 35%, dolomites from delta O-18 approximate to 23 to 27%, and magnetites from delta O-18 approximate to -18 to 5%. Calcite in less-altered samples showed more evidence of fluid evolution compared to heavily altered samples, likely reflecting lower water/rock ratios. Most magnetite plotted on a single trend, with the exception of grains from the extensively hydrated chondrite MIL 090292. The MIL 090292 magnetite diverges from this trend, possibly indicating an anomalous origin for the meteorite. If magnetite and calcite formed in equilibrium, then the relative O-18 fractionation between them can be used to extract the temperature of co-precipitation. Isotopic fractionation in Al Rais carbonate-magnetite assemblages revealed low precipitation temperatures (similar to 60 degrees C). Assuming that the CR parent body experienced closed-system alteration, a similar exercise for parallel calcite and magnetite O-isotope arrays yields global alteration temperatures of similar to 55 to 88 degrees C. These secondary mineral arrays indicate that the O-isotopic composition of the altering fluid evolved upon progressive alteration, beginning near the Al Rais water composition of Delta O-17 similar to 1% and delta O-18 similar to 10%, and becoming increasingly O-16-enriched toward a final fluid composition of Delta O-17 similar to -1.2% and delta O-18 similar to -15%. (C) 2017 Elsevier Ltd. All rights reserved.</t>
  </si>
  <si>
    <t>[Jilly-Rehak, Christine E.] Univ Hawaii Manoa, Dept Geol &amp; Geophys, 1680 East West Rd,POST 517A, Honolulu, HI 96822 USA; [Jilly-Rehak, Christine E.; Huss, Gary R.; Nagashima, Kazu] Univ Hawaii Manoa, Hawaii Inst Geophys &amp; Planetol, 1680 East West Rd,POST 602, Honolulu, HI 96822 USA; [Schrader, Devin L.] Arizona State Univ, Sch Earth &amp; Space Explorat, Ctr Meteorite Studies, POB 871404, Tempe, AZ 85287 USA</t>
  </si>
  <si>
    <t>University of Hawaii System; University of Hawaii Manoa; University of Hawaii System; University of Hawaii Manoa; Arizona State University; Arizona State University-Tempe</t>
  </si>
  <si>
    <t>Jilly-Rehak, CE (corresponding author), Univ Hawaii Manoa, Hawaii Inst Geophys &amp; Planetol, 1680 East West Rd,POST 602, Honolulu, HI 96822 USA.;Jilly-Rehak, CE (corresponding author), Univ Calif Berkeley, Space Sci Lab, 7 Gauss Way, Berkeley, CA 94720 USA.</t>
  </si>
  <si>
    <t>jillyrehak@ssl.berkeley.edu; ghuss@higp.hawaii.edu; kazu@higp.hawaii.edu; devin.schrader@asu.edu</t>
  </si>
  <si>
    <t>Schrader, Devin L/H-6293-2012</t>
  </si>
  <si>
    <t>Nagashima, Kazuhide/0000-0002-9322-3187; Huss, Gary/0000-0003-4281-7839; Jilly-Rehak, Christine/0000-0003-4879-8739; Schrader, Devin/0000-0001-5282-232X</t>
  </si>
  <si>
    <t>NASA Headquarters under the NASA Earth and Space Science Fellowship Program [NNX14AO29H]; NASA Cosmochemistry Grant [NNX11AG78G]; NAI [NNA04CC08A]</t>
  </si>
  <si>
    <t>NASA Headquarters under the NASA Earth and Space Science Fellowship Program(National Aeronautics &amp; Space Administration (NASA)); NASA Cosmochemistry Grant; NAI</t>
  </si>
  <si>
    <t>We thank the Johnson Space Center's Meteorite Working Group for the Antarctic meteorite samples, and the Division of Meteorites, Department of Mineral Sciences, Smithsonian Institution for providing the Al Rais USNM 6997 samples. We also thank the Museum of Natural History Vienna for providing the Renazzo NHMW-N1126 and NHMW-N1127 samples. The authors also thank N. Kita for insight on magnetite fractionation, and M. Garcia for sharing his writing knowledge. This manuscript was improved by the helpful reviews from T. Tenner and two anonymous reviewers, and Associate Editor S. Russell. This work was supported by NASA Headquarters under the NASA Earth and Space Science Fellowship Program Grant NNX14AO29H, as well as NASA Cosmochemistry Grant NNX11AG78G (G. R. Huss, PI), and NAI cooperative agreement NNA04CC08A (K. Meech, PI). This manuscript is SOEST publication #10235 and HIGP publication #2262.</t>
  </si>
  <si>
    <t>10.1016/j.gca.2017.10.007</t>
  </si>
  <si>
    <t>WOS:000424972200014</t>
  </si>
  <si>
    <t>Budde, G; Kruijer, TS; Kleine, T</t>
  </si>
  <si>
    <t>Budde, Gerrit; Kruijer, Thomas S.; Kleine, Thorsten</t>
  </si>
  <si>
    <t>Hf-W chronology of CR chondrites: Implications for the timescales of chondrule formation and the distribution of 26Al in the solar nebula</t>
  </si>
  <si>
    <t>Hf-W chronometry; Chondrules; Mo isotopes; Al-26; Renazzo; Accretion; Complementarity</t>
  </si>
  <si>
    <t>URANIUM ISOTOPIC COMPOSITION; SILICON-CARBIDE GRAINS; CORE FORMATION; CARBONACEOUS CHONDRITES; SIDEROPHILE ELEMENTS; PARENT BODIES; S-PROCESS; SYSTEM; CONSTRAINTS; ACCRETION</t>
  </si>
  <si>
    <t>Renazzo-type carbonaceous (CR) chondrites are distinct from most other chondrites in having younger chondrule Al-26-Mg-26 ages, but the significance of these ages and whether they reflect true formation times or spatial variations of the Al-26/Al-27 ratio within the solar protoplanetary disk are a matter of debate. To address these issues and to determine the timescales of metal-silicate fractionation and chondrule formation in CR chondrites, we applied the short-lived Hf-182-W-182 chronometer to metal, silicate, and chondrule separates from four CR chondrites. We also obtained Mo isotope data for the same samples to assess potential genetic links among the components of CR chondrites, and between these components and bulk chondrites. All investigated samples plot on a single Hf-W isochron and constrain the time of metal-silicate fractionation in CR chondrites to 3.6 +/- 0.6 million years (Ma) after the formation of Ca-Al-rich inclusions (CAIs). This age is indistinguishable from a similar to 3.7 Ma Al-Mg age for CR chondrules, suggesting not only that metal-silicate fractionation and chondrule formation were coeval, but also that these two processes were linked to each other. The good agreement of the Hf-W and Al-Mg ages, combined with concordant Hf-W and Al-Mg ages for angrites and CV chondrules, provides strong evidence for a disk-wide, homogeneous distribution of Al-26 in the early solar system. As such, the young Al-Mg ages for CR chondrules do not reflect spatial Al-26/Al-27 heterogeneities but indicate that CR chondrules formed similar to 1-2 Ma later than chondrules from most other chondrite groups. Metal and silicate in CR chondrites exhibit distinct nucleosynthetic Mo and W isotope anomalies, which are caused by the heterogeneous distribution of the same presolar s-process carrier. These data suggest that the major components of CR chondrites are genetically linked and therefore formed from a single reservoir of nebular dust, most likely by localized melting events within the solar protoplanetary disk. Taken together, the chemical, isotopic, and chronological data for components of CR chondrites imply a close temporal link between chondrule formation and chondrite accretion, indicating that the CR chondrite parent body is one of the youngest meteorite parent bodies. The relatively late accretion of the CR parent body is consistent with its isotopic composition (for instance the elevated N-15/N-14) that suggests a formation at a larger heliocentric distance, probably beyond the orbit of Jupiter. As such, the accretion age of the CR chondrite parent body of similar to 3.6 Ma after CAI formation provides the earliest possible time at which Jupiter's growth could have led to scattering of carbonaceous meteorite parent bodies from beyond its orbit into the inner solar system. (C) 2017 Elsevier Ltd. All rights reserved.</t>
  </si>
  <si>
    <t>[Budde, Gerrit; Kruijer, Thomas S.; Kleine, Thorsten] Univ Munster, Inst Planetol, Wilhelm Klemm Str 10, D-48149 Munster, Germany; [Kruijer, Thomas S.] Lawrence Livermore Natl Lab, Nucl &amp; Chem Sci Div, Livermore, CA 94550 USA</t>
  </si>
  <si>
    <t>University of Munster; United States Department of Energy (DOE); Lawrence Livermore National Laboratory</t>
  </si>
  <si>
    <t>Budde, G (corresponding author), Univ Munster, Inst Planetol, Wilhelm Klemm Str 10, D-48149 Munster, Germany.</t>
  </si>
  <si>
    <t>gerrit.budde@uni-muenster.de</t>
  </si>
  <si>
    <t>Kleine, Thorsten/S-2792-2017</t>
  </si>
  <si>
    <t>Kleine, Thorsten/0000-0003-4657-5961; Kruijer, Thomas/0000-0003-0974-4324; Budde, Gerrit/0000-0003-0762-779X</t>
  </si>
  <si>
    <t>Deutsche Forschungsgemeinschaft (DFG) as part of the Priority Program [SPP 1385, KL 1857/3]; Deutsche Forschungsgemeinschaft (DFG) as part of the Collaborative Research Centre [SFB-TRR 170]</t>
  </si>
  <si>
    <t>Deutsche Forschungsgemeinschaft (DFG) as part of the Priority Program; Deutsche Forschungsgemeinschaft (DFG) as part of the Collaborative Research Centre(German Research Foundation (DFG))</t>
  </si>
  <si>
    <t>We gratefully acknowledge the Meteorite Working Group (NASA) for providing the Antarctic meteorite sample (GRA 06100) analyzed in this study. We thank two anonymous reviewers for their constructive comments and N. Dauphas for his editorial efforts. Finally, we are also grateful to C. Burkhardt, K. Metzler, A. Bischoff, and Erik Scherer for discussions. This study was supported by the Deutsche Forschungsgemeinschaft (DFG) as part of the Priority Program SPP 1385 (grant KL 1857/3) and the Collaborative Research Centre SFB-TRR 170. These sources of funding are gratefully acknowledged. This is TRR 170 publication no. 14.</t>
  </si>
  <si>
    <t>10.1016/j.gca.2017.10.014</t>
  </si>
  <si>
    <t>WOS:000424972200017</t>
  </si>
  <si>
    <t>Cheon, WG; Cho, CB; Gordon, AL; Kim, YH; Park, YG</t>
  </si>
  <si>
    <t>Cheon, Woo Geun; Cho, Chang-Bong; Gordon, Arnold L.; Kim, Young Ho; Park, Young-Gyu</t>
  </si>
  <si>
    <t>The Role of Oscillating Southern Hemisphere Westerly Winds: Southern Ocean Coastal and Open-Ocean Polynyas</t>
  </si>
  <si>
    <t>NOVA BAY POLYNYA; CIRCUMPOLAR CURRENT; DEEP CONVECTION; ANNULAR MODE; BOTTOM WATER; CIRCULATION; SEA; THERMOHALINE; ATMOSPHERE; DYNAMICS</t>
  </si>
  <si>
    <t>An oscillation in intensity of the Southern Hemisphere westerly winds is a major characteristic of the southern annular mode. Its impact upon the sea ice-ocean interactions in the Weddell and Ross Seas is investigated by a sea ice-ocean general circulation model coupled to an energy balance model for three temporal scales and two amplitudes of intensity. It is found that the oscillating wind forcing over the Southern Ocean plays a significant role both in regulating coastal polynyas along the Antarctic margins and in triggering open-ocean polynyas. The formation of coastal polynya in the western Weddell and Ross Seas is enhanced with the intensifying winds, resulting in an increase in the salt flux into the ocean via sea ice formation. Under intensifying winds, an instantaneous spinup within the Weddell and Ross Sea cyclonic gyres causes the warm deep water to upwell, triggering open-ocean polynyas with accompanying deep ocean convection. In contrast to coastal polynyas, open-ocean polynyas in the Weddell and Ross Seas respond differently to the wind forcing and are dependent on its period. That is, the Weddell Sea open-ocean polynya occurs earlier and more frequently than the Ross Sea open-ocean polynya and, more importantly, does not occur when the period of oscillation is sufficiently short. The strong stratification of the Ross Sea and the contraction of the Ross gyre due to the southward shift of Antarctic Circumpolar Current fronts provide unfavorable conditions for the Ross Sea open-ocean polynya. The recovery time of deep ocean heat controls the occurrence frequency of the Weddell Sea open-ocean polynya.</t>
  </si>
  <si>
    <t>[Cheon, Woo Geun; Cho, Chang-Bong] Agcy Def Dev, Res &amp; Dev Inst 6, Jinhae, South Korea; [Gordon, Arnold L.] Lamont Doherty Earth Observ, Palisades, NY USA; [Kim, Young Ho; Park, Young-Gyu] Korea Inst Ocean Sci &amp; Technol, Ocean Circulat &amp; Climate Res Div, Busan, South Korea</t>
  </si>
  <si>
    <t>Agency of Defense Development (ADD), Republic of Korea; Columbia University; Korea Institute of Ocean Science &amp; Technology (KIOST)</t>
  </si>
  <si>
    <t>Cheon, WG (corresponding author), Agcy Def Dev, Res &amp; Dev Inst 6, Jinhae, South Korea.</t>
  </si>
  <si>
    <t>cwg@add.re.kr</t>
  </si>
  <si>
    <t>Gordon, Arnold/H-1049-2011</t>
  </si>
  <si>
    <t>National Research Foundation of Korea - Korean government (MSIT) [NRF-2016M1A2A2948277]; National Oceanic and Atmospheric Administration (NOAA), Division of Climate Observations, U.S. Department of Commerce [UCAR Z15-17551]; KIOST [PE9949C]</t>
  </si>
  <si>
    <t>National Research Foundation of Korea - Korean government (MSIT); National Oceanic and Atmospheric Administration (NOAA), Division of Climate Observations, U.S. Department of Commerce; KIOST</t>
  </si>
  <si>
    <t>We thank the editor and four anonymous reviewers for their critical constructive comments and suggestions that helped us greatly. This paper was mainly sponsored by the National Research Foundation of Korea Grant NRF-2016M1A2A2948277 funded by the Korean government (MSIT). The contribution of A. L. Gordon was funded by the National Oceanic and Atmospheric Administration (NOAA), Division of Climate Observations, U.S. Department of Commerce via Grant UCAR Z15-17551. The statements, findings, conclusions, and recommendations are those of the authors and do not necessarily reflect the views of NOAA or the Department of Commerce. This is Lamont-Doherty Earth Observatory contribution number 8156. The contribution of Y.-G. Park was funded by the KIOST PE9949C. E.-H. Park and T.-W. Kim of Hanul Solution Co. provided technical support.</t>
  </si>
  <si>
    <t>10.1175/JCLI-D-17-0237.1</t>
  </si>
  <si>
    <t>FW2WR</t>
  </si>
  <si>
    <t>WOS:000425166100008</t>
  </si>
  <si>
    <t>Ceppi, P; Zappa, G; Shepherd, TG; Gregory, JM</t>
  </si>
  <si>
    <t>Ceppi, Paulo; Zappa, Giuseppe; Shepherd, Theodore G.; Gregory, Jonathan M.</t>
  </si>
  <si>
    <t>Fast and Slow Components of the Extratropical Atmospheric Circulation Response to CO2 Forcing</t>
  </si>
  <si>
    <t>SEA-SURFACE TEMPERATURE; TIME SCALES; CLIMATE SENSITIVITY; NORTH-ATLANTIC; STORM-TRACK; OCEAN; MODEL; CMIP5; PATTERNS; FEEDBACK</t>
  </si>
  <si>
    <t>Poleward shifts of the extratropical atmospheric circulation are a common response to CO2 forcing in global climate models (GCMs), but little is known about the time dependence of this response. Here it is shown that in coupled climate models, the long-term evolution of sea surface temperatures (SSTs) induces two distinct time scales of circulation response to steplike CO2 forcing. In most GCMs from phase 5 of the Coupled Model Intercomparison Project as well as in the multimodel mean, all of the poleward shift of the midlatitude jets and Hadley cell edge occurs in a fast response within 510 years of the forcing, during which less than half of the expected equilibrium warming is realized. Compared with this fast response, the slow response over subsequent decades to centuries features stronger polar amplification (especially in the Antarctic), enhanced warming in the Southern Ocean, an El Nino-like pattern of tropical Pacific warming, and weaker land-sea contrast. Atmosphere-only GCM experiments demonstrate that the SST evolution drives the difference between the fast and slow circulation responses, although the direct radiative effect of CO2 also contributes to the fast response. It is further shown that the fast and slow responses determine the long-term evolution of the circulation response to warming in the representative concentration pathway 4.5 (RCP4.5) scenario. The results imply that shifts in midlatitude circulation generally scale with the radiative forcing, rather than with global-mean temperature change. A corollary is that time slices taken from a transient simulation at a given level of warming will considerably overestimate the extratropical circulation response in a stabilized climate.</t>
  </si>
  <si>
    <t>[Ceppi, Paulo; Zappa, Giuseppe; Shepherd, Theodore G.] Univ Reading, Dept Meteorol, Reading, Berks, England; [Gregory, Jonathan M.] Univ Reading, NCAS Climate, Reading, Berks, England; [Gregory, Jonathan M.] Met Off Hadley Ctr, Exeter, Devon, England</t>
  </si>
  <si>
    <t>University of Reading; University of Reading; UK Research &amp; Innovation (UKRI); Natural Environment Research Council (NERC); NERC National Centre for Atmospheric Science; Met Office - UK; Hadley Centre</t>
  </si>
  <si>
    <t>Ceppi, P (corresponding author), Univ Reading, Dept Meteorol, Reading, Berks, England.</t>
  </si>
  <si>
    <t>p.ceppi@reading.ac.uk</t>
  </si>
  <si>
    <t>Gregory, Jonathan/J-2939-2016; Zappa, Giuseppe/AAX-5150-2021; Ceppi, Paulo/N-2282-2016</t>
  </si>
  <si>
    <t>Gregory, Jonathan/0000-0003-1296-8644; Zappa, Giuseppe/0000-0003-4306-7451; Ceppi, Paulo/0000-0002-3754-3506</t>
  </si>
  <si>
    <t>ERC Advanced Grant ACRCC'' [339390]; NCAS-Climate program; NERC [ncas10008, NE/R015244/1, ncas10005, ncas10003] Funding Source: UKRI; Natural Environment Research Council [NE/R015244/1, ncas10005, ncas10009, ncas10008, ncas10003] Funding Source: researchfish</t>
  </si>
  <si>
    <t>ERC Advanced Grant ACRCC''; NCAS-Climate program; NERC(UK Research &amp; Innovation (UKRI)Natural Environment Research Council (NERC)); Natural Environment Research Council(UK Research &amp; Innovation (UKRI)Natural Environment Research Council (NERC))</t>
  </si>
  <si>
    <t>We thank Kevin Grise, Isaac Held, Geoff Vallis, and an anonymous reviewer for helpful comments. We are also grateful to Maria Rugenstein for making available the long CESM ensemble of abrupt4xCO2 integrations and for providing comments on the manuscript before submission. This work used the ARCHER U.K. National Supercomputing Service (http://www.archer.ac.uk) and was supported by the ERC Advanced Grant ACRCC'' (Grant 339390). JMG was supported by the NCAS-Climate program.</t>
  </si>
  <si>
    <t>10.1175/JCLI-D-17-0323.1</t>
  </si>
  <si>
    <t>WOS:000425166100010</t>
  </si>
  <si>
    <t>Zou, LL; Huntington, HP</t>
  </si>
  <si>
    <t>Zou, Leilei; Huntington, Henry P.</t>
  </si>
  <si>
    <t>Implications of the Convention on the Conservation and Management of Pollock Resources in the Central Bering Sea for the management of fisheries in the Central Arctic Ocean</t>
  </si>
  <si>
    <t>Central Arctic Ocean; Fisheries management; Implications; Central Bering Sea</t>
  </si>
  <si>
    <t>With the prospect of fisheries developing in the Central Arctic Ocean as climate changes and summer sea ice retreats, an effective international agreement is under diplomatic discussion to foster a successful fisheries management regime. This paper explores the implications of the Central Bering Sea experience for a fisheries agreement covering the Central Arctic Ocean. The 1980s and early 1990s witnessed the depletion of pollock resources from overfishing in the Central Bering Sea, a high seas area of the sub-Arctic. With joint efforts from coastal states and distant-water fishing states, the Convention on the Conservation and Management of Pollock Resources in the Central Bering Sea was signed, facilitating the involvement of both groups in the establishment of a management regime and the implementation of management measures. Specifically, the paper considers the role of the precautionary approach, cooperation between coastal states and distant-water fishing states, timely establishment of a Regional Fisheries Management Organization, dynamic fisheries management, and scientific research and investigation. The analysis indicates ways to address challenges and potentially conflicting interests in the Central Arctic Ocean fisheries management.</t>
  </si>
  <si>
    <t>[Zou, Leilei] Shanghai Ocean Univ, Res Inst Marine Policies &amp; Laws, 999 Hucheng Huan Rd, Shanghai 201306, Peoples R China; [Zou, Leilei] Kobe Univ, Grad Sch Int Cooperat Studies, Nada Ku, Rokkodai Cho, Kobe, Hyogo 6578501, Japan; [Huntington, Henry P.] Huntington Consulting, 23834 Clearing Dr, Eagle River, AK 99577 USA</t>
  </si>
  <si>
    <t>Shanghai Ocean University; Kobe University</t>
  </si>
  <si>
    <t>Zou, LL (corresponding author), Shanghai Ocean Univ, Res Inst Marine Policies &amp; Laws, 999 Hucheng Huan Rd, Shanghai 201306, Peoples R China.;Zou, LL (corresponding author), Kobe Univ, Grad Sch Int Cooperat Studies, Nada Ku, Rokkodai Cho, Kobe, Hyogo 6578501, Japan.</t>
  </si>
  <si>
    <t>llzou@shou.edu.cn; hph@alaska.net</t>
  </si>
  <si>
    <t>Construction of the Central Arctic Ocean Fisheries Management Regime and China's Response, a research project of social science - the Ministry of Education of China [15YJAGJW007]; Safeguard of National Marine Rights and Interests, a research project - China's National Social Science Foundation [17VHQ010]; Research on Polar Law Systems, a research project under Antarctic and Arctic Environment Investigation and Assessment - State Oceanic Administration of China [CHINARE2015-04-05-04]; Shanghai Leading Academic Discipline Project (Fisheries Discipline), a discipline construction project - Shanghai Municipal Government, China; Japan Society for the Promoting of Science International Postdoctoral Fellowship Program; Application of UNCLOS in the Arctic-A Case Study of Arctic Fisheries, a research project - Shanghai Ocean University [A2-0203-17-100337]; Grants-in-Aid for Scientific Research [17F17010] Funding Source: KAKEN</t>
  </si>
  <si>
    <t>Construction of the Central Arctic Ocean Fisheries Management Regime and China's Response, a research project of social science - the Ministry of Education of China; Safeguard of National Marine Rights and Interests, a research project - China's National Social Science Foundation; Research on Polar Law Systems, a research project under Antarctic and Arctic Environment Investigation and Assessment - State Oceanic Administration of China; Shanghai Leading Academic Discipline Project (Fisheries Discipline), a discipline construction project - Shanghai Municipal Government, China; Japan Society for the Promoting of Science International Postdoctoral Fellowship Program; Application of UNCLOS in the Arctic-A Case Study of Arctic Fisheries, a research project - Shanghai Ocean University; Grants-in-Aid for Scientific Research(Ministry of Education, Culture, Sports, Science and Technology, Japan (MEXT)Japan Society for the Promotion of ScienceGrants-in-Aid for Scientific Research (KAKENHI))</t>
  </si>
  <si>
    <t>This research work is supported by Construction of the Central Arctic Ocean Fisheries Management Regime and China's Response (15YJAGJW007), a research project of social science sponsored by the Ministry of Education of China; Safeguard of National Marine Rights and Interests (17VHQ010), a research project sponsored by China's National Social Science Foundation; Research on Polar Law Systems (CHINARE2015-04-05-04), a research project under Antarctic and Arctic Environment Investigation and Assessment sponsored by State Oceanic Administration of China; Shanghai Leading Academic Discipline Project (Fisheries Discipline), a discipline construction project sponsored by Shanghai Municipal Government, China; Japan Society for the Promoting of Science International Postdoctoral Fellowship Program; and Application of UNCLOS in the Arctic-A Case Study of Arctic Fisheries (A2-0203-17-100337), a research project sponsored by Shanghai Ocean University.</t>
  </si>
  <si>
    <t>10.1016/j.marpol.2017.11.019</t>
  </si>
  <si>
    <t>FW0DJ</t>
  </si>
  <si>
    <t>WOS:000424961300016</t>
  </si>
  <si>
    <t>Dunstan, PK; Moore, BR; Bell, JD; Holbrook, NJ; Oliver, ECJ; Risbey, J; Foster, SD; Hanich, Q; Hobday, AJ; Bennett, NJ</t>
  </si>
  <si>
    <t>Dunstan, Piers K.; Moore, Bradley R.; Bell, Johann D.; Holbrook, Neil J.; Oliver, Eric C. J.; Risbey, James; Foster, Scott D.; Hanich, Quentin; Hobday, Alistair J.; Bennett, Nathan J.</t>
  </si>
  <si>
    <t>How can climate predictions improve sustainability of coastal fisheries in Pacific Small-Island Developing States?</t>
  </si>
  <si>
    <t>CORAL-REEF FISH; EL-NINO; SOUTHERN-OSCILLATION; FOOD SECURITY; SKILL; MANAGEMENT; IMPACTS; MODEL; PREDICTABILITY; DISTURBANCES</t>
  </si>
  <si>
    <t>Climate and weather have profound effects on economies, the food security and livelihoods of communities throughout the Pacific Island region. These effects are particularly important for small-scale fisheries and occur, for example, through changes in sea surface temperature, primary productivity, ocean currents, rainfall patterns, and through cyclones. This variability has impacts over both short and long time scales. We differentiate climate predictions (the actual state of climate at a particular point in time) from climate projections (the average state of climate over long time scales). The ability to predict environmental conditions over the time scale of months to decades will assist governments and coastal communities to reduce the impacts of climatic variability and take advantage of opportunities. We explore the potential to make reliable climate predictions over time scales of six months to 10 years for use by policy makers, managers and communities. We also describe how climate predictions can be used to make decisions on short time scales that should be of direct benefit to sustainable management of small-scale fisheries, and to disaster risk reduction, in Small-Island Developing States in the Pacific</t>
  </si>
  <si>
    <t>[Dunstan, Piers K.; Risbey, James; Hobday, Alistair J.] CSIRO Oceans &amp; Atmosphere, Hobart, Tas, Australia; [Moore, Bradley R.] Pacific Community SPC, Coastal Fisheries Programme, Noumea, New Caledonia; [Bell, Johann D.; Hanich, Quentin] Univ Wollongong, Australian Natl Ctr Ocean Resources &amp; Secur, Wollongong, NSW 2522, Australia; [Bell, Johann D.] Conservat Int, Arlington, VA 22202 USA; [Holbrook, Neil J.; Oliver, Eric C. J.] Univ Tasmania, Inst Marine &amp; Antarctic Studies, Hobart, Tas, Australia; [Foster, Scott D.] CSIRO Data61, Hobart, Tas, Australia; [Bennett, Nathan J.] Stanford Univ, Univ British Colombia, Ctr Ocean Solut, Inst Oceans &amp; Fisheries, Vancouver, BC, Canada; [Bennett, Nathan J.] Stanford Univ, Univ British Colombia, Ctr Ocean Solut, Inst Resources Environm &amp; Sustainabil, Vancouver, BC, Canada</t>
  </si>
  <si>
    <t>Commonwealth Scientific &amp; Industrial Research Organisation (CSIRO); University of Wollongong; Conservation International; University of Tasmania; Commonwealth Scientific &amp; Industrial Research Organisation (CSIRO); University of British Columbia; University of British Columbia</t>
  </si>
  <si>
    <t>Dunstan, PK (corresponding author), CSIRO Oceans &amp; Atmosphere, Hobart, Tas, Australia.</t>
  </si>
  <si>
    <t>Risbey, James/M-8419-2013; Hobday, Alistair/A-1460-2012; Hanich, Quentin/IUN-2548-2023; Bennett, Nathan James/ABG-6787-2020; Holbrook, Neil/M-7544-2013; Oliver, Eric/G-5118-2014; Foster, Scott/E-9311-2010; Dunstan, Piers/B-7309-2016</t>
  </si>
  <si>
    <t>Risbey, James/0000-0003-3202-9142; Hanich, Quentin/0000-0001-9402-6233; Bennett, Nathan James/0000-0003-4852-3401; Bell, Johann/0000-0003-2152-536X; Moore, Bradley/0000-0001-8645-6778; Holbrook, Neil/0000-0002-3523-6254; Oliver, Eric/0000-0002-4006-2826; Foster, Scott/0000-0002-6719-8002; Dunstan, Piers/0000-0002-2568-5945</t>
  </si>
  <si>
    <t>10.1016/j.marpol.2017.09.033</t>
  </si>
  <si>
    <t>WOS:000424961300034</t>
  </si>
  <si>
    <t>Jackson, SL; Spence, J; Janssen, DJ; Ross, ARS; Cullen, JT</t>
  </si>
  <si>
    <t>Jackson, S. L.; Spence, J.; Janssen, D. J.; Ross, A. R. S.; Cullen, J. T.</t>
  </si>
  <si>
    <t>Determination of Mn, Fe, Ni, Cu, Zn, Cd and Pb in seawater using offline extraction and triple quadrupole ICP-MS/MS</t>
  </si>
  <si>
    <t>JOURNAL OF ANALYTICAL ATOMIC SPECTROMETRY</t>
  </si>
  <si>
    <t>INDUCTIVELY-COUPLED PLASMA; MASS-SPECTROMETRY; TRACE-METALS; FLOW-INJECTION; BIOGEOCHEMICAL CYCLES; GROWTH LIMITATION; CHELATING RESIN; MS ANALYSIS; CADMIUM; COPPER</t>
  </si>
  <si>
    <t>Highly resolved temporal and spatial distributions of trace elements in ocean water can provide insight into ocean processes but carry a significant analytical demand which requires methods that combine accuracy and precision with high sample throughput. Here a multi-element method is presented which combines the commercially-available seaFAST preconcentration system with ICP-MS/MS for the analysis of Mn, Fe, Ni, Cu, Zn, Cd and Pb in seawater. Samples (20 mL or 40 mL) are loaded on to a chelation resin column and trace metals eluted into 2.5 mL of 1.6 N HNO3. Analysis of the eluate was carried out by ICP-MS/MS, which combines two mass-selecting quadrupoles separated by an octopole collision/reaction cell. The collision/reaction cell was pressurized with O-2 gas for the analysis of Mn, Ni, Cu, Cd and Pb and H-2 gas for the analysis of Fe and Zn, which removed common interferences (e.g. ArO+ on Fe-56 and MoO+ on Cd) yet maintained the highest instrument sensitivity across the entire mass range. Measured blanks and detection limits were &lt;= 0.050 nmol L-1 levels, except for the Fe (blank 0.14 nmol L-1) and were suitable for open-ocean seawater analysis. We report results for the certified reference material NASS-6, consensus reference standards SAFe S and SAFe D and depth profiles of trace metals from the Arctic Ocean, collected as part of the Canadian GEOTRACES program.</t>
  </si>
  <si>
    <t>[Jackson, S. L.; Spence, J.; Janssen, D. J.; Ross, A. R. S.; Cullen, J. T.] Univ Victoria, Sch Earth &amp; Ocean Sci, Victoria, BC, Canada; [Jackson, S. L.] British Antarctic Survey, Cambridge, England; [Janssen, D. J.; Ross, A. R. S.] Fisheries &amp; Oceans Canada, Inst Ocean Sci, Sidney, BC, Canada; [Janssen, D. J.] Univ Bern, Inst Geol, Bern, Switzerland</t>
  </si>
  <si>
    <t>University of Victoria; UK Research &amp; Innovation (UKRI); Natural Environment Research Council (NERC); NERC British Antarctic Survey; Fisheries &amp; Oceans Canada; University of Bern</t>
  </si>
  <si>
    <t>Jackson, SL (corresponding author), Univ Victoria, Sch Earth &amp; Ocean Sci, Victoria, BC, Canada.;Jackson, SL (corresponding author), British Antarctic Survey, Cambridge, England.</t>
  </si>
  <si>
    <t>saron@bas.ac.uk</t>
  </si>
  <si>
    <t>Cullen, Jay/AAB-2769-2019; Cullen, Jay T./AAE-8379-2019</t>
  </si>
  <si>
    <t>Cullen, Jay T./0000-0002-6484-2421; Janssen, David/0000-0002-9091-8936; Jackson, Sarah/0000-0003-4829-0687</t>
  </si>
  <si>
    <t>Natural Sciences and Engineering Research Council of Canada Discovery Grant; Climate Change and Atmospheric Research programs; NERC [bas0100034] Funding Source: UKRI</t>
  </si>
  <si>
    <t>Natural Sciences and Engineering Research Council of Canada Discovery Grant(Natural Sciences and Engineering Research Council of Canada (NSERC)); Climate Change and Atmospheric Research programs; NERC(UK Research &amp; Innovation (UKRI)Natural Environment Research Council (NERC))</t>
  </si>
  <si>
    <t>The authors would like to thank the captain and crew of the CCGS Amundsen, for their help during the GN02 and GN03 Canadian Arctic GEOTRACES cruises and Kathryn Purdon and the rest of the trace metal sampling team for their assistance in collecting seawater samples. This work was supported by funding from the Natural Sciences and Engineering Research Council of Canada Discovery Grant and Climate Change and Atmospheric Research programs.</t>
  </si>
  <si>
    <t>0267-9477</t>
  </si>
  <si>
    <t>1364-5544</t>
  </si>
  <si>
    <t>J ANAL ATOM SPECTROM</t>
  </si>
  <si>
    <t>J. Anal. At. Spectrom.</t>
  </si>
  <si>
    <t>10.1039/c7ja00237h</t>
  </si>
  <si>
    <t>Chemistry, Analytical; Spectroscopy</t>
  </si>
  <si>
    <t>Chemistry; Spectroscopy</t>
  </si>
  <si>
    <t>FV7NF</t>
  </si>
  <si>
    <t>WOS:000424770600016</t>
  </si>
  <si>
    <t>Li, Q; Wu, FJ; Wen, M; Yanagita, T; Xue, CH; Zhang, TT; Wang, YM</t>
  </si>
  <si>
    <t>Li, Qian; Wu, Fengjuan; Wen, Min; Yanagita, Teruyoshi; Xue, Changhu; Zhang, Tiantian; Wang, Yuming</t>
  </si>
  <si>
    <t>The Protective Effect of Antarctic Krill Oil on Cognitive Function by Inhibiting Oxidative Stress in the Brain of Senescence-Accelerated Prone Mouse Strain 8 (SAMP8) Mice</t>
  </si>
  <si>
    <t>JOURNAL OF FOOD SCIENCE</t>
  </si>
  <si>
    <t>Alzheimer's disease; Antarctic krill oil; oxidative stress; neuroprotection; SAMP8</t>
  </si>
  <si>
    <t>DIETARY DOCOSAHEXAENOIC ACID; ALZHEIMERS-DISEASE; EICOSAPENTAENOIC ACID; AMYLOID-BETA; ENRICHED PHOSPHOLIPIDS; WATER-MAZE; CELLS; RATS; ANTIOXIDANT; DEFICIENCY</t>
  </si>
  <si>
    <t>Alzheimer's disease (AD) is a common neurodegenerative disorder, and oxidative stress plays a vital role in its progression. Antarctic krill oil (AKO) is rich in polyunsaturated fatty acids, which has various biological activities, such as improving insulin sensitivity, alleviating inflammation and ameliorating oxidative stress. In this study, the protective effect of AKO against AD were investigated in senescence-accelerated prone mouse strain 8 (SAMP8) mice. Results showed that treatment with AKO could effectively ameliorate learning and memory deficits and ease the anxiety in SAMP8 mice by Morris water maze, Barnes maze test and open-field test. Further analysis indicated that AKO might reduce -amyloid (A) accumulation in hippocampus through decreasing the contents of malondialdehyde (MDA) and 7,8-dihydro-8-oxoguanine (8-oxo-G), increasing the superoxide dismutase (SOD) and glutathione peroxidase (GSH-Px) activities in the brain of SAMP8 mice. Practical ApplicationThe results of Morris water maze, Barnes maze test and open-field test indicated that Antarctic krill oil (AKO) improved the cognitive function and anxiety of SAMP8 mice. AKO reduced the A(42) level in hippocampus of SAMP8 mice. AKO ameliorated oxidative stress in brain rather than in serum and liver of SAMP8 mice.</t>
  </si>
  <si>
    <t>[Li, Qian; Wu, Fengjuan; Wen, Min; Xue, Changhu; Zhang, Tiantian; Wang, Yuming] Ocean Univ China, Coll Food Sci &amp; Engn, 5 Yushan Rd, Qingdao 266003, Peoples R China; [Xue, Changhu; Wang, Yuming] Qingdao Natl Lab Marine Sci &amp; Technol, Lab Marine Drugs &amp; Biol Prod, Qingdao 266237, Shandong, Peoples R China; [Wen, Min] Liaocheng Univ, BioPharmaceut Res, Liaocheng 252059, Peoples R China; [Yanagita, Teruyoshi] Nishikyushu Univ, Dept Hlth &amp; Nutr Sci, Kanzaki, Japan</t>
  </si>
  <si>
    <t>Ocean University of China; Laoshan Laboratory; Liaocheng University</t>
  </si>
  <si>
    <t>Zhang, TT; Wang, YM (corresponding author), Ocean Univ China, Coll Food Sci &amp; Engn, 5 Yushan Rd, Qingdao 266003, Peoples R China.</t>
  </si>
  <si>
    <t>zhangtiantian@ouc.edu.cn; wangyuming@ouc.edu.cn</t>
  </si>
  <si>
    <t>zhang, tian/GZK-6001-2022; yuming, wang/K-8179-2012; wang, yitian/JFA-6804-2023</t>
  </si>
  <si>
    <t>National Natural Science Foundation of China [31371757]; State Key Program of National Natural Science of China [31330060]; National Natural Science Foundation of China-Shandong Joint Fund for Marine Science Research Centers [U1606403]; Fundamental Research Funds for the Central Universities [201762028]; Grants-in-Aid for Scientific Research [16K00890] Funding Source: KAKEN</t>
  </si>
  <si>
    <t>National Natural Science Foundation of China(National Natural Science Foundation of China (NSFC)); State Key Program of National Natural Science of China(National Natural Science Foundation of China (NSFC)); National Natural Science Foundation of China-Shandong Joint Fund for Marine Science Research Centers; Fundamental Research Funds for the Central Universities(Fundamental Research Funds for the Central Universities); Grants-in-Aid for Scientific Research(Ministry of Education, Culture, Sports, Science and Technology, Japan (MEXT)Japan Society for the Promotion of ScienceGrants-in-Aid for Scientific Research (KAKENHI))</t>
  </si>
  <si>
    <t>This work was funded by the National Natural Science Foundation of China (No. 31371757), State Key Program of National Natural Science of China (No. 31330060), National Natural Science Foundation of China-Shandong Joint Fund for Marine Science Research Centers (U1606403) and Fundamental Research Funds for the Central Universities (No. 201762028).</t>
  </si>
  <si>
    <t>0022-1147</t>
  </si>
  <si>
    <t>1750-3841</t>
  </si>
  <si>
    <t>J FOOD SCI</t>
  </si>
  <si>
    <t>J. Food Sci.</t>
  </si>
  <si>
    <t>10.1111/1750-3841.14044</t>
  </si>
  <si>
    <t>Food Science &amp; Technology</t>
  </si>
  <si>
    <t>FV5UN</t>
  </si>
  <si>
    <t>WOS:000424648000036</t>
  </si>
  <si>
    <t>Miller, CN; Polasek, LK; Oliveira, ACM; Frost, CJ; Maniscalco, JM</t>
  </si>
  <si>
    <t>Miller, C. N.; Polasek, L. K.; Oliveira, A. C. M.; Frost, C. J.; Maniscalco, J. M.</t>
  </si>
  <si>
    <t>Milk fatty acid composition of perinatal and foraging Steller sea lions (Eumetopias jubatus): examination from pup stomachs</t>
  </si>
  <si>
    <t>CANADIAN JOURNAL OF ZOOLOGY</t>
  </si>
  <si>
    <t>milk; fatty acids; perinatal period; early foraging; Steller sea lion; Eumetopias jubatus</t>
  </si>
  <si>
    <t>LIPOPROTEIN-LIPASE ACTIVITY; ANTARCTIC FUR SEALS; PHOCA-GROENLANDICA; SEASONAL-VARIATION; SIGNATURE ANALYSIS; CHISWELL ISLAND; MATERNAL-CARE; HOODED SEAL; DIET; BLUBBER</t>
  </si>
  <si>
    <t>To investigate the milk fatty acid composition of female Steller sea lions (Eumetopias jubatus (Schreber, 1776)) between and within maternal states (i.e., perinatal or foraging), milk samples were collected in 2010 and 2011 via gastric intubation from Steller sea lion pups on a small rookery in the central Gulf of Alaska. Maternal states of lactating females were determined upon reuniting with their sampled pups via remotely operated video cameras on the rookery. Milk fatty acid composition between Steller sea lion maternal states was significantly different, and thus can be utilized to distinguish between perinatal and foraging Steller sea lions of the same geographic region in the absence of direct observation. However, milk fatty acid composition remained relatively constant within perinatal Steller sea lions, suggesting steady mobilization of fatty acids from blubber to milk, and within foraging Steller sea lions, implying females forage on similar prey species within several days after their perinatal period. Differences in milk fatty acid composition between maternal states, including differences in the relative percentages of polyunsaturated fatty acids, may have important implications for growth and development of offspring.</t>
  </si>
  <si>
    <t>[Miller, C. N.; Polasek, L. K.; Oliveira, A. C. M.] Univ Alaska Fairbanks, Sch Fisheries &amp; Ocean Sci, POB 757220, Fairbanks, AK 99775 USA; [Polasek, L. K.; Maniscalco, J. M.] Alaska SeaLife Ctr, 301 Railway Ave,POB 1329, Seward, AK 99664 USA; [Frost, C. J.] US Fish &amp; Wildlife Serv, Reg 7,1011 East Tudor Rd, Anchorage, AK 99503 USA</t>
  </si>
  <si>
    <t>University of Alaska System; University of Alaska Fairbanks; United States Department of the Interior; US Fish &amp; Wildlife Service</t>
  </si>
  <si>
    <t>Miller, CN (corresponding author), Univ Alaska Fairbanks, Sch Fisheries &amp; Ocean Sci, POB 757220, Fairbanks, AK 99775 USA.</t>
  </si>
  <si>
    <t>cnmiller.uaf@gmail.com</t>
  </si>
  <si>
    <t>Maniscalco, John/0000-0003-0920-327X</t>
  </si>
  <si>
    <t>ASLC; UAF Robert Byrd Grant; UAF Kodiak Seafood and Marine Science Center (A.M.C. Oliveira's laboratory); National Oceanic and Atmospheric Administration (NOAA) federal appropriations</t>
  </si>
  <si>
    <t>We acknowledge the following for their various contributions: P. Parker-Guthridge (ASLC), L. Horstmann-Dehn (University of Alaska Fairbanks (UAF)), and the UAF Kodiak Seafood and Marine Science Center. Funding for this research was provided by the ASLC and the UAF Robert Byrd Grant. Additional support came from the UAF Kodiak Seafood and Marine Science Center (A.M.C. Oliveira's laboratory). Funding for the Chiswell Island remote monitoring project at the ASLC, which was utilized to collect behavioral data on lactating Steller sea lions for this research, was through National Oceanic and Atmospheric Administration (NOAA) federal appropriations.</t>
  </si>
  <si>
    <t>CANADIAN SCIENCE PUBLISHING</t>
  </si>
  <si>
    <t>0008-4301</t>
  </si>
  <si>
    <t>1480-3283</t>
  </si>
  <si>
    <t>CAN J ZOOL</t>
  </si>
  <si>
    <t>Can. J. Zool.</t>
  </si>
  <si>
    <t>10.1139/cjz-2016-0015</t>
  </si>
  <si>
    <t>FV3EN</t>
  </si>
  <si>
    <t>WOS:000424450900009</t>
  </si>
  <si>
    <t>Mueller, R; Wright, JT; Bolch, CJS</t>
  </si>
  <si>
    <t>Mueller, Rebecca; Wright, Jeffrey T.; Bolch, Christopher J. S.</t>
  </si>
  <si>
    <t>Historical demography and colonization pathways of the widespread intertidal seaweed Hormosira banksii (Phaeophyceae) in southeastern Australia</t>
  </si>
  <si>
    <t>JOURNAL OF PHYCOLOGY</t>
  </si>
  <si>
    <t>Bass basin; biogeography; contemporary dispersal barrier; gene flow; glacial refugia; historic climatic changes; range expansion</t>
  </si>
  <si>
    <t>MARINE BIOGEOGRAPHIC BARRIER; SEA-SURFACE TEMPERATURES; SOUTH-EASTERN AUSTRALIA; FUCUS-SERRATUS L.; GLACIAL REFUGIA; LIFE-HISTORY; BULL-KELP; OCEAN CURRENTS; SEQUENCE DATA; DISPERSAL</t>
  </si>
  <si>
    <t>The palaeoceanography of southern Australia has been characterized by fluctuating sea levels during glacial periods, changing temperature regimes and modified boundary currents. Previous studies on genetic structuring of species in southeastern Australia have focused mainly on the differentiationof eastern and western populations while thepotential role of Bass Strait as a region of overlap for three biogeographic provinces (Peronia, Maugea, and Flindersia) has been largely ignored. This study aimed to explore the likely roles of historic and contemporary factors in determining divergence patterns in the habitat-forming intertidal seaweed Hormosira banksii in southeastern Australia with a special focus on postglacial dispersal into Bass Strait. We examined the genetic diversity of 475 Hormosira specimens collected from 19 sites around southern Australia using DNA sequence analysis of cytochrome oxidase 1. Three major haplotype groups were identified (western, centre and eastern) corresponding with the three existing biogeographical provinces in this region. Historic break points appeared to be retained and reinforced by modern day dispersal barriers. Phylogeographic grouping of Hormosira reflected a combination of historic and contemporary oceanography. As western and eastern group haplotypes were largely absent within Bass Strait, re-colonization after the last glacial maximum appeared to have originated from refuges within or near present day Bass Strait. Patterns of genetic structure for Hormosira are consistent with other marine species in this region and highlight the importance of biogeographical barriers in contributing to modern genetic structure.</t>
  </si>
  <si>
    <t>[Mueller, Rebecca; Wright, Jeffrey T.; Bolch, Christopher J. S.] Univ Tasmania, Inst Marine &amp; Antarctic Studies, Private Bag 1370, Launceston, Tas 7250, Australia</t>
  </si>
  <si>
    <t>Mueller, R (corresponding author), Univ Tasmania, Inst Marine &amp; Antarctic Studies, Private Bag 1370, Launceston, Tas 7250, Australia.</t>
  </si>
  <si>
    <t>rebecca.mueller@utas.edu.au</t>
  </si>
  <si>
    <t>Bolch, Christopher J/J-7619-2014; Wright, Jeffrey/J-7536-2014</t>
  </si>
  <si>
    <t>Wright, Jeffrey/0000-0002-1085-4582</t>
  </si>
  <si>
    <t>Holsworth Wildlife Research Endowment - Equity Trustees Foundation</t>
  </si>
  <si>
    <t>We thank M. Haase, P. Gribben, P. Furness and the crew of FTV Bluefin for assistance with sampling related procedures and A. Bridle for advice with DNA extractions in the laboratory. The manuscript was improved by comments from an anonymous reviewer. This project was supported by the Holsworth Wildlife Research Endowment - Equity Trustees Foundation.</t>
  </si>
  <si>
    <t>0022-3646</t>
  </si>
  <si>
    <t>1529-8817</t>
  </si>
  <si>
    <t>J PHYCOL</t>
  </si>
  <si>
    <t>J. Phycol.</t>
  </si>
  <si>
    <t>10.1111/jpy.12599</t>
  </si>
  <si>
    <t>Plant Sciences; Marine &amp; Freshwater Biology</t>
  </si>
  <si>
    <t>FU8HN</t>
  </si>
  <si>
    <t>WOS:000424094000007</t>
  </si>
  <si>
    <t>Sosa, MA; Hospitaleche, CA</t>
  </si>
  <si>
    <t>Alejandra Sosa, Maria; Acosta Hospitaleche, Carolina</t>
  </si>
  <si>
    <t>Ontogenetic variations of the head of Aptenodytes forsteri (Aves, Sphenisciformes): muscular and skull morphology</t>
  </si>
  <si>
    <t>Anatomy; Cranium-mandible; Head muscles; Ontogeny; Spheniscidae; Antarctica</t>
  </si>
  <si>
    <t>EMPEROR PENGUINS; FOOD; SEA</t>
  </si>
  <si>
    <t>The emperor penguin (Aptenodytes forsteri) is the largest extant penguin among living species breeding in winter, at Antarctic high latitudes. Despite several studies made on this species, musculature and skeletal anatomy are barely known, especially in non-adult specimens. To address this shortfall, dissections and comparative descriptions were made on crania and mandibles of individuals of different ontogenetic stages: chicks, juveniles, and adults. The results presented here show significant differences in musculature between the age groups, and the proportions between bill and cranium also change along postnatal ontogeny.</t>
  </si>
  <si>
    <t>[Alejandra Sosa, Maria; Acosta Hospitaleche, Carolina] Museo La Plata, Fac Ciencias Nat &amp; Museo, Div Paleontol Vertebrate, Paseo Bosque S-N,B1900FWA, La Plata, Buenos Aires, Argentina; [Acosta Hospitaleche, Carolina] Consejo Nacl Invest Cient &amp; Tecn, Buenos Aires, DF, Argentina</t>
  </si>
  <si>
    <t>National University of La Plata; Museo La Plata; Consejo Nacional de Investigaciones Cientificas y Tecnicas (CONICET)</t>
  </si>
  <si>
    <t>Hospitaleche, CA (corresponding author), Museo La Plata, Fac Ciencias Nat &amp; Museo, Div Paleontol Vertebrate, Paseo Bosque S-N,B1900FWA, La Plata, Buenos Aires, Argentina.;Hospitaleche, CA (corresponding author), Consejo Nacl Invest Cient &amp; Tecn, Buenos Aires, DF, Argentina.</t>
  </si>
  <si>
    <t>alesosa_15@hotmail.com; acostacaro@fcnym.unlp.edu.ar</t>
  </si>
  <si>
    <t>Acosta Hospitaleche, Carolina/E-5740-2017</t>
  </si>
  <si>
    <t>Acosta Hospitaleche, Carolina/0000-0002-2614-1448; Sosa, Maria Alejandra/0000-0001-8556-3256</t>
  </si>
  <si>
    <t>10.1007/s00300-017-2183-3</t>
  </si>
  <si>
    <t>WOS:000424276400002</t>
  </si>
  <si>
    <t>Tsuji, M</t>
  </si>
  <si>
    <t>Tsuji, Masaharu</t>
  </si>
  <si>
    <t>Genetic diversity of yeasts from East Ongul Island, East Antarctica and their extracellular enzymes secretion</t>
  </si>
  <si>
    <t>Antarctic yeast; East Ongul Island; Extracellular enzyme; Syowa station; Subzero temperature</t>
  </si>
  <si>
    <t>ICE-FREE AREA; SP-NOV; COLD ADAPTATION; CRYPTOCOCCUS-VICTORIAE; BASIDIOMYCETOUS YEAST; FUNGI; SOILS; ARGENTINA; COMMUNITY; SVALBARD</t>
  </si>
  <si>
    <t>Microbes growing at low temperatures encounter numerous growth constraints. However, fungi that inhabit polar regions can grow and decompose organic compounds at low temperatures. Research on the biodiversity and secretion ability of yeasts from East Ongul Island, and evaluation of their extracellular enzymatic activity at temperatures ranging from -3 to 20 A degrees C, was performed and described in this study. In total, 95 yeast strains were isolated from the surface soil on East Ongul Island, East Antarctica. Based on the internal transcribed spacer (ITS) region and 26S rDNA D1/D2 domain sequence similarity, these strains were classified into 10 genera and 16 species. All strains were categorized as basidiomycetous yeasts. One representative strain was selected from each species, and its ability to grow at temperatures between -3 and 37 A degrees C was evaluated. Strain abilities to secrete extracellular enzymes (lipase, cellulase, and protease) at temperatures ranging from -3 to 20 A degrees C were also investigated. Based on the optimal and maximal growth temperatures, the yeasts were classified as psychrophilic or psychrotolerant. All the strains investigated in this study were able to grow at -3 A degrees C and in vitamin-free media. Psychrophilic yeasts, such as Glaciozyma antarctica, Gl. martinii, Mrakia gelida, and Phenoliferia glacialis, did not secrete pronounced amounts of extracellular enzymes at -3 A degrees C; in contrast, the psychrotolerant yeasts Goffeauzyma gilvescens, Holtermanniella wattica, Tausonia pullulans, and Udeniomyces puniceus secreted copious amounts of enzymes, even at subzero temperatures. These results indicated that psychrotolerant yeasts, rather than psychrophilic yeasts, play important roles in the nutrient cycle in the East Ongul Island ecosystem at near-subzero temperatures.</t>
  </si>
  <si>
    <t>[Tsuji, Masaharu] NIPR, 10-3 Midori Cho, Tachikawa, Tokyo 1908518, Japan</t>
  </si>
  <si>
    <t>Research Organization of Information &amp; Systems (ROIS); National Institute of Polar Research (NIPR) - Japan</t>
  </si>
  <si>
    <t>Tsuji, M (corresponding author), NIPR, 10-3 Midori Cho, Tachikawa, Tokyo 1908518, Japan.</t>
  </si>
  <si>
    <t>spindletuber@gmail.com</t>
  </si>
  <si>
    <t>Tsuji, Masaharu/M-6609-2019</t>
  </si>
  <si>
    <t>Tsuji, Masaharu/0000-0002-9375-7998</t>
  </si>
  <si>
    <t>Japan Society for the Promotion of Science (JSPS) [16K12643, 16H06211]; NIPR; Grants-in-Aid for Scientific Research [16K12643, 16H06211] Funding Source: KAKEN</t>
  </si>
  <si>
    <t>Japan Society for the Promotion of Science (JSPS)(Ministry of Education, Culture, Sports, Science and Technology, Japan (MEXT)Japan Society for the Promotion of Science); NIPR(National Institute of Polar Research (NIPR) - Japan); Grants-in-Aid for Scientific Research(Ministry of Education, Culture, Sports, Science and Technology, Japan (MEXT)Japan Society for the Promotion of ScienceGrants-in-Aid for Scientific Research (KAKENHI))</t>
  </si>
  <si>
    <t>This work was supported by the Japan Society for the Promotion of Science (JSPS) Grant-in-Aid for Challenging Exploratory Research and Young Scientists (A) [Grant Numbers 16K12643, 16H06211]. The preparation of this paper was supported by an NIPR publication subsidy.</t>
  </si>
  <si>
    <t>10.1007/s00300-017-2185-1</t>
  </si>
  <si>
    <t>WOS:000424276400004</t>
  </si>
  <si>
    <t>Cuba-Díaz, M; Klagges, M; Fuentes-Lillo, E; Cordero, C; Acuña, D; Opazo, G; Troncoso-Castro, JM</t>
  </si>
  <si>
    <t>Cuba-Diaz, Marely; Klagges, Macarena; Fuentes-Lillo, Eduardo; Cordero, Cristian; Acuna, Daniela; Opazo, Genesis; Troncoso-Castro, Jose M.</t>
  </si>
  <si>
    <t>Phenotypic variability and genetic differentiation in continental and island populations of Colobanthus quitensis (Caryophyllaceae: Antarctic pearlwort) (vol 40, pg 2397, 2017)</t>
  </si>
  <si>
    <t>[Cuba-Diaz, Marely; Klagges, Macarena; Fuentes-Lillo, Eduardo; Cordero, Cristian; Acuna, Daniela; Opazo, Genesis] Univ Concepcion, Escuela Ciencias &amp; Tecnol, Lab Biotecnol &amp; Estudios Ambientales, Campus Los Angeles,Casilla 341, Juan Antonio Coloma 0201, Los Angeles, Chile; [Fuentes-Lillo, Eduardo] Univ Concepcion, Lab Invas Biol, Fac Ciencias Forest, Victoria 631, Concepcion, Chile; [Opazo, Genesis] Univ Chile, Lab Nanocelulosa &amp; Biomat, Beauchef 851,Piso 5, Santiago Ctr, Chile; [Troncoso-Castro, Jose M.] Univ Concepcion, Escuela Ciencias &amp; Tecnol, Lab Palinol &amp; Ecol Vegetal, Campus Los Angeles,Casilla 341, Juan Antonio Coloma 0201, Los Angeles, Chile</t>
  </si>
  <si>
    <t>Universidad de Concepcion; Universidad de Concepcion; Universidad de Chile; Universidad de Concepcion</t>
  </si>
  <si>
    <t>Cuba-Díaz, M (corresponding author), Univ Concepcion, Escuela Ciencias &amp; Tecnol, Lab Biotecnol &amp; Estudios Ambientales, Campus Los Angeles,Casilla 341, Juan Antonio Coloma 0201, Los Angeles, Chile.</t>
  </si>
  <si>
    <t>mcuba@udec.cl</t>
  </si>
  <si>
    <t>Cuba-Diaz, Marely/V-3109-2019</t>
  </si>
  <si>
    <t>Fuentes-Lillo, Eduardo/0000-0001-5657-954X</t>
  </si>
  <si>
    <t>10.1007/s00300-017-2188-y</t>
  </si>
  <si>
    <t>WOS:000424276400006</t>
  </si>
  <si>
    <t>Yew, WC; Pearce, DA; Dunn, MJ; Adlard, S; Alias, SA; Abu Samah, A; Convey, P</t>
  </si>
  <si>
    <t>Yew, Wen Chyin; Pearce, David Anthony; Dunn, Michael James; Adlard, Stacey; Alias, Siti Aisyah; Abu Samah, Azizan; Convey, Peter</t>
  </si>
  <si>
    <t>Links between bacteria derived from penguin guts and deposited guano and the surrounding soil microbiota</t>
  </si>
  <si>
    <t>Antarctic; Bacterial input; Microbial diversity; Terrestrial environment</t>
  </si>
  <si>
    <t>KING GEORGE ISLAND; SEA-ICE; ORNITHOGENIC SOILS; PYGOSCELIS-ADELIAE; SOUTHERN-OCEAN; CAPE HALLETT; ANTARCTICA; DIVERSITY; ECOLOGY; COMMUNITIES</t>
  </si>
  <si>
    <t>Penguins are an important indicator of marine ecosystem health and a major contributor of nutrients to terrestrial ecosystems in Antarctica. Their stomach microbiota is influenced by both the prey consumed and their foraging environment in the sea. As penguins feed at sea and breed on land, they might be expected to transfer microbes (e.g. prey-associated and marine bacteria) as well as nutrients from their stomachs while regurgitating food or in their guano to the surrounding terrestrial environment. However, most research attention to date has focused separately on the penguin gut microbiota (via cloacal/guano samples) and the terrestrial soil microbiota, and any relationship between them has yet to be established. Here, we analysed the bacterial communities in stomach regurgitates and cloacal swabs from the same individual birds, freshly deposited guano and rookery soils of two Pygoscelis penguins that breed sympatrically on Signy Island (South Orkney Islands, maritime Antarctic) using a high-throughput DNA sequencing method. Our data do not support the hypothesis that bacteria transferred from penguin guts and/or deposited guano make a significant contribution to the communities of the surrounding terrestrial microbial ecosystem. In both penguin species, composition of bacterial communities differed between the four sample types, with Jaccard similarities ranging between 10 and 36%. Assemblages of the dominant and co-occurring bacterial communities in rookery soils were either significantly negatively correlated or not correlated with the three other sample types. Sample-specific communities were also identified in this study, contributing around 63% of the identified diversity overall.</t>
  </si>
  <si>
    <t>[Yew, Wen Chyin; Pearce, David Anthony; Alias, Siti Aisyah; Abu Samah, Azizan; Convey, Peter] Univ Malaya, Inst Grad Studies, Natl Antarctic Res Ctr, Kuala Lumpur 50603, Malaysia; [Yew, Wen Chyin] Univ Malaya, Fac Sci, Inst Biol Sci, Kuala Lumpur 50603, Malaysia; [Yew, Wen Chyin; Alias, Siti Aisyah] Univ Malaya, Inst Ocean &amp; Earth Sci, Kuala Lumpur 50603, Malaysia; [Pearce, David Anthony; Dunn, Michael James; Adlard, Stacey; Convey, Peter] British Antarctic Survey, NERC, High Cross,Madingley Rd, Cambridge CB3 0ET, England; [Pearce, David Anthony] Univ Northumbria Newcastle, Fac Hlth &amp; Life Sci, Dept Appl Sci, Ellison Bldg,Northumberland Rd, Newcastle Upon Tyne NE1 8ST, Tyne &amp; Wear, England</t>
  </si>
  <si>
    <t>Universiti Malaya; Universiti Malaya; Universiti Malaya; UK Research &amp; Innovation (UKRI); Natural Environment Research Council (NERC); NERC British Antarctic Survey; Northumbria University</t>
  </si>
  <si>
    <t>Yew, WC (corresponding author), Univ Malaya, Inst Grad Studies, Natl Antarctic Res Ctr, Kuala Lumpur 50603, Malaysia.;Yew, WC (corresponding author), Univ Malaya, Fac Sci, Inst Biol Sci, Kuala Lumpur 50603, Malaysia.;Yew, WC (corresponding author), Univ Malaya, Inst Ocean &amp; Earth Sci, Kuala Lumpur 50603, Malaysia.</t>
  </si>
  <si>
    <t>wen.c.yew@gmail.com</t>
  </si>
  <si>
    <t>FASc, SITI AISYAH A. HJ ALIAS/B-9785-2010; Convey, Peter/AAV-5728-2020; ABU SAMAH, AZIZAN HJ/B-8295-2010</t>
  </si>
  <si>
    <t>FASc, SITI AISYAH A. HJ ALIAS/0000-0002-6759-5745; Convey, Peter/0000-0001-8497-9903; Dunn, Michael/0000-0003-4633-5466; Pearce, David/0000-0001-5292-4596</t>
  </si>
  <si>
    <t>Sultan Mizan Antarctic Research Foundation (YPASM); University of Malaya Research Grant [UMRG: RP007-2012A]; University of Malaya; MyBrain scholarship (MyPhD) - Ministry of Higher Education Malaysia; NERC; NERC [bas0100035, bas0100036] Funding Source: UKRI</t>
  </si>
  <si>
    <t>Sultan Mizan Antarctic Research Foundation (YPASM); University of Malaya Research Grant; University of Malaya(Universiti Malaya); MyBrain scholarship (MyPhD) - Ministry of Higher Education Malaysia; NERC(UK Research &amp; Innovation (UKRI)Natural Environment Research Council (NERC)); NERC(UK Research &amp; Innovation (UKRI)Natural Environment Research Council (NERC))</t>
  </si>
  <si>
    <t>This study was funded by the Sultan Mizan Antarctic Research Foundation (YPASM) and University of Malaya Research Grant (UMRG: RP007-2012A). Laboratory resources were provided by British Antarctic Survey (BAS) and Northumbria University. We thank University of Malaya for supporting Visiting Professors David A. Pearce (under Visiting Professor Scheme) and Peter Convey (under Academic Icon Programme) to the National Antarctic Research Centre. Wen Chyin Yew is a recipient of MyBrain scholarship (MyPhD) funded by the Ministry of Higher Education Malaysia. Peter Convey and Michael J Dunn are supported by NERC core funding to the BAS Biodiversity, Evolution and Adaptation'' and Ecosystems'' teams, respectively. This paper also contributes to the Scientific Committee on Antarctic Research State of the Antarctic Ecosystem'' research programme (AntEco).</t>
  </si>
  <si>
    <t>10.1007/s00300-017-2189-x</t>
  </si>
  <si>
    <t>WOS:000424276400007</t>
  </si>
  <si>
    <t>Kaczmarek, L; Parnikoza, I; Gawlak, M; Esefeld, J; Peter, HU; Kozeretska, I; Roszkowska, M</t>
  </si>
  <si>
    <t>Kaczmarek, Lukasz; Parnikoza, Ivan; Gawlak, Magdalena; Esefeld, Jan; Peter, Hans-Ulrich; Kozeretska, Iryna; Roszkowska, Milena</t>
  </si>
  <si>
    <t>Tardigrades from Larus dominicanus Lichtenstein, 1823 nests on the Argentine Islands (maritime Antarctic)</t>
  </si>
  <si>
    <t>Bryodelphax; Diphascon; Dispersion; Fauna; Hypsibius; Kelp gull nests; New species; Tardigrada</t>
  </si>
  <si>
    <t>SOUTH-AMERICA; CLIMATE-CHANGE; INTEGRATIVE DESCRIPTION; EUTARDIGRADA; INVERTEBRATES; HYPSIBIIDAE; LAND; HETEROTARDIGRADA; ECHINISCIDAE; DIPHASCON</t>
  </si>
  <si>
    <t>Tardigrada in Antarctic regions are poorly known. The aim of this study was to examine for tardigrades the nests material of the kelp gull (Larus dominicanus Lichtenstein, 1823) in maritime Antarctic and discuss the possible ways of migration and dispersion of tardigrades by birds. We also discuss the influence of bird's guano on the communities of microscopic invertebrates (mainly tardigrades). In the positive samples (mainly bryophytes and lichens) of seven Larus dominicanus nests, collected on Ardley Island (near Fildes Peninsula) and Argentine Islands, ca. 850 tardigrades and their eggs were found. In total, 13 taxa (including Ramajendas sp.) were identified, and four are new to science: Bryodelphax olszanowskii sp. nov., Diphascon puchalskii sp. nov., D. rudnickii sp. nov. and Hypsibius conwentzii sp. nov.. Bryodelphax olszanowskii sp. nov. differs from known Bryodelphax species in the weglarskae group mainly by having a different ventral plate configuration. Belonging to the pingue group, D. puchalskii sp. nov. differs from other species by some quantitative characters and D. rudnickii sp. nov. by having the first and second macroplacoids situated very close to each other. Hypsibius conwentzii sp. nov. differs from other species of the genus Hypsibius, with two macroplacoids and septulum, by some morphological and morphometric characters. Summarizing, Antarctic tardigrades are a very diverse group, and birds can be responsible for translocation of small invertebrates (including tardigrades) inside of various parts of plants and lichens. They also deposit large amounts of guano, which provides a lot of nutrients for poor tundra ecosystems and support small invertebrate communities.</t>
  </si>
  <si>
    <t>[Kaczmarek, Lukasz; Roszkowska, Milena] Adam Mickiewicz Univ, Fac Biol, Inst Environm Biol, Dept Anim Taxon &amp; Ecol, Umultowska 89, PL-61614 Poznan, Poland; [Parnikoza, Ivan] Ukrainian Acad Sci, Inst Mol Biol &amp; Genet Natl, Akad Zabolotnogo Str 150, UA-03143 Kiev, Ukraine; [Gawlak, Magdalena] Natl Res Inst, Inst Plant Protect, Wegorka 20, PL-60318 Poznan, Poland; [Esefeld, Jan; Peter, Hans-Ulrich] Univ Jena, Inst Ecol &amp; Evolut, Dornburger Str 159, D-07743 Jena, Germany; [Kozeretska, Iryna] Taras Shevchenko Natl Univ Kyiv, Volodymyrska Str 64, UA-01601 Kiev, Ukraine</t>
  </si>
  <si>
    <t>Adam Mickiewicz University; National Academy of Sciences Ukraine; Institute of Molecular Biology &amp; Genetics of NASU; Friedrich Schiller University of Jena; Ministry of Education &amp; Science of Ukraine; Taras Shevchenko National University of Kyiv</t>
  </si>
  <si>
    <t>Roszkowska, M (corresponding author), Adam Mickiewicz Univ, Fac Biol, Inst Environm Biol, Dept Anim Taxon &amp; Ecol, Umultowska 89, PL-61614 Poznan, Poland.</t>
  </si>
  <si>
    <t>kaczmar@amu.edu.pl; ivan.parnikoza@gmail.com; mgieta.post@home.pl; jan.esefeld@uni-jena.de; hans-ulrich.peter@uni-jena.de; iryna.kozeretska@gmail.com; mil.roszkowska@gmail.com</t>
  </si>
  <si>
    <t>Parnikoza, Ivan/I-2398-2016; Kaczmarek, Lukasz/A-2000-2008; Kozeretska, Iryna/F-1383-2010</t>
  </si>
  <si>
    <t>Gawlak, Magdalena/0000-0001-7994-2882; Kozeretska, Iryna/0000-0002-6485-1408</t>
  </si>
  <si>
    <t>10.1007/s00300-017-2190-4</t>
  </si>
  <si>
    <t>WOS:000424276400008</t>
  </si>
  <si>
    <t>Juáres, MA; Casaux, R; Corbalán, A; Blanco, G; Pereira, GA; Perchivale, PJ; Coria, NR; Santos, MM</t>
  </si>
  <si>
    <t>Juares, Mariana A.; Casaux, Ricardo; Corbalan, Aldo; Blanco, Gabriel; Pereira, G. Ariel; Perchivale, Pablo J.; Coria, Nestor R.; Mercedes Santos, M.</t>
  </si>
  <si>
    <t>Diet of Ad,lie penguins (Pygoscelis adeliae) at Stranger Point (25 de Mayo/King George Island, Antarctica) over a 13-year period (2003-2015)</t>
  </si>
  <si>
    <t>Pygoscelis adeliae; Krill-dependent species; Prey availability; South Shetland Islands</t>
  </si>
  <si>
    <t>KRILL EUPHAUSIA-SUPERBA; SOUTH SHETLAND ISLANDS; BECHERVAISE ISLAND; INTERANNUAL VARIATION; CHINSTRAP PENGUINS; POPULATION-CHANGES; EAST ANTARCTICA; SEABIRDS; PREY; VARIABILITY</t>
  </si>
  <si>
    <t>Knowledge of the feeding ecology of a species at local level is fundamental to determine the relationship between the fluctuations in local marine resources and population dynamics of predators. In this study, we examined the diet of Ad,lie penguins (Pygoscelis adeliae) during the crSche stage at the Stranger Point colony, South Shetland Islands, Antarctica, over a 13-year period (2002/2003-2014/2015). Antarctic krill (Euphausia superba) was the dominant prey for Ad,lie penguins during the crSche period (contribution: 100% of occurrence and &gt; 99.7% by mass). The fish component in the diet represented a small proportion of the total prey (contribution: from 4 to 24% of occurrence but &lt; 0.15% by mass). A marked inter-annual variability in the mass of stomach contents, the krill size consumed and the proportion of juvenile krill was observed. Moreover, a possible recruitment event of krill was recorded. A negative relationship between the size of krill in the diet and breeding success was found, suggesting that population dynamics of krill also reflected changes in the local availability of this crustacean. This work is the first long-term study of dietary parameters of Ad,lie penguins for the Stranger Point colony.</t>
  </si>
  <si>
    <t>[Juares, Mariana A.; Casaux, Ricardo; Corbalan, Aldo; Blanco, Gabriel; Pereira, G. Ariel; Perchivale, Pablo J.; Coria, Nestor R.; Mercedes Santos, M.] Inst Antartico Argentino, Dept Biol Predadores Tope, 25 Mayo 1143,B1650CSP San Martin, Buenos Aires, DF, Argentina; [Juares, Mariana A.] Consejo Nacl Invest Cient &amp; Tecn, Consejo Nacl Invest Cient &amp; Tecn, Godoy Cruz 2290,C1425FQB, Buenos Aires, DF, Argentina; [Juares, Mariana A.; Perchivale, Pablo J.; Mercedes Santos, M.] Univ Nacl La Plata, Fac Ciencias Nat &amp; Museo, Lab Anexos, Calle 64 3,B1904AMA, La Plata, Buenos Aires, Argentina; [Casaux, Ricardo] Consejo Nacl Invest Cient &amp; Tecn, UNPSJB, Ctr Invest Esquel Montana &amp; Estepa Patagon, Roca 780, RA-9200 Esquel, Chubut, Argentina</t>
  </si>
  <si>
    <t>Instituto Antartico Argentino; Consejo Nacional de Investigaciones Cientificas y Tecnicas (CONICET); National University of La Plata; Museo La Plata; Consejo Nacional de Investigaciones Cientificas y Tecnicas (CONICET)</t>
  </si>
  <si>
    <t>Juáres, MA (corresponding author), Inst Antartico Argentino, Dept Biol Predadores Tope, 25 Mayo 1143,B1650CSP San Martin, Buenos Aires, DF, Argentina.;Juáres, MA (corresponding author), Consejo Nacl Invest Cient &amp; Tecn, Consejo Nacl Invest Cient &amp; Tecn, Godoy Cruz 2290,C1425FQB, Buenos Aires, DF, Argentina.;Juáres, MA (corresponding author), Univ Nacl La Plata, Fac Ciencias Nat &amp; Museo, Lab Anexos, Calle 64 3,B1904AMA, La Plata, Buenos Aires, Argentina.</t>
  </si>
  <si>
    <t>marianajuares@hotmail.com</t>
  </si>
  <si>
    <t>Juares, Mariana A./0000-0002-6763-0416</t>
  </si>
  <si>
    <t>FONCYT - Agencia Nacional de Promocion Cientifica y Tecnologica [PICTO 2010-0111]; Instituto Antartico Argentino-Direccion Nacional del Antartico [PI-05]</t>
  </si>
  <si>
    <t>FONCYT - Agencia Nacional de Promocion Cientifica y Tecnologica(ANPCyTFONCyT); Instituto Antartico Argentino-Direccion Nacional del Antartico</t>
  </si>
  <si>
    <t>We thank all field and laboratory assistants that helped collecting and analysing samples associated with this study. The permit for this work was granted by the Direccion Nacional del Antartico (Environmental Office). The FONCYT - Agencia Nacional de Promocion Cientifica y Tecnologica (Grant: PICTO 2010-0111) and the Instituto Antartico Argentino-Direccion Nacional del Antartico (PI-05) provided financial and logistical support. We also thank Dr Christian Reiss, two anonymous reviewers and editors for their helpful comments and suggestions on improving the manuscript. Finally, we are very grateful to Ana Gentile who improved the English.</t>
  </si>
  <si>
    <t>10.1007/s00300-017-2191-3</t>
  </si>
  <si>
    <t>WOS:000424276400009</t>
  </si>
  <si>
    <t>Albertson, GR; Friedlaender, AS; Steel, DJ; Aguayo-Lobo, A; Bonatto, SL; Caballero, S; Constantine, R; Cypriano-Souza, AL; Engel, MH; Garrigue, C; Flórez-González, L; Johnston, DW; Nowacek, DP; Olavarría, C; Poole, MM; Read, AJ; Robbins, J; Sremba, AL; Baker, CS</t>
  </si>
  <si>
    <t>Albertson, G. R.; Friedlaender, A. S.; Steel, D. J.; Aguayo-Lobo, A.; Bonatto, S. L.; Caballero, S.; Constantine, R.; Cypriano-Souza, A. L.; Engel, M. H.; Garrigue, C.; Florez-Gonzalez, L.; Johnston, D. W.; Nowacek, D. P.; Olavarria, C.; Poole, M. M.; Read, A. J.; Robbins, J.; Sremba, A. L.; Baker, C. S.</t>
  </si>
  <si>
    <t>Temporal stability and mixed-stock analyses of humpback whales (Megaptera novaeangliae) in the nearshore waters of the Western Antarctic Peninsula</t>
  </si>
  <si>
    <t>Humpback whales; Population structure; Climate change; Mixed-stock analysis; DNA markers; Antarctic Peninsula</t>
  </si>
  <si>
    <t>POPULATION-STRUCTURE; GENETIC-STRUCTURE; MICROSATELLITE LOCI; GENOTYPING ERRORS; FEEDING GROUNDS; DIVERSITY; MOVEMENTS; MIGRATION; ABUNDANCE; DESTINATIONS</t>
  </si>
  <si>
    <t>Southern Hemisphere humpback whales breed in tropical waters and migrate to Antarctica to forage. While the breeding grounds are well defined, the population structure on Antarctic feeding grounds is poorly described. The Western Antarctic Peninsula (WAP) is of particular interest, where rapidly changing environmental conditions could alter prey distribution or migration pathways. To examine changes in the population of whales around the WAP, we used mitochondrial DNA (mtDNA) and 15 microsatellite loci. We compared our WAP dataset to a dataset collected 18 years earlier, and identified new haplotypes for the region, but found no significant difference between the datasets. We compared whales from the WAP to breeding populations in Oceania, Colombia, and Brazil. We used an Analysis of Molecular Variance to confirm significant genetic differentiation between the WAP and each breeding ground (overall F (ST) = 0.035/0.007 mtDNA/microsatellite, p &lt; 0.001) except Colombia. Bayesian mixed-stock analyses showed a large apportionment to Colombia (mtDNA 93.0%; CL 91-99%; microsatellites 86%; CL 72-93%) and a small apportionment to French Polynesia/Samoan Islands (mtDNA 2.9%; CL 0.0-11.5%; microsatellites 8.9%; CL 0-22%), supporting the strong connection between Colombia and the WAP. Assignment tests allocated 81 individuals to Colombia and two to French Polynesia/Samoan Islands. No other breeding grounds had significant apportionments. Direct connectivity of French Polynesia to the WAP was confirmed with the first genotype match of French Polynesia to a feeding area. Continued genetic monitoring will highlight the complex patterns of humpbacks in this rapidly changing climate. Our results serve as a baseline for humpback whale population structure, illustrate mixed-stock analysis as a useful tool for migrating wildlife, and aid in future management considerations for humpbacks.</t>
  </si>
  <si>
    <t>[Albertson, G. R.; Friedlaender, A. S.; Steel, D. J.; Sremba, A. L.; Baker, C. S.] Oregon State Univ, Marine Mammal Inst, Newport, OR 97365 USA; [Albertson, G. R.; Friedlaender, A. S.; Steel, D. J.; Sremba, A. L.; Baker, C. S.] Oregon State Univ, Dept Fisheries &amp; Wildlife, Newport, OR 97365 USA; [Johnston, D. W.; Nowacek, D. P.; Read, A. J.] Duke Univ, Marine Lab, Div Marine Sci &amp; Conservat, Beaufort, NC 28516 USA; [Poole, M. M.] Marine Mammal Res Program, BP 698 Maharepa, Moorea, French Polynesi, France; [Bonatto, S. L.; Cypriano-Souza, A. L.] Pontificia Univ Catolica Rio Grande do Sul, Fac Biociencias, Porto Alegre, RS, Brazil; [Engel, M. H.] Inst Baleia Jubarte Caravelas, Projeto Baleia Jubarte, Caravelas, BA, Brazil; [Caballero, S.; Florez-Gonzalez, L.] Univ Los Andes, LEMVA, Dept Ciencias Biol, Carrera 1 18A-10, Bogota, Colombia; [Garrigue, C.] Operat Cetaces, BP 12827, Noumea 98800, New Caledonia; [Constantine, R.; Baker, C. S.] Univ Auckland, Sch Biol Sci, Private Bag 92019, Auckland, New Zealand; [Robbins, J.] Ctr Coastal Studies, 5 Holway Ave, Provincetown, MA 02657 USA; [Olavarria, C.] CEAZA, Raul Bitran 1305, La Serena, Chile; [Aguayo-Lobo, A.] Inst Antartico Chileno, Punta Arenas, Chile; [Albertson, G. R.; Steel, D. J.; Caballero, S.; Constantine, R.; Garrigue, C.; Florez-Gonzalez, L.; Olavarria, C.; Poole, M. M.; Robbins, J.; Baker, C. S.] South Pacific Whale Res Consortium, POB 3069, Avarua, Rarotonga, Cook Islands; [Garrigue, C.] IRD UMR Entropie, BPA5, Noumea 98848, New Caledonia</t>
  </si>
  <si>
    <t>Oregon State University; Oregon State University; Duke University; Pontificia Universidade Catolica Do Rio Grande Do Sul; Universidad de los Andes (Colombia); University of Auckland; University of the South Pacific</t>
  </si>
  <si>
    <t>Albertson, GR (corresponding author), Oregon State Univ, Marine Mammal Inst, Newport, OR 97365 USA.;Albertson, GR (corresponding author), Oregon State Univ, Dept Fisheries &amp; Wildlife, Newport, OR 97365 USA.;Albertson, GR (corresponding author), South Pacific Whale Res Consortium, POB 3069, Avarua, Rarotonga, Cook Islands.</t>
  </si>
  <si>
    <t>renee.albertson@oregonstate.edu</t>
  </si>
  <si>
    <t>Read, Andrew/AAE-8386-2019; Bonatto, Sandro L/A-1240-2010; garrigue, claire/I-4704-2016</t>
  </si>
  <si>
    <t>Johnston, David/0000-0003-2424-036X; Robbins, Jooke/0000-0002-6382-722X; Bonatto, Sandro/0000-0002-0064-467X; garrigue, claire/0000-0002-8117-3370; Steel, Debbie/0000-0001-5898-2850</t>
  </si>
  <si>
    <t>Instituto Antarctico Chileno [INACH 08-93, 163, G-02-07]; International Fund for Animal Welfare (IFAW); Regional Natural Heritage Program, Department of Environment and Heritage, Government of Australia; French Polynesia's Ministry of the Environment; National Science Foundation; Office of Polar Programs [ANT-07-39483]</t>
  </si>
  <si>
    <t>Instituto Antarctico Chileno; International Fund for Animal Welfare (IFAW); Regional Natural Heritage Program, Department of Environment and Heritage, Government of Australia; French Polynesia's Ministry of the Environment; National Science Foundation(National Science Foundation (NSF)); Office of Polar Programs(National Science Foundation (NSF)NSF - Directorate for Geosciences (GEO))</t>
  </si>
  <si>
    <t>For field collection for the WAP2014 dataset, the authors thank members of the Multi-scale and Interdisciplinary Study of Humpback and Prey field team, including D. Waples, P. Halpin, M. Zhou, Y. Zhu, J. Warren, E. Hazen, and B. Espinasse as well as the crew and marine technicians of the RVIB 'Nathaniel B Palmer' and ARSV 'Laurence M Gould' for their efforts. Sample collection for the WAP1996 dataset was supported primarily by the Instituto Antarctico Chileno (Projects INACH 08-93, 163 and G-02-07). Funding for the collection and genetic analyses of samples from Oceania was provided to the South Pacific Whale Research Consortium by the International Fund for Animal Welfare (IFAW) and the Regional Natural Heritage Program, Department of Environment and Heritage, Government of Australia. Research in French Polynesia was conducted under permits issued by French Polynesia's Ministry of the Environment, who also provided additional funding. Oregon State University's Institutional Animal Care and Use Committee approved a protocol for collection of biopsy samples. For access to data from the Oceania breeding grounds, we thank members of the South Pacific Whale Research Consortium for access to the data and sample collection, especially David Mattila, Juney Ward, Alden Tagarino, and Marc Oremus, for assistance with laboratory analyses. For work at American Samoa, we thank the American Samoa Department of Marine and Wildlife Resources, the National Marine Sanctuary of American Samoa, the Hawaiian Islands Humpback Whale National Marine Sanctuary, and the U.S. National Park Service. Research was conducted under National Marine Fisheries Service permits 774-1714 and 14097 (held by Southwest Fisheries Science Center) and the permission of the Government of American Samoa. We thank colleagues at Instituto Baleia Jubarte for collecting samples in Brazil, and colleagues of the Laboratorio de Biologia Genomica e Molecular/PUCRS for their help with laboratory analyses in Brazil. Brazilian biopsy samples were collected off Brazil under permit SISBIO 21489-1. We thank Chris Lundeberg for the photo-identification matching of the WAP2014 dataset to the French Polynesia dataset. In addition, we thank John McClung for reconciling the photos from the French Polynesia archipelagos outside the Society Islands to the main French Polynesia humpback whale catalog. Lastly, we thank the three reviewers who provided thoughtful comments to improve the manuscript. The 2014 research in the Antarctic Peninsula was conducted under National Marine Fisheries Service Permit 808-1735 and 13583-01, Antarctic Conservation Act Permit 2009-014, and Duke University Institutional Animal Care &amp; Use Committee A049-112-02. Research in the Antarctic Peninsula for the 2014 field season was supported by National Science Foundation, Office of Polar Programs Grant ANT-07-39483. All applicable international, national, and institutional guidelines for the care and use of animals were followed.</t>
  </si>
  <si>
    <t>10.1007/s00300-017-2193-1</t>
  </si>
  <si>
    <t>WOS:000424276400011</t>
  </si>
  <si>
    <t>Bruno, DO; Victorio, MF; Acha, EM; Fernández, DA</t>
  </si>
  <si>
    <t>Bruno, Daniel O.; Victorio, Mariela F.; Acha, Eduardo M.; Fernandez, Daniel A.</t>
  </si>
  <si>
    <t>Fish early life stages associated with giant kelp forests in sub-Antarctic coastal waters (Beagle Channel, Argentina)</t>
  </si>
  <si>
    <t>Ichthyoplankton; Macrocystis pyrifera; Sub-Antarctic fishes; Coastal environment; Nursery</t>
  </si>
  <si>
    <t>MACROCYSTIS-PYRIFERA; SPRATTUS-FUEGENSIS; PATAGONIAN SPRAT; LARVAL GROWTH; SOUTH; ABUNDANCE; PISCES; ECOLOGY; REPRODUCTION; ASSEMBLAGES</t>
  </si>
  <si>
    <t>The aim of this study was to assess seasonal and spatial variations in fish larvae abundance between areas with Macrocystis pyrifera kelp forests and areas without them off the coast of the Beagle Channel. Monthly plankton sampling at three sites was performed from June 2014 to May 2016 in two areas of each site. One area was defined along the offshore margin (edge of the forests) of M. pyrifera kelp forests and the other area parallel to the forests but 200 m offshore (out of the forests). To test for spatial and temporal differences in the abundance of fish larvae, a multiple-hypothesis model approach was adopted by fitting generalized models (GLMs) with the abundance of fishes as the response variable and possible combinations of seasons, sites, areas, and water parameters as explanatory variables. Ten fish taxa in larval stage were collected of which Patagonotothen spp. larvae were the dominant group. Season and area affected most the abundance of fish larvae along the coast of the Beagle Channel. High abundance of fish larvae was collected in spring of both years with a second peak in autumn. Harpagifer bispinis and Patagonotothen spp. peaked in spring, while Careproctus pallidus peaked in autumn. In every season of the two years sampled, the abundance of fish larvae was higher at the edge of the forests than out of them. The importance as nursery ground of M. pyrifera kelp forests for early stages of fishes that inhabit the Beagle Channel is discussed.</t>
  </si>
  <si>
    <t>[Bruno, Daniel O.; Victorio, Mariela F.; Fernandez, Daniel A.] Ctr Austral Invest Cient CADIC CONICET, Lab Ecol Fisiol &amp; Evoluc Organismos Acuat LEFyE, Bernardo Houssay 200,V9410CAB, Ushuaia, Tierra Del Fueg, Argentina; [Bruno, Daniel O.; Fernandez, Daniel A.] Univ Nacl Tierra Fuego ICPA UNTDF, Inst Ciencias Polares Ambiente &amp; Recursos Nat, Los Nires 2382,V9410CAB, Ushuaia, Tierra Del Fueg, Argentina; [Acha, Eduardo M.] Inst Invest Marinas &amp; Costeras IIMyC UNMdP CONICE, Dean Funes 3350,B7602AYL, Mar Del Plata, Buenos Aires, Argentina; [Acha, Eduardo M.] INIDEP, Paseo Victoria Ocampo 1,CC 175,B7602HSA, Mar Del Plata, Buenos Aires, Argentina</t>
  </si>
  <si>
    <t>Consejo Nacional de Investigaciones Cientificas y Tecnicas (CONICET); National Fisheries Research &amp; Development Institute (INIDEP)</t>
  </si>
  <si>
    <t>Bruno, DO (corresponding author), Ctr Austral Invest Cient CADIC CONICET, Lab Ecol Fisiol &amp; Evoluc Organismos Acuat LEFyE, Bernardo Houssay 200,V9410CAB, Ushuaia, Tierra Del Fueg, Argentina.;Bruno, DO (corresponding author), Univ Nacl Tierra Fuego ICPA UNTDF, Inst Ciencias Polares Ambiente &amp; Recursos Nat, Los Nires 2382,V9410CAB, Ushuaia, Tierra Del Fueg, Argentina.</t>
  </si>
  <si>
    <t>dobruno.ush@gmail.com</t>
  </si>
  <si>
    <t>Bruno, Daniel/0000-0002-1356-9752; Fernandez, Daniel Alfredo/0000-0002-3367-4138</t>
  </si>
  <si>
    <t>Consejo Nacional de Investigaciones Cientificas y Tecnicas (CONICET-Argentina) [PIP 0321 2014-2016]; Agencia Nacional de Promocion Cientifica y Tecnologica (ANPCyT-FONCyT, Argentina) [PICT 1596 2012-2016]; ANPCyT-FONCyT, Argentina [PICT 0900/2015]; CONICET (Argentina)</t>
  </si>
  <si>
    <t>Consejo Nacional de Investigaciones Cientificas y Tecnicas (CONICET-Argentina)(Consejo Nacional de Investigaciones Cientificas y Tecnicas (CONICET)); Agencia Nacional de Promocion Cientifica y Tecnologica (ANPCyT-FONCyT, Argentina)(ANPCyTFONCyT); ANPCyT-FONCyT, Argentina(ANPCyTFONCyT); CONICET (Argentina)(Consejo Nacional de Investigaciones Cientificas y Tecnicas (CONICET))</t>
  </si>
  <si>
    <t>We express our gratitude to authorities of Secretaria de Ambiente, Desarrollo Sostenible y Cambio Climatico (Argentina) and of Administracion de Parques Nacionales (Tierra del Fuego, Argentina) for sampling permissions (RSPAyS No 0298/2016 and 099-CPA-2016, respectively); to M. Perez, L. Pagnossin, J. Rojo, and T. Chalde for field assistance; and to S.G. Ceballos for assistance with scoring and analyzing DNA sequences. We also acknowledge D. Piepenburg, M. La Mesa, and two anonymous reviewers for their useful comments and suggestions on an early draft, and to F. Sola for helpful revision of grammar style. This study was supported by grants from Consejo Nacional de Investigaciones Cientificas y Tecnicas (CONICET-Argentina) PIP 0321 2014-2016 and Agencia Nacional de Promocion Cientifica y Tecnologica (ANPCyT-FONCyT, Argentina) PICT 1596 2012-2016; and partially supported by PICT 0900/2015 grant (ANPCyT-FONCyT, Argentina). D.O.B was supported by a postdoctoral fellowship from CONICET (Argentina).</t>
  </si>
  <si>
    <t>10.1007/s00300-017-2196-y</t>
  </si>
  <si>
    <t>WOS:000424276400014</t>
  </si>
  <si>
    <t>Campana, GL; Zacher, K; Deregibus, D; Momo, FR; Wiencke, C; Quartino, ML</t>
  </si>
  <si>
    <t>Campana, Gabriela L.; Zacher, Katharina; Deregibus, Dolores; Roberto Momo, Fernando; Wiencke, Christian; Liliana Quartino, Maria</t>
  </si>
  <si>
    <t>Succession of Antarctic benthic algae (Potter Cove, South Shetland Islands): structural patterns and glacial impact over a four-year period</t>
  </si>
  <si>
    <t>Colonization; Macroalgae and microalgae; Benthic communities; Global climate warming; Glacier retreat; UV radiation</t>
  </si>
  <si>
    <t>KING-GEORGE-ISLAND; MACROALGAL ASSEMBLAGES; ULTRAVIOLET-RADIATION; SUBTIDAL MACROALGAE; GROWTH; COLONIZATION; TEMPERATURE; DIATOMS; UV; PHOTOSYNTHESIS</t>
  </si>
  <si>
    <t>There is a general lack of information on the succession of marine benthic algae in Antarctica. We performed two colonization experiments in the upper subtidal (3 and 5 m depth) using artificial substrates in Potter Cove (South Shetland Islands): in the outer cove, an area mainly unaffected by sedimentation, and in the inner cove, in close proximity to a retreating glacier, with high sediment inflow particularly during the melting season. Seasonal and interannual changes in total, diatom and macroalgal cover, species composition, and ecological indexes were assessed over four years. Tiles were analysed in spring and summer in the laboratory and by year-round photographic monitoring. Irradiance (photosynthetically active radiation and ultraviolet radiation), salinity, and temperature were monitored on a monthly basis. Benthic algae dominated the assemblages, with macroalgae reaching similar to 70% cover after two years. There were site and temporal differences in the contribution of diatom mats (mainly pennate forms) and macroalgal cover. Diatom cover was higher at the glacier-influenced site, particularly at the early stages, and decreased significantly with time. Between years, macroalgal assemblages changed significantly in a site-specific manner. Assemblages mainly comprised annual and pseudoperennial species at both sites, with absence of adult large Desmarestiales. Although a year separated the establishment of the two experiments, there were convergence patterns in the changes of cover over time-that seemed to be controlled by competitive interactions-and in the patterns of species replacement. However, the inner cove site exhibited lower number of macroalgal taxa and a tendency to decreased diversity over time that could be related to higher level of stress and disturbance caused by glacial influence.</t>
  </si>
  <si>
    <t>[Campana, Gabriela L.; Deregibus, Dolores; Liliana Quartino, Maria] Inst Antartico Argentino, Dept Biol Costera, Direcc Nacl Antartico, 25 Mayo 1143, RA-1650 Buenos Aires, DF, Argentina; [Campana, Gabriela L.; Roberto Momo, Fernando] Univ Nacl Lujan, Dept Ciencias Basicas, Ruta 5 &amp; Ave Constituc, RA-6700 Buenos Aires, DF, Argentina; [Zacher, Katharina; Wiencke, Christian] Alfred Wegener Inst, Helmholtz Ctr Polar &amp; Marine Res, Handelshaven 12, D-27570 Bremerhaven, Germany; [Roberto Momo, Fernando] Univ Nacl Gen Sarmiento, Inst Ciencias, JM Gutierrez 1150,B1613GSX, Los Polvorines, Argentina; [Roberto Momo, Fernando] Univ Nacl Lujan, INEDES, CONICET, Lujan, Argentina; [Liliana Quartino, Maria] Museo Argentino Ciencias Nat Bernardino Rivadavia, Ave A Gallardo 470,C1405DJR, Buenos Aires, DF, Argentina</t>
  </si>
  <si>
    <t>Instituto Antartico Argentino; Universidad Nacional de Lujan; Helmholtz Association; Alfred Wegener Institute, Helmholtz Centre for Polar &amp; Marine Research; Universidad Nacional de Lujan; Consejo Nacional de Investigaciones Cientificas y Tecnicas (CONICET); Museo Argentino de Ciencias Naturales Bernardino Rivadavia (MACN)</t>
  </si>
  <si>
    <t>Campana, GL (corresponding author), Inst Antartico Argentino, Dept Biol Costera, Direcc Nacl Antartico, 25 Mayo 1143, RA-1650 Buenos Aires, DF, Argentina.;Campana, GL (corresponding author), Univ Nacl Lujan, Dept Ciencias Basicas, Ruta 5 &amp; Ave Constituc, RA-6700 Buenos Aires, DF, Argentina.</t>
  </si>
  <si>
    <t>gcampana@dna.gov.ar</t>
  </si>
  <si>
    <t>Momo, Fernando R/E-3426-2012</t>
  </si>
  <si>
    <t>Momo, Fernando R/0000-0003-0710-1149</t>
  </si>
  <si>
    <t>DNA-IAA [PICTA 7/2008-2011]; ANPCyT-DNA [PICTO 0116/2012-2015]; Deutsche Forschungsgemeinschaft (DFG) [Za735/1-1]; Marie Curie Action IRSES IMCONet (FP7 IRSES) [318718]</t>
  </si>
  <si>
    <t>DNA-IAA; ANPCyT-DNA; Deutsche Forschungsgemeinschaft (DFG)(German Research Foundation (DFG)); Marie Curie Action IRSES IMCONet (FP7 IRSES)(European Union (EU))</t>
  </si>
  <si>
    <t>We thank the support of Carlini Station and Dallmann Laboratory crews. Field assistance of O. Gonzalez and A. Ulrich was invaluable, as was the work of summer and overwinter expedition scientists: L. Rigacci, G. Aguirre, A. Fernandez Ajo, A. Morettini, M. Garcia, D. Lopez, and J. M. Piscicelli. Special thanks to Carlini Station Argentine Army and German diving crews, S. Doyle, G. Mercuri, E. Ruiz Barlett, H. Sala, M. Sierra and O. Zambrano. Images in Fig. 2 were kindly provided by Marcelo Mammana (upper panel) and Argentine Army diving crew (lower panel). The authors also wish to thank the valuable comments of three anonymous reviewers, who have helped to improve this manuscript. This work was performed within the framework of the scientific collaboration between Instituto Antartico Argentino/Direccion Nacional del Antartico and the Alfred-Wegener-Institute Helmholtz Centre for Polar and Marine Research. It was supported by Grants from DNA-IAA (PICTA 7/2008-2011), ANPCyT-DNA (PICTO 0116/2012-2015) and by the Deutsche Forschungsgemeinschaft (DFG) in the framework of the priority programme Antarctic Research with comparative investigations in Arctic ice areas'' by a grant Za735/1-1. The present manuscript also presents an outcome of the international Research Network IMCONet funded by the Marie Curie Action IRSES IMCONet (FP7 IRSES, Action No. 318718).</t>
  </si>
  <si>
    <t>10.1007/s00300-017-2197-x</t>
  </si>
  <si>
    <t>WOS:000424276400015</t>
  </si>
  <si>
    <t>Strobel, A; Schmid, P; Burkhardt-Holm, P; Segner, H; Zennegg, M</t>
  </si>
  <si>
    <t>Strobel, Anneli; Schmid, Pqter; Burkhardt-Holm, Patricia; Segner, Helmut; Zennegg, Markus</t>
  </si>
  <si>
    <t>Persistent organic pollutants in red- and white-blooded High-Antarctic notothenioid fish from the remote Weddell Sea</t>
  </si>
  <si>
    <t>Chionodraco hamatus; Trematomus loennbergii; Organochlorine pesticides (OCPs); Polychlorinated biphenyls (PCBs); Polybrominated diphenyl ethers (PBDEs); 2,3,7,8-TCDD toxic equivalents (TEQs)</t>
  </si>
  <si>
    <t>POLYBROMINATED DIPHENYL ETHERS; POLYCHLORINATED-BIPHENYLS; FLAME RETARDANTS; FOOD-WEB; PBDES; LAKES; PESTICIDES; DIOXINS; TISSUES; PENGUIN</t>
  </si>
  <si>
    <t>It has been suggested that High-Antarctic waters, despite their remoteness from human activities, are impacted by anthropogenic pollution, and that the local biota are accumulating the contaminants. At present, no data exist on persistent organic pollutant (POP) body burdens for notothenioid fish inhabiting the High-Antarctic Weddell Sea. We determined the pollutant load in white muscle tissue of red- and white-blooded notothenoids from the Weddell Sea (Trematomus loennbergii and Chionodraco hamatus, respectively), and compared them to our previous measurements of POPs in Low-Antarctic notothenioids. Analytes included various organochlorine pesticides (OCPs), polychlorinated biphenyls (indicator (i) PCBs, dioxine-like (dl) PCBs) and polybrominated diphenyl ethers (PBDEs). The analytical concentrations were converted into 2,3,7,8-TCDD toxic equivalents (TEQs). Compared to T. loennbergii, C hamatus had lower levels of P-HCH (0.45 vs. 4.5 ng g(-1) lipid weight), and 2 iPCBs (30 vs. 39 ng g(-1) lipid weight), as well as lower levels of 2 PBDEs (131 vs. 261 ng g(-1) fresh weight). POP body burdens and TEQs were mostly similar to those of Low-Antarctic notothenioids analysed previously, and not related to the trophic positions of the species. The variations in POP levels between and within High- and Low-Antarctic notothenioids only marginally corresponded to sampling site, ecological differences or trophic levels of the species, and might rather be related to metabolism or age effects. The present findings suggest that fishes of High Antarctic waters, although this area is more remote and less influenced by local human activities, do not show lower POP body burdens than fishes from Low-Antarctic waters. (C) 2017 Elsevier Ltd. All rights reserved.</t>
  </si>
  <si>
    <t>[Strobel, Anneli; Burkhardt-Holm, Patricia] Univ Basel, Dept Environm Sci, Programme Man Soc Environm MGU, Vesalgasse 1, CH-4051 Basel, Switzerland; [Schmid, Pqter; Zennegg, Markus] Empa, Swiss Fed Labs Mat Sci &amp; Technol, Lab Adv Analyt Technol, Uberlandstr 129, CH-8600 Dubendorf, Switzerland; [Burkhardt-Holm, Patricia] Univ Alberta, Dept Biol Sci, Edmonton, AB, Canada; [Segner, Helmut] Univ Bern, Vetsuisse Fac, Ctr Fish &amp; Wildlife Hlth, Langgassstr 12, CH-3012 Bern, Switzerland</t>
  </si>
  <si>
    <t>University of Basel; Swiss Federal Institutes of Technology Domain; Swiss Federal Laboratories for Materials Science &amp; Technology (EMPA); University of Alberta; University of Bern</t>
  </si>
  <si>
    <t>Strobel, A (corresponding author), Univ Basel, Dept Environm Sci, Programme Man Soc Environm MGU, Vesalgasse 1, CH-4051 Basel, Switzerland.</t>
  </si>
  <si>
    <t>anneli.strobel@unibas.ch; p.p.schmid@bluewin.ch; patricia.holm@unibas.ch; helmut.segner@vetsuisse.unibe.ch; markus.zennegg@emba.ch</t>
  </si>
  <si>
    <t>Strobel, Anneli/S-5853-2016</t>
  </si>
  <si>
    <t>Burkhardt-Holm, Patricia/0000-0001-5396-6405</t>
  </si>
  <si>
    <t>This work was funded by the Swiss National Science Foundation (SNSF 31003A_149964/1) and the Freiwillige Akademische Gesellschaft Basel. We thank the crew of RV Polarstern, F. Mark and N. Koschnick (Alfred Wegener Institute Helmholtz Centre for Polar and Marine Research) for their assistance in sampling the fish. We are grateful to H. Schiffer and N. Seiler-Kurth (MGU) for their valuable help in organizing the sampling campaign. We furthermore thank Donatella Perrone and Julian Bachman (Empa) for their assistance in the laboratory.</t>
  </si>
  <si>
    <t>10.1016/j.chemosphere.2017.11.020</t>
  </si>
  <si>
    <t>FU5KB</t>
  </si>
  <si>
    <t>WOS:000423890500025</t>
  </si>
  <si>
    <t>Rogers, A; Blanchard, JL; Newman, SP; Dryden, CS; Mumby, PJ</t>
  </si>
  <si>
    <t>Rogers, Alice; Blanchard, Julia L.; Newman, Steven P.; Dryden, Charlie S.; Mumby, Peter J.</t>
  </si>
  <si>
    <t>High refuge availability on coral reefs increases the vulnerability of reef-associated predators to overexploitation</t>
  </si>
  <si>
    <t>coral reefs; habitat complexity; overfishing; predation refuges; predator-prey interactions; productivity</t>
  </si>
  <si>
    <t>MARINE PROTECTED AREAS; FISH COMMUNITIES; PREY REFUGES; HABITAT DEGRADATION; STRUCTURAL-CHANGE; SIZE; PATTERNS; BIODIVERSITY; CONSEQUENCES; RESILIENCE</t>
  </si>
  <si>
    <t>Refuge availability and fishing alter predator-prey interactions on coral reefs, but our understanding of how they interact to drive food web dynamics, community structure and vulnerability of different trophic groups is unclear. Here, we apply a size-based ecosystem model of coral reefs, parameterized with empirical measures of structural complexity, to predict fish biomass, productivity and community structure in reef ecosystems under a broad range of refuge availability and fishing regimes. In unfished ecosystems, the expected positive correlation between reef structural complexity and biomass emerges, but a non-linear effect of predation refuges is observed for the productivity of predatory fish. Reefs with intermediate complexity have the highest predator productivity, but when refuge availability is high and prey are less available, predator growth rates decrease, with significant implications for fisheries. Specifically, as fishing intensity increases, predators in habitats with high refuge availability exhibit vulnerability to over-exploitation, resulting in communities dominated by herbivores. Our study reveals mechanisms for threshold dynamics in predators living in complex habitats and elucidates how predators can be food-limited when most of their prey are able to hide. We also highlight the importance of nutrient recycling via the detrital pathway, to support high predator biomasses on coral reefs.</t>
  </si>
  <si>
    <t>[Rogers, Alice; Mumby, Peter J.] Univ Queensland, Marine Spatial Ecol Lab, Brisbane, Qld 4072, Australia; [Rogers, Alice; Mumby, Peter J.] Univ Queensland, Australian Res Council, Ctr Excellence Coral Reef Studies, Sch Biol Sci, Brisbane, Qld 4072, Australia; [Blanchard, Julia L.] Univ Tasmania, Inst Marine &amp; Antarctic Studies, 20 Castray Esplanade, Hobart, Tas 7004, Australia; [Blanchard, Julia L.] Univ Tasmania, Ctr Marine Socioecol, 20 Castray Esplanade, Hobart, Tas 7004, Australia; [Newman, Steven P.; Dryden, Charlie S.] Newcastle Univ, Sch Marine Sci &amp; Technol, Newcastle Upon Tyne NE1 7RU, Tyne &amp; Wear, England</t>
  </si>
  <si>
    <t>University of Queensland; University of Queensland; University of Tasmania; University of Tasmania; Newcastle University - UK</t>
  </si>
  <si>
    <t>Rogers, A (corresponding author), Univ Queensland, Marine Spatial Ecol Lab, Brisbane, Qld 4072, Australia.;Rogers, A (corresponding author), Univ Queensland, Australian Res Council, Ctr Excellence Coral Reef Studies, Sch Biol Sci, Brisbane, Qld 4072, Australia.</t>
  </si>
  <si>
    <t>a.rogers2@uq.edu.au</t>
  </si>
  <si>
    <t>Mumby, Peter/0000-0002-6297-9053; Blanchard, Julia/0000-0003-0532-4824</t>
  </si>
  <si>
    <t>Capturing Coral Reef Ecosystem Services project - World Bank; GEF; UQ; European Commission 7th Framework Programme (P7) [244161]</t>
  </si>
  <si>
    <t>Capturing Coral Reef Ecosystem Services project - World Bank; GEF; UQ; European Commission 7th Framework Programme (P7)</t>
  </si>
  <si>
    <t>This research was funded by the Capturing Coral Reef Ecosystem Services project supported by the World Bank, GEF and UQ. Additional funds were made available for the Caribbean data collection from the European Commission 7th Framework Programme (P7/2007-2013; Grant 244161).</t>
  </si>
  <si>
    <t>10.1002/ecy.2103</t>
  </si>
  <si>
    <t>FU9GY</t>
  </si>
  <si>
    <t>WOS:000424165200017</t>
  </si>
  <si>
    <t>Nair, N; Pandey, DK</t>
  </si>
  <si>
    <t>Nair, Nisha; Pandey, Dhananjai K.</t>
  </si>
  <si>
    <t>Cenozoic sedimentation in the Mumbai Offshore Basin: Implications for tectonic evolution of the western continental margin of India</t>
  </si>
  <si>
    <t>Continental rifting; Sedimentation; Western continental margin of India; Mumbai offshore basin; Tectonics</t>
  </si>
  <si>
    <t>NORTHEASTERN ARABIAN SEA; INDUS FAN; SEISMIC-REFLECTION; CRUSTAL STRUCTURE; GRAVITY; MAGMATISM; HISTORY; RIDGE; STRATIGRAPHY; LITHOSPHERE</t>
  </si>
  <si>
    <t>Interpretation of multichannel seismic reflection data along the Mumbai Offshore Basin (MOB) revealed the tectonic processes that led to the development of sedimentary basins during Cenozoic evolution. Structural interpretation along three selected MCS profiles from MOB revealed seven major sedimentary sequences (similar to 3.0 s TWT, thick) and the associated complex fault patterns. These stratigraphic sequences are interpreted to host detritus of syn- to post rift events during rift-drift process. The acoustic basement appeared to be faulted with interspaced intrusive bodies. The sections also depicted the presence of slumping of sediments, subsidence, marginal basins, rollover anticlines, mud diapirs etc accompanied by normal to thrust faults related to recent tectonics. Presence of upthrusts in the slope region marks the locations of local compression during collision. Forward gravity modeling constrained with results from seismic and drill results, revealed that the crustal structure beneath the MOB has undergone an extensional type tectonics intruded with intrusive bodies. Results from the seismo-gravity modeling in association with litholog data from drilled wells from the western continental margin of India (WCMI) are presented here.</t>
  </si>
  <si>
    <t>[Nair, Nisha; Pandey, Dhananjai K.] ESSO Natl Ctr Antarctic &amp; Ocean Res, Vasco Da Gama 403804, Goa, India</t>
  </si>
  <si>
    <t>Ministry of Earth Sciences (MoES) - India; National Centre for Polar and Ocean Research (NCPOR)</t>
  </si>
  <si>
    <t>Nair, N (corresponding author), ESSO Natl Ctr Antarctic &amp; Ocean Res, Vasco Da Gama 403804, Goa, India.</t>
  </si>
  <si>
    <t>nishanair@ncaor.gov.in</t>
  </si>
  <si>
    <t>Pandey, Dhananjai/S-3843-2019</t>
  </si>
  <si>
    <t>Pandey, Dhananjai/0000-0001-6899-8995; Nair, Nisha/0000-0002-2847-3120</t>
  </si>
  <si>
    <t>10.1016/j.jseaes.2017.11.037</t>
  </si>
  <si>
    <t>FU9LK</t>
  </si>
  <si>
    <t>WOS:000424177200011</t>
  </si>
  <si>
    <t>Wang, RJ; Polyak, L; Xiao, WS; Wu, L; Zhang, TL; Sun, YC; Xu, XM</t>
  </si>
  <si>
    <t>Wang, Rujian; Polyak, Leonid; Xiao, Wenshen; Wu, Li; Zhang, Taoliang; Sun, Yechen; Xu, Xiaomei</t>
  </si>
  <si>
    <t>Late-Middle Quaternary lithostratigraphy and sedimentation patterns on the Alpha Ridge, central Arctic Ocean: Implications for Arctic climate variability on orbital time scales</t>
  </si>
  <si>
    <t>Arctic Ocean; Sediment stratigraphy; XRF data; Orbital tuning; Depositional regime; Beaufort Gyre; Transpolar Drift</t>
  </si>
  <si>
    <t>SEA-ICE; LATE PLEISTOCENE; MENDELEEV RIDGE; LOMONOSOV RIDGE; RECORD; PALEOCEANOGRAPHY; MANGANESE; STRATIGRAPHY; REGIMES; HISTORY</t>
  </si>
  <si>
    <t>We use sediment cores collected by the Chinese National Arctic Research Expeditions from the Alpha Ridge to advance Quaternary stratigraphy and paleoceanographic reconstructions for the Arctic Ocean. Our cores show a good litho/biostratigraphic correlation to sedimentary records developed earlier for the central Arctic Ocean, suggesting a recovered stratigraphic range of ca. 0.6 Ma, suitable for paleoclimatic studies on orbital time scales. This stratigraphy was tested by correlating the stacked Alpha Ridge record of bulk XRF manganese, calcium and zirconium (Mn, Ca, Zr), to global stable-isotope (LR04-delta O-18) and sea level stacks and tuning to orbital parameters. Correlation results corroborate the applicability of presumed climate/sea-level controlled Mn variations in the Arctic Ocean for orbital tuning. This approach enables better understanding of the global and orbital controls on the Arctic climate. Orbital tuning experiments for our records indicate strong eccentricity (100-kyr) and precession (similar to 20-kyr) controls on the Arctic Ocean, probably implemented via glaciations and sea ice. Provenance proxies like Ca and Zr are shown to be unsuitable as orbital tuning tools, but useful as indicators of glacial/deglacial processes and circulation patterns in the Arctic Ocean. Their variations suggest an overall long-term persistence of the Beaufort Gyre circulation in the Alpha Ridge region. Some glacial intervals, e.g., MIS 6 and 4/3, are predominated by material presumably transported by the Transpolar Drift. These circulation shifts likely indicate major changes in the Arctic climatic regime, which yet need to be investigated. Overall, our results demonstrate applicability of XRF data to paleoclimatic studies of the Arctic Ocean. (C) 2017 Elsevier Ltd. All rights reserved.</t>
  </si>
  <si>
    <t>[Wang, Rujian; Xiao, Wenshen; Wu, Li; Zhang, Taoliang; Sun, Yechen] Tongji Univ, State Key Lab Marine Geol, 1239 Siping Rd, Shanghai 200092, Peoples R China; [Polyak, Leonid] Ohio State Univ, Byrd Polar &amp; Climate Res Ctr, Columbus, OH 43210 USA; [Xu, Xiaomei] Univ Calif Irvine, Earth Syst Sci, Irvine, CA 92697 USA</t>
  </si>
  <si>
    <t>Tongji University; University System of Ohio; Ohio State University; University of California System; University of California Irvine</t>
  </si>
  <si>
    <t>Wang, RJ (corresponding author), Tongji Univ, State Key Lab Marine Geol, 1239 Siping Rd, Shanghai 200092, Peoples R China.</t>
  </si>
  <si>
    <t>rjwang@tongji.edu.cn</t>
  </si>
  <si>
    <t>WU, Li/KHX-2389-2024</t>
  </si>
  <si>
    <t>National Natural Science Foundation of China [41030859, 41776187]; Chinese Special Project of Arctic Ocean Marine Geology Investigation [CHINARE 2012-2017-03-02]; Ministry of Finance of China; US National Science Foundation [ARC-0806999, ARC-1304755]</t>
  </si>
  <si>
    <t>National Natural Science Foundation of China(National Natural Science Foundation of China (NSFC)); Chinese Special Project of Arctic Ocean Marine Geology Investigation; Ministry of Finance of China; US National Science Foundation(National Science Foundation (NSF))</t>
  </si>
  <si>
    <t>This work was funded by the National Natural Science Foundation of China under contract No. 41030859 and 41776187, the Chinese Special Project of Arctic Ocean Marine Geology Investigation under contract No. CHINARE 2012-2017-03-02. This work is part of the project Third and Fourth Chinese National Arctic Research Expeditions (CHINARE-2008 and 2010) supported by the Ministry of Finance of China and organized by the Chinese Arctic and Antarctic Administration (CAA). Also acknowledged is the core repository of the Polar Research Institute of China, for providing the sediment samples. L Polyak's contribution was supported by the US National Science Foundation awards ARC-0806999 and ARC-1304755. Thanks go to associated Prof. Wenbao Li for his help in the spectral analysis.</t>
  </si>
  <si>
    <t>10.1016/j.quascirev.2017.12.006</t>
  </si>
  <si>
    <t>FU9LU</t>
  </si>
  <si>
    <t>WOS:000424178200007</t>
  </si>
  <si>
    <t>Schoombie, S; Schoombie, J; Oosthuizen, A; Suleman, E; Jones, MGW; Pretorius, L; Dilley, BJ; Ryan, PG</t>
  </si>
  <si>
    <t>Schoombie, S.; Schoombie, J.; Oosthuizen, A.; Suleman, E.; Jones, M. G. W.; Pretorius, L.; Dilley, B. J.; Ryan, P. G.</t>
  </si>
  <si>
    <t>Avian pox in seabirds on Marion Island, southern Indian Ocean</t>
  </si>
  <si>
    <t>Avipoxvirus; disease; Procellariiformes; Sphenisciformes; sub-Antarctic</t>
  </si>
  <si>
    <t>POPULATION TRENDS; GIANT PETRELS; PENGUINS; ALBATROSSES; POXVIRUS; DISEASES; PREVALENCE; OUTBREAKS; NUMBERS; VIRUS</t>
  </si>
  <si>
    <t>Albatrosses are among the most threatened groups of seabirds with the main land-based threats being alien invasive species, human disturbance and habitat degradation. Disease outbreaks in Antarctic and sub-Antarctic seabird populations are uncommon, but in the past few decades there has been an increase in reported cases. The sub-Antarctic Prince Edward Islands (46 degrees S, 37 degrees E) in the south-western Indian Ocean provide breeding grounds for many seabird species, including 44% of all wandering albatrosses (Diomedea exulans L.). In 2015, five wandering albatrosses and two penguins (Eudyptes chrysocome Forster and Aptenodytes patagonicus Miller) with pox-like lesions were observed on Marion Island, the larger of the two Prince Edward Islands. Despite intensive study of the wandering albatross population since the 1980s, the only previous records of such lesions are one case in 2006 and another in 2009 in white-chinned petrels (Procellaria aequinoctialis L.). Molecular and phylogenetic analysis of tissue samples from two albatross chicks confirmed the presence of avian pox virus (Avipoxvirus). This highlights the need for research into the diseases present on sub-Antarctic islands, for strict controls to limit the risk of accidental introduction of diseases through human activities and the need for effective conservation measures in the event of an outbreak.</t>
  </si>
  <si>
    <t>[Schoombie, S.; Schoombie, J.; Jones, M. G. W.; Dilley, B. J.; Ryan, P. G.] Univ Cape Town, FitzPatrick Inst African Ornithol, DST NRF Ctr Excellence, ZA-7701 Rondebosch, South Africa; [Oosthuizen, A.; Suleman, E.] Natl Zool Gardens South Africa, Infect &amp; Parasit Dis Programme, Res &amp; Sci Serv, POB 754, ZA-0001 Pretoria, South Africa; [Pretorius, L.] Univ Pretoria, Mammal Res Inst, Dept Zool &amp; Entomol, ZA-0002 Pretoria, South Africa</t>
  </si>
  <si>
    <t>National Research Foundation - South Africa; University of Cape Town; National Research Foundation - South Africa; National Zoological Gardens of South Africa; University of Pretoria</t>
  </si>
  <si>
    <t>Schoombie, S (corresponding author), Univ Cape Town, FitzPatrick Inst African Ornithol, DST NRF Ctr Excellence, ZA-7701 Rondebosch, South Africa.</t>
  </si>
  <si>
    <t>schoombie@gmail.com</t>
  </si>
  <si>
    <t>Suleman, Essa/AAB-8496-2019</t>
  </si>
  <si>
    <t>Schoombie, Janine/0000-0001-5085-9516; Oosthuizen, Almero/0000-0002-9576-2635; Pretorius, Liezl Eleanore/0000-0003-1598-1270; Schoombie, Stefan/0000-0002-6566-0443; Suleman, Essa/0000-0002-2499-7381</t>
  </si>
  <si>
    <t>South African Department of Environmental Affairs, through the South African National Antarctic Programme (SANAP); National Research Foundation; University of Cape Town</t>
  </si>
  <si>
    <t>The authors thank Benoit Morkel, Pierre Joubert and Tegan Carpenter-Kling for assistance in the field. Janelle Ward provided valuable advice on field identification and sampling techniques. Emily Mitchell provided valuable comments during manuscript preparation. Helene Brettschneider kindly provided the primers used for phylogenetic analysis. Logistical and financial support was provided by the South African Department of Environmental Affairs, through the South African National Antarctic Programme (SANAP), the National Research Foundation and the University of Cape Town. Eric VanderWerf and another anonymous reviewer provided useful comments on a previous draft of this manuscript.</t>
  </si>
  <si>
    <t>10.1017/S0954102017000347</t>
  </si>
  <si>
    <t>FU7MY</t>
  </si>
  <si>
    <t>WOS:000424037400002</t>
  </si>
  <si>
    <t>Pertierra, LR; Lara, F; Benayas, J; Lewis-Smith, RI; Hughes, KA</t>
  </si>
  <si>
    <t>Pertierra, Luis R.; Lara, Francisco; Benayas, Javier; Lewis-Smith, Ronald I.; Hughes, Kevin A.</t>
  </si>
  <si>
    <t>Conflicting science requirements impact on rare moss conservation measures</t>
  </si>
  <si>
    <t>bryophyte; conflict of values; human impact; Maritime Antarctica; single-island endemic; threatened species</t>
  </si>
  <si>
    <t>SOUTH SANDWICH ISLANDS; DECEPTION ISLAND; ANTARCTICA; AREA</t>
  </si>
  <si>
    <t>The Antarctic Treaty recognizes the outstanding scientific values of the Antarctic environment through the designation of Antarctic Specially Protected Areas (ASPAs) that have rigorous management plans specific to each site. Deception Island has the largest concentration of rare bryophyte species and communities in Antarctica, while also offering substantial opportunities for research in a range of scientific disciplines due to its volcanic nature. As a result, conflicts between research interests and conservation goals may arise. On the summit ridge of Caliente Hill severe trampling damage to the moss assemblages growing in association with localized geothermal activity was observed. The range of species affected included the entire known population of Schistidium deceptionense, an endemic moss known only from this site, as well as other very rare Antarctic mosses (Ditrichum ditrichoideum, Bryum orbiculatifolium, Bucklandiella subcrispipila, Pohlia wahlenbergii and Dicranella hookeri). A photomapping study was undertaken to characterize further the status of the site and monitor changes within it. Increased awareness, co-ordination of activities and a spatial zoning within the site could help mitigate damage from permitted activities. Nevertheless, prioritization of longer term conservation goals over short-term research interests may ultimately be necessary where local human impact cannot be managed by other means.</t>
  </si>
  <si>
    <t>[Pertierra, Luis R.] MNCN, Dept Biogeog &amp; Cambio Global, C Jose Gutierrez Abascal 2, Madrid 28006, Spain; [Lara, Francisco] Univ Autonoma Madrid, Dept Biol Bot, Calle Darwin 2, E-28049 Madrid, Spain; [Benayas, Javier] Univ Autonoma Madrid, Dept Ecol, Calle Darwin 2, E-28049 Madrid, Spain; [Lewis-Smith, Ronald I.] Ctr Antarctic Plant Ecol &amp; Divers, Moffat DG10 9LB, Scotland; [Hughes, Kevin A.] British Antarctic Survey, NERC, Madingley Rd, Cambridge CB3 0ET, England</t>
  </si>
  <si>
    <t>Autonomous University of Madrid; Autonomous University of Madrid; UK Research &amp; Innovation (UKRI); Natural Environment Research Council (NERC); NERC British Antarctic Survey</t>
  </si>
  <si>
    <t>Pertierra, LR (corresponding author), MNCN, Dept Biogeog &amp; Cambio Global, C Jose Gutierrez Abascal 2, Madrid 28006, Spain.</t>
  </si>
  <si>
    <t>Luis.pertierra@gmail.com</t>
  </si>
  <si>
    <t>Hughes, Kevin/JVZ-0793-2024; Pertierra, Luis R./K-3727-2017; Benayas Del Alamo, Fco. Javier/E-5663-2017; Lara Garcia, Francisco/I-3003-2014</t>
  </si>
  <si>
    <t>Pertierra, Luis R./0000-0002-2232-428X; Benayas Del Alamo, Fco. Javier/0000-0002-5906-9569; Lara Garcia, Francisco/0000-0002-1665-5277</t>
  </si>
  <si>
    <t>Spanish National Polar Programme [MIDAH CTM2010-11013]; Spanish Ministry of Economy and Competitiveness (MINECO) [CGL2014-56416-P]; NERC [bas010011] Funding Source: UKRI</t>
  </si>
  <si>
    <t>Spanish National Polar Programme; Spanish Ministry of Economy and Competitiveness (MINECO); NERC(UK Research &amp; Innovation (UKRI)Natural Environment Research Council (NERC))</t>
  </si>
  <si>
    <t>This study was part of the MIDAH CTM2010-11013 project financed by the Spanish National Polar Programme. Our deepest gratitude goes to Olga Lopez-Hilzinger for her photometric skills and continuous support on producing the photo-assemblages. Thanks also to all the Spanish researchers working in the area for sharing their valuable thoughts. In particular, special thanks to Dr Amos Gil. We are also indebted to Peter Convey for his valuable insight. We are very grateful to Ryszard Ochyra for critical review of the specimens. We also thank Graciela de Diego for field support. LRP was partially supported by a contract associated to the project NICHEAPPS (CGL2014-56416-P) from the Spanish Ministry of Economy and Competitiveness (MINECO). This paper contributes to the BAS Polar Science for Planet Earth programme, the BAS Environment Office Long-Term Monitoring and Survey project and SCAR's State of the Antarctic Ecosystem research programme. Tanya O'Neill, David Walton and one anonymous reviewer are acknowledged for their comments which greatly improved the manuscript.</t>
  </si>
  <si>
    <t>10.1017/S0954102017000360</t>
  </si>
  <si>
    <t>WOS:000424037400003</t>
  </si>
  <si>
    <t>Antelo, V; Guerout, AM; Mazel, D; Romero, V; Sotelo-Silveira, J; Batista, S</t>
  </si>
  <si>
    <t>Antelo, Veronica; Guerout, Anne Marie; Mazel, Didier; Romero, Valeria; Sotelo-Silveira, Jose; Batista, Silvia</t>
  </si>
  <si>
    <t>Bacteria from Fildes Peninsula carry class 1 integrons and antibiotic resistance genes in conjugative plasmids</t>
  </si>
  <si>
    <t>drug resistance; integrase; Maritime Antarctica; psychrotolerant</t>
  </si>
  <si>
    <t>CASSETTES</t>
  </si>
  <si>
    <t>A total of 63 psychrotolerant bacteria exhibiting resistance to various antibiotics, such as ampicillin, streptomycin and/or trimethoprim, were isolated from diverse sites varying in terms of human influence, from obvious presence to probable absence, on Fildes Peninsula (King George Island, South Shetland Islands). The presence of class 1 integrons in some of these antibiotic resistant isolates was further determined. Plasmids from two isolates (HP19 and CN11) were transferred to Escherichia coli DH5 alpha by conjugation. Sequence analysis of the plasmid from the HP19 isolate exhibited high similarity (similar to 99%) to plasmid p34998-210.894kb of Enterobacter hormaechei subsp. steigerwaltii of clinical origin and confirmed the presence of a dfrA14 cassette in a class 1 integron context. 16S rRNA gene sequence analysis of five of these psychrotolerant isolates indicated similarity with environmental bacteria previously identified as Enterobacter species. Together, these results confirm that there may be no pristine niches for antibiotic resistance gene dissemination.</t>
  </si>
  <si>
    <t>[Antelo, Veronica; Batista, Silvia] Inst Invest Biol Clemente Estable, Unidad Microbiol Mol, Montevideo 11600, Uruguay; [Guerout, Anne Marie; Mazel, Didier] Inst Pasteur, Unite Plasticite Genome Bacterien, Dept Genomes &amp; Genet, Paris, France; [Guerout, Anne Marie; Mazel, Didier] CNRS, UMR3525, Paris, France; [Romero, Valeria; Sotelo-Silveira, Jose] Inst Invest Biol Clemente Estable, Dept Genom, Montevideo 11600, Uruguay</t>
  </si>
  <si>
    <t>Instituto de Investigaciones Biologicas Clemente Estable Uruguay; Le Reseau International des Instituts Pasteur (RIIP); Universite Paris Cite; Institut Pasteur Paris; Le Reseau International des Instituts Pasteur (RIIP); Universite Paris Cite; Institut Pasteur Paris; Centre National de la Recherche Scientifique (CNRS); CNRS - National Institute for Biology (INSB); Instituto de Investigaciones Biologicas Clemente Estable Uruguay</t>
  </si>
  <si>
    <t>Batista, S (corresponding author), Inst Invest Biol Clemente Estable, Unidad Microbiol Mol, Montevideo 11600, Uruguay.</t>
  </si>
  <si>
    <t>sbatista@iibce.edu.uy</t>
  </si>
  <si>
    <t>Batista, Silvia/HKO-7008-2023; Batista, Silvia/ITO-0781-2023; ANTELO, VERONICA/AAK-3715-2021; Mazel, Didier/F-9200-2013</t>
  </si>
  <si>
    <t>Batista, Silvia/0000-0002-8702-6566; Mazel, Didier/0000-0001-6482-6002; Sotelo-Silveira, Jose Roberto/0000-0002-4758-8556</t>
  </si>
  <si>
    <t>Instituto Antartico Uruguayo; ANII (Agencia Nacional de Investigacion e Innovacion); AMSUD Pasteur; PEDECIBA-Biologia (Programa de Ciencias Basicas); Fondo Conjunto de Cooperacion Mexico-Uruguay [URU 13/001]</t>
  </si>
  <si>
    <t>Instituto Antartico Uruguayo; ANII (Agencia Nacional de Investigacion e Innovacion); AMSUD Pasteur; PEDECIBA-Biologia (Programa de Ciencias Basicas); Fondo Conjunto de Cooperacion Mexico-Uruguay</t>
  </si>
  <si>
    <t>This work was supported by Instituto Antartico Uruguayo, ANII (Agencia Nacional de Investigacion e Innovacion), AMSUD Pasteur, PEDECIBA-Biologia (Programa de Ciencias Basicas) and Fondo Conjunto de Cooperacion Mexico-Uruguay (URU 13/001). We thank Paul R. Gill and Hector Romero for discussion and technical reading of the manuscript. We would like to thank the reviewers for their comments and corrections on the paper.</t>
  </si>
  <si>
    <t>10.1017/S0954102017000414</t>
  </si>
  <si>
    <t>WOS:000424037400004</t>
  </si>
  <si>
    <t>Evans, KR; McKenna, LW; Lieberman, BS; Weichert, WD; Macleod, KG</t>
  </si>
  <si>
    <t>Evans, Kevin Ray; McKenna, Lawrence W., III; Lieberman, Bruce S.; Weichert, Wesley Donald; Macleod, Kenneth G.</t>
  </si>
  <si>
    <t>Geology of the Nelson Limestone, Postel Nunatak, Patuxent Range, Antarctica</t>
  </si>
  <si>
    <t>Hannah Ridge Formation; middle Cambrian; Nelson Limestone; Patuxent Formation; Pensacola Mountains; Series 3</t>
  </si>
  <si>
    <t>PENSACOLA MOUNTAINS; CAMBRIAN TRILOBITES; NEPTUNE RANGE; DEFORMATION; ROSS; CONSTRAINTS; SEA; AGE</t>
  </si>
  <si>
    <t>Postel Nunatak in the Patuxent Range has been previously mapped as Nelson Limestone but there was no biostratigraphic support for that interpretation until now. We confirm that limestone exposures at Postel Nunatak are at least partly correlated with the Nelson Limestone of the Neptune Range, 160 km north-east, and are not correlative with the lower Cambrian Schneider Hills Limestone of the Argentina Range. Upper beds have yielded the trilobites Suludella? davnii Palmer &amp; Gatehouse, 1972 and Solenopleura pruina Palmer &amp; Gatehouse, 1972, which provide a basis for assignment to Cambrian Series 3 (late middle Cambrian), within the Drumian or lower Guzhangian stages. Limestone beds were deposited in a shallow marine setting, ranging from supratidal to lagoonal facies with rare subtidal intervals. These settings contrast with deeper water facies of the Neptune Range. Despite limitations in sampling density, isotopic analysis indicates that a greater than +2.5% shift in delta C-13 is consistent with delta C-13 trends documented for the Drumian Stage. Because the upper and lower contacts at Postel Nunatak are covered by snow and ice, the relationship with rocks mapped as the Patuxent Formation in the Patuxent Range remains uncertain, but part of it may belong to the Precambrian Hannah Ridge Formation.</t>
  </si>
  <si>
    <t>[Evans, Kevin Ray; Weichert, Wesley Donald] Missouri State Univ, Dept Geog Geol &amp; Planning, 901 S Natl Ave, Springfield, MO 65897 USA; [McKenna, Lawrence W., III] Framingham State Univ, Dept Phys &amp; Earth Sci, 100 State St,POB 9101, Framingham, MA 01701 USA; [Lieberman, Bruce S.] Univ Kansas, Dept Ecol &amp; Evolutionary Biol, 1345 Jayhawk Blvd, Lawrence, KS 66045 USA; [Lieberman, Bruce S.] Univ Kansas, Biodivers Inst, 1345 Jayhawk Blvd, Lawrence, KS 66045 USA; [Macleod, Kenneth G.] Univ Missouri, Dept Geol Sci, 101 Geol Sci Bldg, Columbia, MO 65211 USA</t>
  </si>
  <si>
    <t>Missouri State University; Massachusetts System of Public Higher Education; Framingham State College; University of Kansas; University of Kansas; University of Missouri System; University of Missouri Columbia</t>
  </si>
  <si>
    <t>Evans, KR (corresponding author), Missouri State Univ, Dept Geog Geol &amp; Planning, 901 S Natl Ave, Springfield, MO 65897 USA.</t>
  </si>
  <si>
    <t>kevinevans@missouristate.edu</t>
  </si>
  <si>
    <t>MacLeod, Kenneth/GWU-8940-2022; MacLeod, Kenneth Gillies/C-4042-2017</t>
  </si>
  <si>
    <t>MacLeod, Kenneth Gillies/0000-0002-6016-0837; Lieberman, Bruce/0000-0002-4353-7874</t>
  </si>
  <si>
    <t>National Science Foundation Office of Polar Programs [DPP 9117444, OPP-9909302]</t>
  </si>
  <si>
    <t>National Science Foundation Office of Polar Programs(National Science Foundation (NSF)NSF - Directorate for Geosciences (GEO))</t>
  </si>
  <si>
    <t>This work was made possible through grants from the National Science Foundation Office of Polar Programs, numbers DPP 9117444 and OPP-9909302 to the University of Kansas. We are grateful to the staff and contractors serving the US Antarctic Program McMurdo Station for their mission support. We also want to thank our pilot Harry Hanlan and his flight crew from Kenn Borek Air for their support in the deep field. We thank reviewers and editors of the manuscript for their thoughtful comments, which greatly improved this paper. We are grateful to Julien Kimmig for facilitating the loan of specimens and also assistance with specimen photography, and also to the Departments of Ecology &amp; Evolutionary Biology and Geology for providing resources. Evans was supported for writing and further investigation of the material presented here during sabbatical leave from Missouri State University; he is grateful for assistance with arranging the sabbatical from the Graduate College, College of Natural and Applied Sciences, and Department of Geography, Geology, and Planning. He also thanks Sara Ratcliffe for assistance scanning black and white film, along with various colleagues at the University of Swansea for resource support during the course of his sabbatical.</t>
  </si>
  <si>
    <t>10.1017/S0954102017000396</t>
  </si>
  <si>
    <t>WOS:000424037400005</t>
  </si>
  <si>
    <t>Further evidence for two metamorphical events in the Mawson Continent</t>
  </si>
  <si>
    <t>Cape Denison; Kimban; P-T pseudosection; Sleaford; U-Pb monazite geochronology</t>
  </si>
  <si>
    <t>SOUTHEASTERN GAWLER CRATON; EAST ANTARCTICA; U-PB; SOUTH-AUSTRALIA; PALEOPROTEROZOIC TECTONICS; PETROLOGICAL INTEREST; GEOCHRONOLOGY; CONSTRAINTS; EVOLUTION; MONAZITE</t>
  </si>
  <si>
    <t>In this study, in situ and erratic samples from George V Coast (East Antarctica) and southern Eyre Peninsula (Australia) have been used to characterize the microstructural, pressure-temperature and geochronological record of upper amphibolite and granulite facies polymetamorphism in the Mawson Continent to provide insight into the spatial distribution of reworking and the subice geology of the Mawson Continent. Monazite U-Pb data shows that in situ samples from the George V Coast record exclusively 2450-2400 Ma ages, whereas most erratic samples from glacial moraines at Cape Denison and the Red Banks Charnockite record only 1720-1690 Ma ages, consistent with known ages of the Sleaford and Kimban events, respectively. Phase equilibria forward modelling reveals considerable overlap of the thermal character of these two events. Samples with unimodal 1720-1690 Ma Kimban ages reflect either formation after the Sleaford event or complete metamorphical overprinting. Rocks recording only 2450-2400 Ma ages were unaffected by the younger Kimban event, perhaps as a result of unreactive rock compositions inherited from the Sleaford event. Our results suggest the subice geology of the Mawson Continent is a pre-Sleaford-aged terrane with a cover sequence reworked during the Kimban event.</t>
  </si>
  <si>
    <t>[Williams, Megan A.; Kelsey, David E.; Hand, Martin; Morrissey, Laura J.; Tucker, Naomi M.; Dutch, Rian A.] Univ Adelaide, Sch Phys Sci, Dept Earth Sci, Adelaide, SA 5005, Australia; [Raimondo, Tom; Morrissey, Laura J.] Univ South Australia, Sch Nat &amp; Built Environm, Adelaide, SA 5001, Australia; [Dutch, Rian A.] Dept State Dev, Geol Survey South Australia, Level 7,101 Grenfell St, Adelaide, SA 5000, Australia</t>
  </si>
  <si>
    <t>University of Adelaide; University of South Australia</t>
  </si>
  <si>
    <t>Williams, MA (corresponding author), Univ Adelaide, Sch Phys Sci, Dept Earth Sci, Adelaide, SA 5005, Australia.</t>
  </si>
  <si>
    <t>megan.williams@adelaide.edu.au</t>
  </si>
  <si>
    <t>Kelsey, David E/D-3676-2009; Raimondo, Tom/F-3766-2013</t>
  </si>
  <si>
    <t>Raimondo, Tom/0000-0001-9115-9196; hand, martin/0000-0003-3743-9706; Morrissey, Laura/0000-0001-7506-6117; Tucker, Naomi/0000-0002-6795-0903</t>
  </si>
  <si>
    <t>Australian Government Research Training Program Scholarship from the University of South Australia; Vacation Research Scholarship from the University of South Australia; [DP160101006]; [4191]</t>
  </si>
  <si>
    <t>Australian Government Research Training Program Scholarship from the University of South Australia; Vacation Research Scholarship from the University of South Australia; ;</t>
  </si>
  <si>
    <t>The authors thank P. Pitra, F. Korhonen, S. Harley and J. Halpin for helpful and insightful reviews that greatly improved the quality of this manuscript. C. Atkin is thanked for swift editorial handling. Thanks are due to the staff at Adelaide Microscopy for their assistance with analytical work and S. Mertzman at Franklin and Marshall College for geochemical analysis. This work was supported by DP160101006 and forms a contribution to AAS project 4191. An Australian Government Research Training Program Scholarship and a Vacation Research Scholarship from the University of South Australia supported MAW. RAD publishes with the permission of the Director, Geological Survey of South Australia.</t>
  </si>
  <si>
    <t>10.1017/S0954102017000451</t>
  </si>
  <si>
    <t>WOS:000424037400006</t>
  </si>
  <si>
    <t>Williams, KE; Heldmann, JL; McKay, CP; Mellon, MT</t>
  </si>
  <si>
    <t>Williams, K. E.; Heldmann, J. L.; McKay, Christopher P.; Mellon, Michael T.</t>
  </si>
  <si>
    <t>The effects of snow and salt on ice table stability in University Valley, Antarctica</t>
  </si>
  <si>
    <t>ground ice; McMurdo Dry Valleys; palaeoclimate; permafrost</t>
  </si>
  <si>
    <t>MCMURDO DRY VALLEYS; GROUND ICE; BEACON VALLEY; GLACIER ICE; PERMAFROST; MARS; SUBLIMATION; DEPTH; MOUNTAINS; SURVIVAL</t>
  </si>
  <si>
    <t>The Antarctic Dry Valleys represent a unique environment where it is possible to study dry permafrost overlaying an ice-rich permafrost. In this paper, two opposing mechanisms for ice table stability in University Valley are addressed: i) diffusive recharge via thin seasonal snow deposits and ii) desiccation via salt deposits in the upper soil column. A high-resolution time-marching soil and snow model was constructed and applied to University Valley, driven by meteorological station atmospheric measurements. It was found that periodic thin surficial snow deposits (observed in University Valley) are capable of drastically slowing (if not completely eliminating) the underlying ice table ablation. The effects of NaCl, CaCl2 and perchlorate deposits were then modelled. Unlike the snow cover, however, the presence of salt in the soil surface (but no periodic snow) results in a slight increase in the ice table recession rate, due to the hygroscopic effects of salt sequestering vapour from the ice table below. Near-surface pore ice frequently forms when large amounts of salt are present in the soil due to the suppression of the saturation vapour pressure. Implications for Mars high latitudes are discussed.</t>
  </si>
  <si>
    <t>[Williams, K. E.] Montana State Univ, Dept Earth Sci, Bozeman, MT 59717 USA; [Williams, K. E.] US Geol Survey, Astrogeol Sci Ctr, Flagstaff, AZ 86001 USA; [Heldmann, J. L.; McKay, Christopher P.] NASA, Ames Res Ctr, Div Space Sci &amp; Astrobiol, Moffett Field, CA 94035 USA; [Mellon, Michael T.] Johns Hopkins Univ, Appl Phys Lab, Planetary Explorat Grp, Johns Hopkins Rd, Laurel, MD 20723 USA</t>
  </si>
  <si>
    <t>Montana State University System; Montana State University Bozeman; United States Department of the Interior; United States Geological Survey; National Aeronautics &amp; Space Administration (NASA); NASA Ames Research Center; Johns Hopkins University; Johns Hopkins University Applied Physics Laboratory</t>
  </si>
  <si>
    <t>Williams, KE (corresponding author), Montana State Univ, Dept Earth Sci, Bozeman, MT 59717 USA.;Williams, KE (corresponding author), US Geol Survey, Astrogeol Sci Ctr, Flagstaff, AZ 86001 USA.</t>
  </si>
  <si>
    <t>Kaj.williams@gmail.com</t>
  </si>
  <si>
    <t>Mellon, Michael T/C-3456-2016</t>
  </si>
  <si>
    <t>Williams, Kaj/0000-0003-1755-1872; McKay, Christopher/0000-0002-6243-1362</t>
  </si>
  <si>
    <t>NASA's Planetary Geology and Geophysics Program [NNX14AE01A]; NASA [685586, NNX14AE01A] Funding Source: Federal RePORTER</t>
  </si>
  <si>
    <t>NASA's Planetary Geology and Geophysics Program(National Aeronautics &amp; Space Administration (NASA)); NASA(National Aeronautics &amp; Space Administration (NASA))</t>
  </si>
  <si>
    <t>This study was supported by NASA's Planetary Geology and Geophysics Program through grant NNX14AE01A. We thank two anonymous reviewers for their helpful comments on the paper. Any use of trade, firm or product names is for descriptive purposes only and does not imply endorsement by the US Government.</t>
  </si>
  <si>
    <t>10.1017/S0954102017000402</t>
  </si>
  <si>
    <t>WOS:000424037400007</t>
  </si>
  <si>
    <t>Alexander, KA; Freeman, S; Angel, DL</t>
  </si>
  <si>
    <t>Alexander, K. A.; Freeman, S.; Angel, D. L.</t>
  </si>
  <si>
    <t>Public attitudes and decision making in environmental resource planning - a perception gap</t>
  </si>
  <si>
    <t>Perception gap; Public attitudes; Natural resources; Sustainability; Governance</t>
  </si>
  <si>
    <t>TROPHIC AQUACULTURE IMTA; CONFLICT; MANAGEMENT; STAKEHOLDERS; COMMUNITIES; KNOWLEDGE; EUROPE; VALUES; SALMON</t>
  </si>
  <si>
    <t>Recent research has suggested that decision makers may misunderstand public attitudes regarding natural resource use. Using research on Integrated Multi-trophic Aquaculture (IMTA) in six European countries, we illustrate one case in which this is true. We describe two studies: one revealing stakeholders' beliefs about the environmental sustainability of IMTA in addition to their beliefs regarding public perceptions of the same; and a second investigating perceptions held by the public. In comparing the studies, we identified a gap between what decision-makers believe the public perceives and what the public actually perceives. There is reason to believe that this phenomenon is not sector-specific because policy and planning mechanisms for incorporating the views of stakeholders and the larger public tend to be the similar, regardless of sector. This may cause a dilemma for developing natural-resource based industries, as well as public policy. For this reason, we suggest, as an alternative to over-reliance on citizens' initiative, making greater use of mechanisms that actively elicit opinions, such as deliberative consultation/engagement models that both inform and elicit pReferences.</t>
  </si>
  <si>
    <t>[Alexander, K. A.] Univ Tasmania, Ctr Marine Socioecol, Private Bag 129, Hobart, Tas 7001, Australia; [Alexander, K. A.] Univ Tasmania, Inst Marine &amp; Antarctic Studies, Private Bag 129, Hobart, Tas 7001, Australia; [Freeman, S.; Angel, D. L.] Univ Haifa, Recanati Inst Maritime Studies, IL-31905 Haifa, Israel; [Angel, D. L.] Univ Haifa, Leon Charney Sch Marine Sci, Dept Maritime Civilizat, IL-31905 Haifa, Israel</t>
  </si>
  <si>
    <t>University of Tasmania; University of Tasmania; University of Haifa; University of Haifa</t>
  </si>
  <si>
    <t>Alexander, KA (corresponding author), Univ Tasmania, Ctr Marine Socioecol, Private Bag 129, Hobart, Tas 7001, Australia.</t>
  </si>
  <si>
    <t>Karen.Alexander@utas.edu.au</t>
  </si>
  <si>
    <t>Freeman, Shirra/HLV-7741-2023; Alexander, Karen/O-7042-2017</t>
  </si>
  <si>
    <t>Freeman, Shirra/0000-0001-8885-2125; Alexander, Karen/0000-0001-8801-413X</t>
  </si>
  <si>
    <t>European Union's Seventh Framework Programme (FP7) [308571]</t>
  </si>
  <si>
    <t>European Union's Seventh Framework Programme (FP7)(European Union (EU))</t>
  </si>
  <si>
    <t>The authors would like to thank the two anonymous reviewers for their in-depth and thoughtful comments. The research leading to these results was undertaken as part of the IDREEM project (Increasing Industrial Resource Efficiency in European Mariculture, www.idreem.eu) and has received funding from the European Union's Seventh Framework Programme (FP7/2007-2013) under grant agreement no. 308571. The funding source played no role in the research.</t>
  </si>
  <si>
    <t>10.1016/j.envsci.2017.11.012</t>
  </si>
  <si>
    <t>FU1VZ</t>
  </si>
  <si>
    <t>WOS:000423638900005</t>
  </si>
  <si>
    <t>Leitner, J; Hoppe, P; Zipfel, J</t>
  </si>
  <si>
    <t>Leitner, Jan; Hoppe, Peter; Zipfel, Jutta</t>
  </si>
  <si>
    <t>A study of presolar material in hydrated lithic clasts from metal-rich carbonaceous chondrites</t>
  </si>
  <si>
    <t>INTERPLANETARY DUST PARTICLES; SILICON-CARBIDE GRAINS; RED GIANT STARS; ISOTOPIC COMPOSITIONS; AQUEOUS ALTERATION; ORGANIC-MATTER; NITROGEN ISOTOPE; SOLAR-SYSTEM; AGB STARS; REFRACTORY INCLUSIONS</t>
  </si>
  <si>
    <t>We report on the investigation of presolar grain inventories of hydrated lithic clasts in three metal-rich carbonaceous chondrites from the CR clan, Acfer 182 (CH3), Isheyevo (CH3/CB(b)3), and Lewis Cliff (LEW) 85332 (C3-un), as well as the carbon- and nitrogen-isotopic compositions of the fine-grained clast material. Eleven presolar silicate grains as well as nine presolar silicon carbide (SiC) grains were identified in the clasts. Presolar silicate abundances range from 4 to 22 parts per million (ppm), significantly lower than in pristine meteorites and interplanetary dust particles (IDP), and comparable to recent findings for CM2s and CR2 interchondrule matrix. SiC concentrations lie between 9 and 23ppm, and are comparable to the values for CI, CM, and CR chondrites. The results of our investigation suggest similar alteration pathways for the clast material, the interchondrule matrix of the CR2 chondrites, and the fine-grained fraction of CM2 chondrites. Fine-grained matter of all three meteorites contains moderate to high N-15-enrichments (similar to 50 parts per thousand N-15 similar to 1600 parts per thousand) compared to the terrestrial value, indicating the presence of primitive organic material. We observed no correlation between N-15-enrichments and presolar dust concentrations in the clasts. This is in contrast to the findings from a suite of primitive IDPs, which display in several cases enhanced bulk N-15/N-14 ratios and high presolar grain abundances of several hundred or even thousand ppm. The bulk N-15/N-14 ratios of the clasts are comparable to the range for primitive IDPs, suggesting a nitrogen carrier less susceptible to destruction by aqueous alteration than silicate stardust.</t>
  </si>
  <si>
    <t>[Leitner, Jan; Hoppe, Peter] Max Planck Inst Chem, Particle Chem Dept, Hahn Meitner Weg 1, D-55128 Mainz, Germany; [Zipfel, Jutta] Forschungsinst, Sekt Meteoritenforsch, Senckenberganlage 25, D-60325 Frankfurt, Germany; [Zipfel, Jutta] Nat Museum Senckenberg, Senckenberganlage 25, D-60325 Frankfurt, Germany</t>
  </si>
  <si>
    <t>Max Planck Society; Senckenberg Gesellschaft fur Naturforschung (SGN)</t>
  </si>
  <si>
    <t>Leitner, J (corresponding author), Max Planck Inst Chem, Particle Chem Dept, Hahn Meitner Weg 1, D-55128 Mainz, Germany.</t>
  </si>
  <si>
    <t>jan.leitner@mpic.de</t>
  </si>
  <si>
    <t>Hoppe, Peter/B-3032-2015; Leitner, Jan/A-7391-2015</t>
  </si>
  <si>
    <t>Hoppe, Peter/0000-0003-3681-050X; Leitner, Jan/0000-0003-3655-6273</t>
  </si>
  <si>
    <t>DFG through SPP 1385 [HO 2163/1-1, HO 2163/1-2, LE 3279/1-1, ZI 1196/1-1, ZI 1196/1-2]; NSF; NASA</t>
  </si>
  <si>
    <t>DFG through SPP 1385; NSF(National Science Foundation (NSF)); NASA(National Aeronautics &amp; Space Administration (NASA))</t>
  </si>
  <si>
    <t>We acknowledge support by DFG through SPP 1385 (Grants HO 2163/1-1&amp;2, LE 3279/1-1, and ZI 1196/1-1&amp;2). We thank Elmar Groner for technical support on the NanoSIMS, Joachim Huth and Antje Sorowka for help with the SEM analyses, Dimitri Kuzmin for support on the Electron Microprobe, and Addi Bischoff from the Institute for Planetology in Munster for making the Acfer 182 sample available for this study. US Antarctic meteorite samples are recovered by the Antarctic Search for Meteorites (ANSMET) program which has been funded by NSF and NASA, and characterized and curated by the Department of Mineral Sciences of the Smithsonian Institution and Astromaterials Curation Office at NASA Johnson Space Center. We appreciate the constructive reviews by Ann Nguyen and Henner Busemann, which helped to improve the quality of the manuscript. This research has made use of NASA's Astrophysics Data System.</t>
  </si>
  <si>
    <t>10.1111/maps.12994</t>
  </si>
  <si>
    <t>FU4WD</t>
  </si>
  <si>
    <t>WOS:000423852400004</t>
  </si>
  <si>
    <t>Imae, N; Nakamuta, Y</t>
  </si>
  <si>
    <t>Imae, Naoya; Nakamuta, Yoshihiro</t>
  </si>
  <si>
    <t>A new mineralogical approach for CO3 chondrite characterization by X-ray diffraction: Identification of primordial phases and thermal history</t>
  </si>
  <si>
    <t>CARBONACEOUS-CHONDRITE; FE-NI; MODAL MINERALOGY; METAMORPHISM; METAL; TEMPERATURES; METEORITES; ASTEROIDS; DIFFUSION; PETROLOGY</t>
  </si>
  <si>
    <t>Using the in-plane rotation of polished thin section, the X-ray diffraction patterns exhibiting a high degree of randomness similar to powder pattern were obtained for 10 CO3 chondrites, which distinguished 130 reflections of olivine in the chondrules from that in the matrix, and showed systematic differences among subtypes based on the full width at half maximum intensity of two olivine 130 peaks. A lower petrologic subtype is characterized by sharp and strong peaks for forsteritic olivines in type I chondrules and by a weak and broad peak for ferroan matrices, and the higher petrologic subtypes are characterized by sharp and strong peaks for recrystallized matrices and a weakened or absent peak of magnesian olivines. The systematic change in the split peak of olivine 130 was linked with the mean diffusion length of Mg-Fe in olivine phenocrysts in type I chondrules. Fe-Ni diffusion in metals was considered to estimate the peak temperature of CO3.0, near the surface on the parent body. The peak metamorphic temperatures were estimated to be similar to 600-910K using the onion-shell model when the cooling time was 10(6)-10(8)yr on the parent body. A weak peak for ferroan olivine of CO3.0 suggests the amorphous silicate in matrices. The modal abundance of the amorphous Fe-silicate for subtype 3.0 (15% for Allan Hills [ALH] 77307 and 9% for Yamato [Y]-81020) was also evaluated from the deviation in trend of the relative peak ratios of the Fe-rich (Fa(25)) and Mg-rich (</t>
  </si>
  <si>
    <t>[Imae, Naoya] Natl Inst Polar Res, Antarctic Meteorite Res Ctr, 10-3 Midori Cho, Tachikawa, Tokyo 1908518, Japan; [Imae, Naoya] SOKENDAI, Dept Polar Sci, Sch Multidisciplinary Sci, 10-3 Midori Cho, Tachikawa, Tokyo 1908518, Japan; [Nakamuta, Yoshihiro] Kyushu Univ, Kyushu Univ Museum, 6-10-1 Hakozaki, Fukuoka 8128581, Japan</t>
  </si>
  <si>
    <t>Research Organization of Information &amp; Systems (ROIS); National Institute of Polar Research (NIPR) - Japan; Kyushu University</t>
  </si>
  <si>
    <t>Imae, N (corresponding author), Natl Inst Polar Res, Antarctic Meteorite Res Ctr, 10-3 Midori Cho, Tachikawa, Tokyo 1908518, Japan.;Imae, N (corresponding author), SOKENDAI, Dept Polar Sci, Sch Multidisciplinary Sci, 10-3 Midori Cho, Tachikawa, Tokyo 1908518, Japan.</t>
  </si>
  <si>
    <t>imae@nipr.ac.jp</t>
  </si>
  <si>
    <t>National Institute of Polar Research (NIPR); Grants-in-Aid for Scientific Research [17K05721] Funding Source: KAKEN</t>
  </si>
  <si>
    <t>National Institute of Polar Research (NIPR)(National Institute of Polar Research (NIPR) - Japan); Grants-in-Aid for Scientific Research(Ministry of Education, Culture, Sports, Science and Technology, Japan (MEXT)Japan Society for the Promotion of ScienceGrants-in-Aid for Scientific Research (KAKENHI))</t>
  </si>
  <si>
    <t>The authors are grateful to Dr. K. Righter for the editorial handing of the paper, and to Dr. K. T. Howard and an anonymous referee for their constructive reviews. The authors are also grateful to Dr. Shugo Ohi at Shiga University for the X-ray diffraction analysis of the clinoenstatite, and to Em. Prof. Kitamura at Kyoto University and Dr. Mikouchi at the University of Tokyo for fruitful discussions. The authors are also grateful to Prof. Kimura at Ibaraki University for reading the manuscript. The production of this paper was partly supported by a publication subsidy from the National Institute of Polar Research (NIPR).</t>
  </si>
  <si>
    <t>10.1111/maps.12996</t>
  </si>
  <si>
    <t>WOS:000423852400005</t>
  </si>
  <si>
    <t>Shprits, YY; Horne, RB; Kellerman, AC; Drozdov, AY</t>
  </si>
  <si>
    <t>Shprits, Yuri Y.; Horne, Richard B.; Kellerman, Adam C.; Drozdov, Alexander Y.</t>
  </si>
  <si>
    <t>The dynamics of Van Allen belts revisited</t>
  </si>
  <si>
    <t>NATURE PHYSICS</t>
  </si>
  <si>
    <t>RADIATION BELTS; ELECTRONS; HEART</t>
  </si>
  <si>
    <t>[Shprits, Yuri Y.] GFZ, German Res Ctr Geosci, Helmholtz Ctr Potsdam, D-14473 Potsdam, Germany; [Shprits, Yuri Y.] Univ Potsdam, D-14469 Potsdam, Germany; [Shprits, Yuri Y.; Kellerman, Adam C.; Drozdov, Alexander Y.] Univ Calif Los Angeles, Dept Earth Planetary &amp; Space Sci, Los Angeles, CA 90095 USA; [Horne, Richard B.] British Antarctic Survey, Cambridge CB3 0ET, England</t>
  </si>
  <si>
    <t>Helmholtz Association; Helmholtz-Center Potsdam GFZ German Research Center for Geosciences; University of Potsdam; University of California System; University of California Los Angeles; UK Research &amp; Innovation (UKRI); Natural Environment Research Council (NERC); NERC British Antarctic Survey</t>
  </si>
  <si>
    <t>Shprits, YY (corresponding author), GFZ, German Res Ctr Geosci, Helmholtz Ctr Potsdam, D-14473 Potsdam, Germany.;Shprits, YY (corresponding author), Univ Potsdam, D-14469 Potsdam, Germany.;Shprits, YY (corresponding author), Univ Calif Los Angeles, Dept Earth Planetary &amp; Space Sci, Los Angeles, CA 90095 USA.</t>
  </si>
  <si>
    <t>Kellerman, Adam/AEX-6248-2022; Horne, Richard B/U-3764-2019; Drozdov, Alexander/Y-2161-2019; Shprits, Yuri Y/I-2174-2014</t>
  </si>
  <si>
    <t>Kellerman, Adam/0000-0002-2315-936X; Horne, Richard B/0000-0002-0412-6407; Drozdov, Alexander/0000-0002-5334-2026;</t>
  </si>
  <si>
    <t>NERC [bas0100031, NE/P01738X/1] Funding Source: UKRI; Natural Environment Research Council [bas0100031, NE/P01738X/1] Funding Source: researchfish</t>
  </si>
  <si>
    <t>1745-2473</t>
  </si>
  <si>
    <t>1745-2481</t>
  </si>
  <si>
    <t>NAT PHYS</t>
  </si>
  <si>
    <t>Nat. Phys.</t>
  </si>
  <si>
    <t>10.1038/nphys4350</t>
  </si>
  <si>
    <t>Physics, Multidisciplinary</t>
  </si>
  <si>
    <t>FU4TX</t>
  </si>
  <si>
    <t>WOS:000423846600002</t>
  </si>
  <si>
    <t>Tajuddin, N; Rizman-Idid, M; Convey, P; Alias, SA</t>
  </si>
  <si>
    <t>Tajuddin, Natasha; Rizman-Idid, Mohammed; Convey, Peter; Alias, Siti Aisyah</t>
  </si>
  <si>
    <t>Thermal adaptation in a marine-derived tropical strain of Fusarium equiseti and polar strains of Pseudogymnoascus spp. under different nutrient sources</t>
  </si>
  <si>
    <t>BOTANICA MARINA</t>
  </si>
  <si>
    <t>ascomycota; extracellular enzymes; growth rate; seawater; temperature</t>
  </si>
  <si>
    <t>EXTRACELLULAR ENZYMES; NEMATOPHAGOUS FUNGI; GEOMYCES FUNGI; ORGANIC-MATTER; TEMPERATURE; GROWTH; TERRESTRIAL; DEGRADATION; ANTARCTICA; DIMORPHISM</t>
  </si>
  <si>
    <t>We documented relative growth rates (RGRs) and activities of extracellular hydrolytic enzymes (EHEs) of one marine-derived tropical strain of Fusarium equiseti originally isolated from Malaysia and two polar strains of Pseudogymnoascus spp. from the Arctic and Antarctic under various temperatures and different nutrient conditions. RGRs and relative enzyme activities (RAs) of protease, amylase and cellulase were screened in seawater nutrient assay plates augmented with either skim milk, soluble starch or carboxymethylcellulose with trypan blue, respectively, across culture temperatures between 5 degrees C and 40 degrees C. Measures of RGR were fitted into third-degree polynomial and Briere-2 temperature-dependent models to estimate optimum temperatures for growth (T-opt) and maximum growth rates (RGR(max)), and were used to calculate temperature coefficients (Q(10)) and activation energies (E-a) for growth. All studied strains showed highest RGR and RA when grown using a skim milk nutrient assay. T-opt for growth was 25 degrees C in F. equiseti and 20 degrees C in Pseudogymnoascus spp. Only F. equiseti showed cellulase activity. These data suggest a preference for protein-based substrates over plant-derived substrates for metabolism in these fungal strains. The tropical F. equiseti could utilise higher levels of thermal energy for growth than the polar strains of Pseudogymnoascus spp., implying adaptation of these fungi to different bioclimatic regions.</t>
  </si>
  <si>
    <t>[Tajuddin, Natasha; Rizman-Idid, Mohammed; Alias, Siti Aisyah] Univ Malaya, Inst Ocean &amp; Earth Sci, Lembah Pantai, Federal Territo, Malaysia; [Convey, Peter; Alias, Siti Aisyah] Univ Malaya, Natl Antarctic Res Ctr, Lembah Pantai, Federal Territo, Malaysia; [Tajuddin, Natasha] Univ Malaya, Inst Grad Studies, Lembah Pantai, Federal Territo, Malaysia; [Convey, Peter] NERC, British Antarctic Survey, Madingley Rd, Cambridge, England</t>
  </si>
  <si>
    <t>Universiti Malaya; Universiti Malaya; Universiti Malaya; UK Research &amp; Innovation (UKRI); Natural Environment Research Council (NERC); NERC British Antarctic Survey</t>
  </si>
  <si>
    <t>Alias, SA (corresponding author), Univ Malaya, Inst Ocean &amp; Earth Sci, Lembah Pantai, Federal Territo, Malaysia.;Alias, SA (corresponding author), Univ Malaya, Natl Antarctic Res Ctr, Lembah Pantai, Federal Territo, Malaysia.</t>
  </si>
  <si>
    <t>saa@um.edu.my</t>
  </si>
  <si>
    <t>IDID, MOHAMMED RIZMAN/B-9058-2010; Convey, Peter/AAV-5728-2020; FASc, SITI AISYAH A. HJ ALIAS/B-9785-2010</t>
  </si>
  <si>
    <t>IDID, MOHAMMED RIZMAN/0000-0002-2231-2502; Convey, Peter/0000-0001-8497-9903; FASc, SITI AISYAH A. HJ ALIAS/0000-0002-6759-5745</t>
  </si>
  <si>
    <t>Ministry of Higher Education (MOHE) through their funding programme Higher Centre of Excellence (HiCoE) [IOES-2014G]; Ministry of Science, Technology, and Innovation (MOSTI) through the Flagship research grant [GA006-2014FL]; MyBrain scholarship; MOHE; Natural Environment Research Council; Visiting Icon Professorship from the University of Malaya; Natural Environment Research Council [bas0100036] Funding Source: researchfish; NERC [bas0100036] Funding Source: UKRI</t>
  </si>
  <si>
    <t>Ministry of Higher Education (MOHE) through their funding programme Higher Centre of Excellence (HiCoE); Ministry of Science, Technology, and Innovation (MOSTI) through the Flagship research grant; MyBrain scholarship; MOHE(Ministry of Higher Education &amp; Scientific Research (MHESR)); Natural Environment Research Council(UK Research &amp; Innovation (UKRI)Natural Environment Research Council (NERC)); Visiting Icon Professorship from the University of Malaya; Natural Environment Research Council(UK Research &amp; Innovation (UKRI)Natural Environment Research Council (NERC)); NERC(UK Research &amp; Innovation (UKRI)Natural Environment Research Council (NERC))</t>
  </si>
  <si>
    <t>We thank anonymous reviewers and the editors for detailed and constructive comments on earlier manuscript versions. This work was supported by the Ministry of Higher Education (MOHE) through their funding programme Higher Centre of Excellence (HiCoE) (grant number IOES-2014G) and the Ministry of Science, Technology, and Innovation (MOSTI) through the Flagship research grant (grant number GA006-2014FL). NT is a recipient of a MyBrain scholarship also funded by the MOHE. PC is supported by core funding from the Natural Environment Research Council to the British Antarctic Survey Biodiversity, Evolution and Adaptation Team, and by a Visiting Icon Professorship from the University of Malaya. This paper contributes to the Scientific Committee on Antarctic Research (SCAR) research programme AnT-ERA (Antarctic Thresholds - Ecosystem Resilience and Adaptation).</t>
  </si>
  <si>
    <t>WALTER DE GRUYTER GMBH</t>
  </si>
  <si>
    <t>GENTHINER STRASSE 13, D-10785 BERLIN, GERMANY</t>
  </si>
  <si>
    <t>0006-8055</t>
  </si>
  <si>
    <t>1437-4323</t>
  </si>
  <si>
    <t>BOT MAR</t>
  </si>
  <si>
    <t>Bot. Marina</t>
  </si>
  <si>
    <t>10.1515/bot-2017-0049</t>
  </si>
  <si>
    <t>FU2KU</t>
  </si>
  <si>
    <t>WOS:000423679800002</t>
  </si>
  <si>
    <t>Pérez-Espona, S; Goodall-Copestake, WP; Berghoff, SM; Edwards, KJ; Franks, NR</t>
  </si>
  <si>
    <t>Perez-Espona, S.; Goodall-Copestake, W. P.; Berghoff, S. M.; Edwards, K. J.; Franks, N. R.</t>
  </si>
  <si>
    <t>Army imposters: diversification of army ant-mimicking beetles with their Eciton hosts</t>
  </si>
  <si>
    <t>INSECTES SOCIAUX</t>
  </si>
  <si>
    <t>Gene flow; Mimicry; Mitochondrial DNA; Myrmecophily; Myrmecophory; Population structure; Speciation; Taxonomy</t>
  </si>
  <si>
    <t>BARRO-COLORADO ISLAND; MOLECULAR PHYLOGENY; EVOLUTION; MITOCHONDRIAL; COLEOPTERA; SYMBIONTS; HYMENOPTERA; BEHAVIOR; NUCLEAR; STAPHYLINIDAE</t>
  </si>
  <si>
    <t>Colonies of neotropical army ants of the genus Eciton Latreille offer some of the most captivating examples of intricate interactions between species, with hundreds of associated species already described in colonies of Eciton burchellii Westwood. Among this plethora of species found with Eciton colonies, two genera of staphylinid beetles, Ecitomorpha Wasmann, and Ecitophya Wasmann, have evolved to mimic the appearance and parallel the colouration of the most abundant ant worker cast. Here, we study for the first time the association of these ant-mimicking beetles with their ant host in an evolutionary and population genetics framework. The central emphasis is on colonies of E. burchellii, the only Eciton species that harbours both genera of ant-mimicking beetles. Phylogenetic and population structure analyses using the same mtDNA COI region (802 bp) for ants and beetles indicated that speciation patterns of the myrmecophiles were congruent with specialization to a particular Eciton (sub)species. Therefore, current taxonomic treatments of Eciton and its Ecitomorpha and Ecitophya associates need revision. Molecular clock analyses suggested that diversification of the Eciton hosts pre-date that of their guests, with a possible earlier association of Ecitophya (found with a large number of Eciton species) than with Ecitomorpha (found only with E. burchellii colonies). Population-level analyses revealed that patterns of diversification for the myrmecophiles are also consistent with specialisation to a particular host across broad geographical areas but not at small geographical scales, with gene flow within each species found between host colonies, even across landscape features that are strong barriers for Eciton female-mediated gene flow.</t>
  </si>
  <si>
    <t>[Perez-Espona, S.; Berghoff, S. M.; Edwards, K. J.; Franks, N. R.] Univ Bristol, Sch Biol Sci, 24 Tyndall Ave, Bristol BS8 1TH, Avon, England; [Perez-Espona, S.] CSIC, Estn Biol Donana, Amer Vespucio S-N, E-41092 Seville, Spain; [Goodall-Copestake, W. P.] British Antarctic Survey, Madingley Rd, Cambridge CB3 0ET, England; [Berghoff, S. M.] Max Planck Inst Neurobiol, Kopferspitz 18, D-82152 Martinsried, Germany</t>
  </si>
  <si>
    <t>University of Bristol; Consejo Superior de Investigaciones Cientificas (CSIC); CSIC - Estacion Biologica de Donana (EBD); UK Research &amp; Innovation (UKRI); Natural Environment Research Council (NERC); NERC British Antarctic Survey; Max Planck Society</t>
  </si>
  <si>
    <t>Pérez-Espona, S (corresponding author), Univ Bristol, Sch Biol Sci, 24 Tyndall Ave, Bristol BS8 1TH, Avon, England.;Pérez-Espona, S (corresponding author), CSIC, Estn Biol Donana, Amer Vespucio S-N, E-41092 Seville, Spain.</t>
  </si>
  <si>
    <t>s.perezespona@gmail.com</t>
  </si>
  <si>
    <t>Goodall-Copestake, William/CAF-6866-2022; Pérez-Espona, Sílvia/AAB-1433-2019; Perez-Espona, Silvia/G-2294-2010; Goodall-Copestake, William P/C-1061-2011; Franks, Nigel/AAG-8207-2019</t>
  </si>
  <si>
    <t>Franks, Nigel/0000-0001-8139-9604; Goodall-Copestake, Will/0000-0003-3586-9091</t>
  </si>
  <si>
    <t>Leverhulme Trust [F/00 182/AI]; NERC [bas0100035] Funding Source: UKRI</t>
  </si>
  <si>
    <t>Leverhulme Trust(Leverhulme Trust); NERC(UK Research &amp; Innovation (UKRI)Natural Environment Research Council (NERC))</t>
  </si>
  <si>
    <t>Autoridad Nacional del Ambiente (ANAM), Smithsonian Tropical Research Institute (STRI) and Centro de Estudios de Accion Social Panamena (CEASPA) are thanked for arranging permits and fieldwork activities. We thank J. Dominguez and F. Garcia for assistance in the field, Carles Molina Rubio for laboratory assistance, John N. Thompson for discussion of results, and two anonymous referees for comments on a previous version of the manuscript. Cambridge Conservation Forum and Cambridge Conservation Initiative are thanked for allowing Silvia Perez-Espona to use their office space in the David Attenborough Building while writing this manuscript. Samples for this study were collected and exported under the permits SEX/A-8-08 and SEX/A-24-08, respectively. This study was funded by The Leverhulme Trust (Project Grant F/00 182/AI).</t>
  </si>
  <si>
    <t>SPRINGER BASEL AG</t>
  </si>
  <si>
    <t>PICASSOPLATZ 4, BASEL, 4052, SWITZERLAND</t>
  </si>
  <si>
    <t>0020-1812</t>
  </si>
  <si>
    <t>1420-9098</t>
  </si>
  <si>
    <t>INSECT SOC</t>
  </si>
  <si>
    <t>Insect. Soc.</t>
  </si>
  <si>
    <t>10.1007/s00040-017-0588-1</t>
  </si>
  <si>
    <t>Entomology</t>
  </si>
  <si>
    <t>FU4OF</t>
  </si>
  <si>
    <t>WOS:000423831700007</t>
  </si>
  <si>
    <t>Wagner, M; Trutschnig, W; Bathke, AC; Ruprecht, U</t>
  </si>
  <si>
    <t>Wagner, Monika; Trutschnig, Wolfgang; Bathke, Arne C.; Ruprecht, Ulrike</t>
  </si>
  <si>
    <t>A first approach to calculate BIOCLIM variables and climate zones for Antarctica</t>
  </si>
  <si>
    <t>SOUTHERN VICTORIA LAND; MCMURDO DRY VALLEYS; MIERS VALLEY; PHOTOBIONTS; DIVERSITY; LICHENS; BIODIVERSITY; BIOGEOGRAPHY; SPRINGTAILS; SURFACE</t>
  </si>
  <si>
    <t>For testing the hypothesis that macroclimatological factors determine the occurrence, biodiversity, and species specificity of both symbiotic partners of Antarctic lecideoid lichens, we present a first approach for the computation of the full set of 19 BIOCLIM variables, as available at http://www.worldclim.org/ for all regions of the world with exception of Antarctica. Annual mean temperature (Bio 1) and annual precipitation (Bio 12) were chosen to define climate zones of the Antarctic continent and adjacent islands as required for ecological niche modeling (ENM). The zones are based on data for the years 2009-2015 which was obtained from the Antarctic Mesoscale Prediction System (AMPS) database of the Ohio State University. For both temperature and precipitation, two separate zonings were specified; temperature values were divided into 12 zones (named 1 to 12) and precipitation values into five (named A to E). By combining these two partitions, we defined climate zonings where each geographical point can be uniquely assigned to exactly one zone, which allows an immediate explicit interpretation. The soundness of the newly calculated climate zones was tested by comparison with already published data, which used only three zones defined on climate information from the literature. The newly defined climate zones result in a more precise assignment of species distribution to the single habitats. This study provides the basis for a more detailed continental-wide ENM using a comprehensive dataset of lichen specimens which are located within 21 different climate regions.</t>
  </si>
  <si>
    <t>[Wagner, Monika; Ruprecht, Ulrike] Univ Salzburg, Dept Ecol &amp; Evolut, Hellbrunnerstr 34, A-5020 Salzburg, Austria; [Trutschnig, Wolfgang; Bathke, Arne C.] Univ Salzburg, Dept Math, Hellbrunnerstr 34, A-5020 Salzburg, Austria</t>
  </si>
  <si>
    <t>Salzburg University; Salzburg University</t>
  </si>
  <si>
    <t>Wagner, M (corresponding author), Univ Salzburg, Dept Ecol &amp; Evolut, Hellbrunnerstr 34, A-5020 Salzburg, Austria.</t>
  </si>
  <si>
    <t>monika.wagner@sbg.ac.at</t>
  </si>
  <si>
    <t>Trutschnig, Wolfgang/0000-0002-7131-1944; Wagner, Monika/0000-0002-2091-1018; Ruprecht, Ulrike/0000-0002-0898-7677</t>
  </si>
  <si>
    <t>Austrian Science Fund (FWF); Austrian Science Fund (FWF) [P26638]; Austrian Science Fund (FWF) [P26638] Funding Source: Austrian Science Fund (FWF)</t>
  </si>
  <si>
    <t>Austrian Science Fund (FWF)(Austrian Science Fund (FWF)); Austrian Science Fund (FWF)(Austrian Science Fund (FWF)); Austrian Science Fund (FWF)(Austrian Science Fund (FWF))</t>
  </si>
  <si>
    <t>Open access funding provided by Austrian Science Fund (FWF). First of all, we want to thank our colleagues from the University of Salzburg, namely Roman Fuchs for various help and Robert Junker for some valuable suggestions, Christoph Traun for geological advice, and Peter Zinterhof for enabling us to use the high-performance computing cluster. Furthermore, we are grateful to Peyman Zawar-Reza and Marwan Katurji (University of Canterbury, NZ) for introducing us to basic techniques of climatology as well as to T.G.A. Green (Universidad Complutense Madrid, E; University of Waikato, NZ) for advice and support. Additionally, we want to thank Sheng-Hung Wang (the Ohio State University, USA) for keeping us informed about news of the AMPS database.; This study was financially supported by the Austrian Science Fund (FWF): P26638, Diversity, ecology and specificity of Antarctic lichens.</t>
  </si>
  <si>
    <t>10.1007/s00704-017-2053-5</t>
  </si>
  <si>
    <t>FU0XX</t>
  </si>
  <si>
    <t>WOS:000423574800038</t>
  </si>
  <si>
    <t>Taylor, JD; Glover, EA; Harper, EM; Crame, JA; Ikebe, C; Williams, ST</t>
  </si>
  <si>
    <t>Taylor, John D.; Glover, Emily A.; Harper, Elizabeth M.; Crame, J. Alistair; Ikebe, Chiho; Williams, Suzanne T.</t>
  </si>
  <si>
    <t>Left in the cold? Evolutionary origin of Laternula elliptica, a keystone bivalve species of Antarctic benthos</t>
  </si>
  <si>
    <t>BIOLOGICAL JOURNAL OF THE LINNEAN SOCIETY</t>
  </si>
  <si>
    <t>Anomalodesmata; biogeography; Laternulidae; phylogeny</t>
  </si>
  <si>
    <t>LATITUDINAL DIVERSITY GRADIENT; KING GEORGE ISLAND; EAST ANTARCTICA; ANOMALODESMATA-PANDORACEA; MOLLUSCAN BIOGEOGRAPHY; CONTINENTAL-SHELF; EOCENE BIVALVES; VESTFOLD HILLS; MARILINA REEVE; COOL-WATER</t>
  </si>
  <si>
    <t>The large, burrowing bivalve Laternula elliptica is an abundant component of shallow-water soft-substrate communities around Antarctica but its congeners are temperate and tropical in distribution and their phylogenetic relationships are obscure. A new molecular analysis of Laternulidae species shows that there are two distinct clades, one of Exolaternula species, E. spengleri and E. liautaudi, possessing a ligamental lithodesma and a larger clade of species lacking the lithodesma. Of the latter, Laternula elliptica is a sister taxon to temperate and tropical species, including those that live around the coasts of Australia from Tasmania to Darwin. It is suggested that L. elliptica was left isolated around Antarctica following the opening of the Tasman Gateway and initiation of the Circum-Antarctic Current as Australia drifted northwards following the final breakup of Gondwana. A further scenario is that as Australia moved closer to Asia, species spread into tropical habitats and more widely to the Red Sea and Japan. Exolaternula species have a likely Tethyan origin and the present-day range is from the Arabian Gulf, around southern Asia and as far north as southern Russia.</t>
  </si>
  <si>
    <t>[Taylor, John D.; Glover, Emily A.; Ikebe, Chiho; Williams, Suzanne T.] Nat Hist Museum, Life Sci, London SW7 5BD, England; [Harper, Elizabeth M.] Univ Cambridge, Dept Earth Sci, Cambridge CB2 3EQ, England; [Crame, J. Alistair] British Antarctic Survey, Cambridge CB3 0ET, England</t>
  </si>
  <si>
    <t>Natural History Museum London; University of Cambridge; UK Research &amp; Innovation (UKRI); Natural Environment Research Council (NERC); NERC British Antarctic Survey</t>
  </si>
  <si>
    <t>Taylor, JD (corresponding author), Nat Hist Museum, Life Sci, London SW7 5BD, England.</t>
  </si>
  <si>
    <t>j.taylor@nhm.ac.uk</t>
  </si>
  <si>
    <t>Williams, Suzanne T/A-9604-2008; Harper, Elizabeth M/B-3890-2008</t>
  </si>
  <si>
    <t>NERC [NE/I00582X/1]; NERC [bas0100036, NE/I005803/1, NE/I00582X/2] Funding Source: UKRI</t>
  </si>
  <si>
    <t>For generously providing samples we are grateful to Ruytoro Goto (University of Kyoto), Barbara Buge (MNHN), Konstatin Lutaenko (Russian Academy of Sciences, Vladivostok), Koh Siang Tan (National University of Singapore), Piotr Kuklinski (Institute of Oceanology, Polish Academy of Sciences) and Simon Morley (BAS). Dawn Woods, George Mulvaney and Michael Mulvaney helped collect samples at Burrill Lake, New South Wales. Grateful thanks are due to Tom Schiotte (NHMD) for images of the Mya anserifera holotype, Emmanuel Tardy (MHNG) for images of the lectotype of Anatina laterna, Virginie Heros (MNHN) for arranging opening of valves and images of the holotype of Laternula liautaudi, Konstantin Lutaenko and Elena Chaban (Zoological Museum, St Petersburg) for searching for the type of L. japonica, and Lisa Kirkendale (WAM) and Richard Willan (MAGNT) for images of shells in their collections. David Cothran generously allowed reproduction of his images of living L. elliptica. Tom Darragh (Museum Victoria) advised on Australian fossil faunas, Pierre Lozouet (MNHN) confirmed dating of fossils and Takuma Haga (NMNS, Tokyo) provided information and literature concerning Japanese living and fossil species. We thank Lisa Smith (NHMUK) for help with molecular analyses and Adrian Glover (NHMUK) who facilitated the process. JAC acknowledges financial support from NERC, including NE/I00582X/1. The work of the late Solene Morris former curator of bivalves at NHMUK is acknowledged for careful curation of the Laternula type specimens. We thank Alan Beu and another reviewer for thoughtful comments and suggestions.</t>
  </si>
  <si>
    <t>0024-4066</t>
  </si>
  <si>
    <t>1095-8312</t>
  </si>
  <si>
    <t>BIOL J LINN SOC</t>
  </si>
  <si>
    <t>Biol. J. Linnean Soc.</t>
  </si>
  <si>
    <t>10.1093/biolinnean/blx144</t>
  </si>
  <si>
    <t>Evolutionary Biology</t>
  </si>
  <si>
    <t>FT7DL</t>
  </si>
  <si>
    <t>WOS:000423313000009</t>
  </si>
  <si>
    <t>Castro, OS; Burri, L; Nunes, AJP</t>
  </si>
  <si>
    <t>Castro, O. S.; Burri, L.; Nunes, A. J. P.</t>
  </si>
  <si>
    <t>Astaxanthin krill oil enhances the growth performance and fatty acid composition of the Pacific whiteleg shrimp, Litopenaeus vannamei, reared under hypersaline conditions</t>
  </si>
  <si>
    <t>AQUACULTURE NUTRITION</t>
  </si>
  <si>
    <t>essential fatty acids; fish oil; krill oil; Litopenaeus vannamei; water salinity</t>
  </si>
  <si>
    <t>PRAWN PENAEUS-MONODON; LOW-SALINITY WATERS; EUPHAUSIA-SUPERBA-DANA; DIETARY-PROTEIN LEVEL; OPEN THELYCUM SHRIMP; HIGH-HUFA DIETS; WEST ALABAMA; NUTRITIONAL-EVALUATION; BODY-COMPOSITION; VITAMIN-E</t>
  </si>
  <si>
    <t>Hypersalinity culture of marine shrimp can lead to poor growth and feed efficiency. This study evaluated the effect of dietary supplementation of three oil sources (krill, fish and soybean) on the growth of Litopenaeus vannamei reared under high salinity. Shrimp of 2.79 +/- 0.60g were reared for 64days under isosmotic (ISO, 23 +/- 1.2g/L) and hyperosmotic (HOS, 44 +/- 2.0g/L) conditions. Diets varied in their fatty acid composition: Control, 35g/kg of the diet (as fed basis) soybean oil; Fish, 27g/kg fish oil and 10g/kg soybean oil; Krill, 48g/kg krill oil and 4g/kg soybean oil; Krill-, 15g/kg krill oil and 21g/kg soybean oil; Krill+, 55g/kg krill oil and 4g/kg soybean oil. At harvest, Krill diet promoted the fastest shrimp growth (1.01 +/- 0.01g/week) and body weight (11.97 +/- 2.01g), regardless of water salinity. There were no significant differences in shrimp survival (93.4 +/- 5.07%) and yield (554 +/- 68.5g/m(2)) among different diets. Shrimp fed Fish, Krill and Krill+ had higher concentrations of PUFA compared to those fed Control and Krill- diets.</t>
  </si>
  <si>
    <t>[Castro, O. S.; Nunes, A. J. P.] Univ Fed Ceara, LABOMAR Inst Ciencias Mar, Fortaleza, Ceara, Brazil; [Burri, L.] Aker BioMarine Antarctic AS, Lysaker, Norway</t>
  </si>
  <si>
    <t>Universidade Federal do Ceara</t>
  </si>
  <si>
    <t>Nunes, AJP (corresponding author), Univ Fed Ceara, LABOMAR Inst Ciencias Mar, Fortaleza, Ceara, Brazil.</t>
  </si>
  <si>
    <t>alberto.nunes@ufc.br</t>
  </si>
  <si>
    <t>Nunes, Alberto J.P./O-6926-2017</t>
  </si>
  <si>
    <t>Nunes, Alberto/0000-0001-9105-8109</t>
  </si>
  <si>
    <t>Brazilian Ministry of Science and Technology (MCT/CNPq)</t>
  </si>
  <si>
    <t>Brazilian Ministry of Science and Technology (MCT/CNPq)(Conselho Nacional de Desenvolvimento Cientifico e Tecnologico (CNPQ))</t>
  </si>
  <si>
    <t>The first author was supported by a fellowship under the Brazilian Ministry of Science and Technology (MCT/CNPq).</t>
  </si>
  <si>
    <t>1353-5773</t>
  </si>
  <si>
    <t>1365-2095</t>
  </si>
  <si>
    <t>AQUACULT NUTR</t>
  </si>
  <si>
    <t>Aquac. Nutr.</t>
  </si>
  <si>
    <t>10.1111/anu.12577</t>
  </si>
  <si>
    <t>FS8MR</t>
  </si>
  <si>
    <t>WOS:000422666900047</t>
  </si>
  <si>
    <t>Guly, HR</t>
  </si>
  <si>
    <t>Guly, H. R.</t>
  </si>
  <si>
    <t>Archibald Lang McLean (1885-1922) - Explorer, writer and soldier</t>
  </si>
  <si>
    <t>JOURNAL OF MEDICAL BIOGRAPHY</t>
  </si>
  <si>
    <t>Exploration; Antarctic; First World War; writer; Australia; bacteriology</t>
  </si>
  <si>
    <t>Archibald McLean qualified in Sydney in 1910 and in the following year joined Douglas Mawson's Australasian Antarctic Expedition (1911-1914). He took a full part in the expedition and was forced to stay an extra year when Mawson failed to return to the base before the ship left. During this time he edited the expedition newspaper, The Adelie Blizzard. His writing impressed Mawson who invited him to work on the book about the expedition. This necessitated visiting England to liaise with publishers and promote the book. He was in England when the First World War broke out and he was commissioned in the RAMC and sent to France. He was invalided out of the army in 1916 and returned to Australia where he obtained his MD for his research in the Antarctic. Then he joined the Australian Army Medical Corps and returned to France where he won the Military Cross and he also suffered gassing. During the war, he developed TB and was unwell when he returned to Australia.</t>
  </si>
  <si>
    <t>[Guly, H. R.] Derriford Hosp, Med Unit, Emergency Med, Plymouth PL6 8DH, Devon, England; [Guly, H. R.] Derriford Hosp, Med Unit, British Antarctic Survey, Plymouth PL6 8DH, Devon, England</t>
  </si>
  <si>
    <t>Derriford Hospital; UK Research &amp; Innovation (UKRI); Natural Environment Research Council (NERC); NERC British Antarctic Survey; Derriford Hospital</t>
  </si>
  <si>
    <t>Guly, HR (corresponding author), Bedford Rd, Yelverton PL20 7QH, Devon, England.</t>
  </si>
  <si>
    <t>hguly@aol.com</t>
  </si>
  <si>
    <t>Natural Environment Research Council [bas010011] Funding Source: researchfish; NERC [bas010011] Funding Source: UKRI</t>
  </si>
  <si>
    <t>SAGE PUBLICATIONS INC</t>
  </si>
  <si>
    <t>THOUSAND OAKS</t>
  </si>
  <si>
    <t>2455 TELLER RD, THOUSAND OAKS, CA 91320 USA</t>
  </si>
  <si>
    <t>0967-7720</t>
  </si>
  <si>
    <t>1758-1087</t>
  </si>
  <si>
    <t>J MED BIOGR</t>
  </si>
  <si>
    <t>J. Med. Biogr.</t>
  </si>
  <si>
    <t>10.1177/0967772015622877</t>
  </si>
  <si>
    <t>Arts &amp; Humanities Citation Index (A&amp;HCI)</t>
  </si>
  <si>
    <t>FT7BQ</t>
  </si>
  <si>
    <t>WOS:000423308300008</t>
  </si>
  <si>
    <t>Fieber, KD; Mills, JP; Miller, PE; Clarke, L; Ireland, L; Fox, AJ</t>
  </si>
  <si>
    <t>Fieber, Karolina D.; Mills, Jon P.; Miller, Pauline E.; Clarke, Lucy; Ireland, Louise; Fox, Adrian J.</t>
  </si>
  <si>
    <t>Rigorous 3D change determination in Antarctic Peninsula glaciers from stereo WorldView-2 and archival aerial imagery</t>
  </si>
  <si>
    <t>Antarctic Peninsula; Archival photography; Cryosphere; Glacial change; High resolution; Photogrammetry; Stereo imagery; Surface matching; WorldView-2</t>
  </si>
  <si>
    <t>SEA-LEVEL RISE; SURFACE MATCHING TECHNIQUE; KING GEORGE ISLAND; MASS-BALANCE; RECONCILED ESTIMATE; MELTING CONDITIONS; ICE-SHELF; RETREAT; VARIABILITY; ELEVATION</t>
  </si>
  <si>
    <t>This paper presents detailed elevation and volume analysis of 16 individual glaciers, grouped at four locations, spread across the Antarctic Peninsula (AP). The study makes use of newly available WorldView-2 satellite stereo imagery to exploit the previously untapped value of archival stereo aerial photography. High resolution photogrammetric digital elevation models (DEMs) are derived to determine three-dimensional glacier change over an unprecedented time span of six decades with an unparalleled mean areal coverage of 82% per glacier. The use of an in-house robust surface matching algorithm ensured rigorous alignment of the DEMs to overcome inherent problems associated with processing archival photography, most notably the identification and correction of scale error in some datasets. The analysis provides insight into one of the most challenging and data-scarce areas on the planet by expanding the spatial extent north of the AP to include previously un-studied glaciers located in the South Shetland Islands. 81% of glaciers studied showed considerable loss of volume over the period of record. The mean annual mass loss for all glaciers yielded 0.24 +/- 0.08 m.w.e. per year, with a maximum mass loss of up to 62 m.w.e. and frontal retreat exceeding 2.2 km for Stadium Glacier, located furthest north on Elephant Island. Observed volumetric loss was broadly, though not always, correlated with frontal retreat. The combined mass balance of all 16 glaciers yielded- 1.862 +/- 0.006 Gt, which corresponds to- 0.005 mm sea level equivalent (SLE) over the 57 year observation period.</t>
  </si>
  <si>
    <t>[Fieber, Karolina D.; Mills, Jon P.] Newcastle Univ, Sch Engn, Newcastle Upon Tyne NE1 7RU, Tyne &amp; Wear, England; [Miller, Pauline E.] James Hutton Inst, Aberdeen AB15 8QH, Scotland; [Clarke, Lucy] Univ Gloucestershire, Sch Nat &amp; Social Sci, Cheltenham, Glos, England; [Ireland, Louise; Fox, Adrian J.] British Antarctic Survey, Madingley Rd, Cambridge CB3 0ET, England</t>
  </si>
  <si>
    <t>Newcastle University - UK; James Hutton Institute; University of Gloucestershire; UK Research &amp; Innovation (UKRI); Natural Environment Research Council (NERC); NERC British Antarctic Survey</t>
  </si>
  <si>
    <t>Mills, JP (corresponding author), Newcastle Univ, Sch Engn, Newcastle Upon Tyne NE1 7RU, Tyne &amp; Wear, England.</t>
  </si>
  <si>
    <t>karolina.fieber@ncl.ac.uk; jon.mills@ncl.ac.uk; pauline.miller@hutton.ac.uk; lclarke@glos.ac.uk; luela@bas.ac.uk; ajfo@bas.ac.uk</t>
  </si>
  <si>
    <t>; Mills, Jon/H-7444-2013</t>
  </si>
  <si>
    <t>Clarke, Lucy/0000-0002-8174-3839; Mills, Jon/0000-0001-5304-7935; Miller, Pauline/0000-0002-4157-3994</t>
  </si>
  <si>
    <t>Natural Environment Research Council (NERC) [NE/K005340/1, NE/K004867/1]; Natural Environment Research Council [bas010011, NE/K005340/1, NE/K004867/1] Funding Source: researchfish; NERC [bas010011, NE/K005340/1, NE/K004867/1] Funding Source: UKRI</t>
  </si>
  <si>
    <t>Natural Environment Research Council (NERC)(UK Research &amp; Innovation (UKRI)Natural Environment Research Council (NERC)); Natural Environment Research Council(UK Research &amp; Innovation (UKRI)Natural Environment Research Council (NERC)); NERC(UK Research &amp; Innovation (UKRI)Natural Environment Research Council (NERC))</t>
  </si>
  <si>
    <t>This research was carried out as part of 'The spatial and temporal distribution of 20th Century Antarctic Peninsula Glacier mass change and its drivers' project funded by the Natural Environment Research Council (NERC), grant numbers NE/K005340/1 (Newcastle University) and NE/K004867/1 (BAS). The authors would like to thank USGS/EROS for provision of archival photography scans and Ryan Longhenry and Tim Smith at USGS/EROS for their help in investigating archival data issues. The authors would also like to thank David Vaughan and the two anonymous reviewers for their useful comments.</t>
  </si>
  <si>
    <t>10.1016/j.rse.2017.10.042</t>
  </si>
  <si>
    <t>FT2WW</t>
  </si>
  <si>
    <t>WOS:000423007700002</t>
  </si>
  <si>
    <t>Carson, CJ; Atkins, CB; Hughes, KA; Reguero, MA</t>
  </si>
  <si>
    <t>Carson, Chris J.; Atkins, Cliff B.; Hughes, Kevin A.; Reguero, Marcelo A.</t>
  </si>
  <si>
    <t>Protecting Antarctica's geological heritage</t>
  </si>
  <si>
    <t>Atkins, cliff B/E-9458-2011; Hughes, Kevin/JVZ-0793-2024; Reguero, Marcelo A./JHS-4893-2023</t>
  </si>
  <si>
    <t>Atkins, C/0000-0002-6513-6924</t>
  </si>
  <si>
    <t>10.1017/S0954102017000517</t>
  </si>
  <si>
    <t>WOS:000424037400001</t>
  </si>
  <si>
    <t>Bonebrake, TC; Brown, CJ; Bell, JD; Blanchard, JL; Chauvenet, A; Champion, C; Chen, IC; Clark, TD; Colwell, RK; Danielsen, F; Dell, AI; Donelson, JM; Evengård, B; Ferrier, S; Frusher, S; Garcia, RA; Griffis, RB; Hobday, AJ; Jarzyna, MA; Lee, E; Lenoir, J; Linnetved, H; Martin, VY; McCormack, PC; McDonald, J; McDonald-Madden, E; Mitchell, N; Mustonen, T; Pandolfi, JM; Pettorelli, N; Possingham, H; Pulsifer, P; Reynolds, M; Scheffers, BR; Sorte, CJB; Strugnell, JM; Tuanmu, MN; Twiname, S; Vergés, A; Villanueva, C; Wapstra, E; Wernberg, T; Pecl, GT</t>
  </si>
  <si>
    <t>Bonebrake, Timothy C.; Brown, Christopher J.; Bell, Johann D.; Blanchard, Julia L.; Chauvenet, Alienor; Champion, Curtis; Chen, I-Ching; Clark, Timothy D.; Colwell, Robert K.; Danielsen, Finn; Dell, Anthony I.; Donelson, Jennifer M.; Evengard, Birgitta; Ferrier, Simon; Frusher, Stewart; Garcia, Raquel A.; Griffis, Roger B.; Hobday, Alistair J.; Jarzyna, Marta A.; Lee, Emma; Lenoir, Jonathan; Linnetved, Hlif; Martin, Victoria Y.; McCormack, Phillipa C.; McDonald, Jan; McDonald-Madden, Eve; Mitchell, Nicola; Mustonen, Tero; Pandolfi, John M.; Pettorelli, Nathalie; Possingham, Hugh; Pulsifer, Peter; Reynolds, Mark; Scheffers, Brett R.; Sorte, Cascade J. B.; Strugnell, Jan M.; Tuanmu, Mao-Ning; Twiname, Samantha; Verges, Adriana; Villanueva, Cecilia; Wapstra, Erik; Wernberg, Thomas; Pecl, Gretta T.</t>
  </si>
  <si>
    <t>Managing consequences of climate-driven species redistribution requires integration of ecology, conservation and social science</t>
  </si>
  <si>
    <t>BIOLOGICAL REVIEWS</t>
  </si>
  <si>
    <t>adaptive conservation; climate change; food security; health; managed relocation; range shift; sustainable development; temperature</t>
  </si>
  <si>
    <t>NO-ANALOG COMMUNITIES; RANGE SHIFTS; TROPHIC INTERACTIONS; PROTECTED AREAS; FOOD SECURITY; TEMPERATURE-DEPENDENCE; SCIENTIFIC-KNOWLEDGE; IMPROVE PREDICTIONS; INFECTIOUS-DISEASES; DISTRIBUTION MODELS</t>
  </si>
  <si>
    <t>Climate change is driving a pervasive global redistribution of the planet's species. Species redistribution poses new questions for the study of ecosystems, conservation science and human societies that require a coordinated and integrated approach. Here we review recent progress, key gaps and strategic directions in this nascent research area, emphasising emerging themes in species redistribution biology, the importance of understanding underlying drivers and the need to anticipate novel outcomes of changes in species ranges. We highlight that species redistribution has manifest implications across multiple temporal and spatial scales and from genes to ecosystems. Understanding range shifts from ecological, physiological, genetic and biogeographical perspectives is essential for informing changing paradigms in conservation science and for designing conservation strategies that incorporate changing population connectivity and advance adaptation to climate change. Species redistributions present challenges for human well-being, environmental management and sustainable development. By synthesising recent approaches, theories and tools, our review establishes an interdisciplinary foundation for the development of future research on species redistribution. Specifically, we demonstrate how ecological, conservation and social research on species redistribution can best be achieved by working across disciplinary boundaries to develop and implement solutions to climate change challenges. Future studies should therefore integrate existing and complementary scientific frameworks while incorporating social science and human-centred approaches. Finally, we emphasise that the best science will not be useful unless more scientists engage with managers, policy makers and the public to develop responsible and socially acceptable options for the global challenges arising from species redistributions.</t>
  </si>
  <si>
    <t>[Bonebrake, Timothy C.] Univ Hong Kong, Sch Biol Sci, Hong Kong 999077, Hong Kong, Peoples R China; [Brown, Christopher J.] Griffith Univ, Australian Rivers Inst, Nathan, Qld 4111, Australia; [Bell, Johann D.] Univ Wollongong, Australian Natl Ctr Ocean Resources &amp; Secur, Wollongong, NSW 2522, Australia; [Bell, Johann D.] Conservat Int, Arlington, VA 22202 USA; [Bell, Johann D.; Champion, Curtis; Frusher, Stewart; Twiname, Samantha; Villanueva, Cecilia; Pecl, Gretta T.] Univ Tasmania, Inst Marine &amp; Antartic Studies, Hobart, Tas 7001, Australia; [Blanchard, Julia L.; McDonald, Jan; Pecl, Gretta T.] Univ Tasmania, Ctr Marine Socioecol, Hobart, Tas 7001, Australia; [Chauvenet, Alienor] Univ Queensland, Ctr Biodivers &amp; Conservat Sci, St Lucia, Qld 4072, Australia; [Chauvenet, Alienor; Possingham, Hugh] Univ Queensland, Sch Biol Sci, ARC Ctr Excellence Environm Decis, Brisbane, Qld 4072, Australia; [Chen, I-Ching] Natl Cheng Kung Univ, Dept Life Sci, Tainan 701, Peoples R China; [Clark, Timothy D.] CSIRO Agr &amp; Food, Hobart, Tas 7000, Australia; [Colwell, Robert K.] Univ Copenhagen, Nat HistoryMuseum Denmark, Ctr Macroecol Evolut &amp; Climate, DK-2100 Copenhagen, Denmark; [Colwell, Robert K.] Univ Connecticut, Dept Ecol &amp; Evolutionary Biol, Storrs, CT 06269 USA; [Colwell, Robert K.] Univ Colorado, Museum Nat Hist, Boulder, CO 80309 USA; [Colwell, Robert K.] Univ Fed Goias, Dept Ecol, BR-131 Goiania, Go, Brazil; [Danielsen, Finn] Nord Fdn Dev &amp; Ecol NORDECO, DK-1159 Copenhagen, Denmark; [Dell, Anthony I.] Natl Great Rivers Res &amp; Educ Ctr NGRREC, East Alton, IL 62024 USA; [Dell, Anthony I.] Washington Univ, Dept Biol, Campus Box 1137, St Louis, MO 63130 USA; [Donelson, Jennifer M.] Univ Technol, Sch Life Sci, Sydney, NSW 2007, Australia; [Donelson, Jennifer M.] James Cook Univ, ARC Ctr Excellence Coral Reef Studies, Townsville, Qld 4811, Australia; [Evengard, Birgitta] Umea Univ, Dept Clin Microbiol, Div Infect Dis, S-90187 Umea, Sweden; [Ferrier, Simon] CSIRO Land &amp; Water, Canberra, ACT 2601, Australia; [Garcia, Raquel A.] Univ Cape Town, Ctr Stat Ecol, Dept Stat Sci, Environm &amp; Conservat, ZA-7701 Rondebosch, South Africa; [Garcia, Raquel A.] Stellenbosch Univ, Ctr Invas Biol, Dept Bot &amp; Zool, Fac Sci, ZA-7602 Matieland, South Africa; [Griffis, Roger B.] NOAA, Natl Marine Fisheries Serv, Off Sci &amp; Technol, Silver Spring, MD 20910 USA; [Hobday, Alistair J.] CSIRO, Oceans &amp; Atmosphere, Hobart, Tas 7000, Australia; [Jarzyna, Marta A.] Yale Univ, Dept Ecol &amp; Evolutionary Biol, New Haven, CT 06511 USA; [Lenoir, Jonathan] Univ Picardie Jules Verne, CNRS, UR Ecol &amp; Dynam Syst Anthrop EDYSAN, FRE 3498, FR-80037 Amiens 1, France; [Linnetved, Hlif] Univ Copenhagen, Inst Food &amp; Resource Econ, Fac Sci, DK-1958 Frederiksberg C, Denmark; [Martin, Victoria Y.] Cornell Univ, Cornell Lab Ornithol, Ithaca, NY 14850 USA; [McCormack, Phillipa C.; McDonald, Jan] Univ Tasmania, Fac Law, Hobart, Tas 7001, Australia; [McDonald-Madden, Eve] Univ Queensland, Sch Geog Planning &amp; Environm Management, Brisbane, Qld 4072, Australia; [Mitchell, Nicola] Univ Western Australia, Sch Biol Sci, Crawley, WA 6009, Australia; [Mustonen, Tero] Univ Eastern Finland, Snowchange Cooperat, Joensuu 80130, Finland; [Pandolfi, John M.] Univ Queensland, ARC Ctr Excellence Coral Reef Studies, Sch Biol Sci, Brisbane, Qld 4072, Australia; [Pettorelli, Nathalie] Zool Soc London, Inst Zool, Regents Pk, London NW1 4RY, England; [Possingham, Hugh] Imperial Coll, Grand Challenges Ecosyst &amp; Environm, Silwood Pk, London SW7 2AZ, England; [Pulsifer, Peter] Univ Colorado, Natl Snow &amp; Ice Data Ctr, Boulder, CO 80309 USA; [Reynolds, Mark] Nature Conservancy, San Francisco, CA 94105 USA; [Scheffers, Brett R.] Univ Florida, IFAS, Dept Wildlife Ecol &amp; Conservat, Gainesville, FL 32611 USA; [Sorte, Cascade J. B.] Univ Calif Irvine, Dept Ecol &amp; Evolutionary Biol, Irvine, CA 92697 USA; [Strugnell, Jan M.] James Cook Univ, Coll Sci &amp; Engn, Ctr Sustainable Trop Fisheries &amp; Aquaculture, Townsville, Qld 4811, Australia; [Tuanmu, Mao-Ning] Acad Sinica, Biodivers Res Ctr, Taipei 115, Taiwan; [Verges, Adriana] Univ New South Wales, Sch Biol Earth &amp; Environm Sci, Ctr Marine Bio Innovat &amp; Evolut, Sydney, NSW 2052, Australia; [Verges, Adriana] Univ New South Wales, Sch Biol Earth &amp; Environm Sci, Ecol Res Ctr, Sydney, NSW 2052, Australia; [Wapstra, Erik] Univ Tasmania, Sch Biol Sci, Hobart, Tas 7001, Australia; [Wernberg, Thomas] Univ Western Australia, UWA Oceans Inst, Perth, WA 6009, Australia</t>
  </si>
  <si>
    <t>University of Hong Kong; Griffith University; University of Wollongong; Conservation International; University of Tasmania; University of Tasmania; University of Queensland; ARC Centre of Excellence for Environmental Decisions; University of Queensland; National Cheng Kung University; Commonwealth Scientific &amp; Industrial Research Organisation (CSIRO); University of Copenhagen; University of Connecticut; University of Colorado System; University of Colorado Boulder; Universidade Federal de Goias; Washington University (WUSTL); University of Technology Sydney; James Cook University; Umea University; Commonwealth Scientific &amp; Industrial Research Organisation (CSIRO); CSIRO Land &amp; Water; University of Cape Town; Stellenbosch University; National Oceanic Atmospheric Admin (NOAA) - USA; Commonwealth Scientific &amp; Industrial Research Organisation (CSIRO); Yale University; Universite de Picardie Jules Verne (UPJV); Centre National de la Recherche Scientifique (CNRS); University of Copenhagen; Cornell University; University of Tasmania; University of Queensland; University of Western Australia; University of Eastern Finland; University of Queensland; Zoological Society of London; Imperial College London; University of Colorado System; University of Colorado Boulder; Nature Conservancy; State University System of Florida; University of Florida; University of California System; University of California Irvine; James Cook University; Academia Sinica - Taiwan; University of New South Wales Sydney; University of New South Wales Sydney; University of Tasmania; University of Western Australia</t>
  </si>
  <si>
    <t>Bonebrake, TC (corresponding author), Univ Hong Kong, Sch Biol Sci, Hong Kong 999077, Hong Kong, Peoples R China.</t>
  </si>
  <si>
    <t>tbone@hku.hk</t>
  </si>
  <si>
    <t>Mitchell, Nicola/AAE-4132-2020; Bonebrake, Timothy Carlton/M-3559-2019; CHEN, I-CHING/Y-1535-2019; Champion, Curtis/AAF-9242-2020; Lenoir, Jonathan/AAE-8441-2019; Blanchard, Julia L/E-4919-2010; Chauvenet, Alienor/L-9135-2015; POSSINGHAM, HUGH/R-8310-2019; Strugnell, Jan M/P-9921-2016; Pettorelli, Nathalie/AAW-8438-2021; Colwell, Robert K/C-7276-2015; Brown, Christopher J/G-4287-2011; Martin, Vicki/J-2131-2019; Hobday, Alistair/A-1460-2012; Tuanmu, Mao-Ning/ABI-5979-2020; Pecl, Gretta/D-7267-2011; Ferrier, Simon/C-1490-2009; Chen, I-Ching/GWU-9667-2022; Possingham, Hugh/B-1337-2008; Jarzyna, Marta/ABB-5939-2020; McCormack, Phillipa/GYA-3008-2022; Wernberg, Thomas/B-4172-2010; Pandolfi, John M/A-3121-2009; Twiname, Samantha/E-2714-2015; Donelson, Jennifer/M-5531-2018; Clark, Timothy/K-7129-2012; Verges, Adriana/B-8288-2013; mcdonald-madden, eve/A-5186-2012; Scheffers, Brett/L-2585-2014; McDonald, Jan/J-7204-2014; McCormack, Phillipa C/N-3668-2017; Wapstra, Erik/J-7482-2014</t>
  </si>
  <si>
    <t>Mitchell, Nicola/0000-0003-0744-984X; Bonebrake, Timothy Carlton/0000-0001-9999-2254; CHEN, I-CHING/0000-0002-1909-7290; Lenoir, Jonathan/0000-0003-0638-9582; Chauvenet, Alienor/0000-0002-3743-7375; POSSINGHAM, HUGH/0000-0001-7755-996X; Brown, Christopher J/0000-0002-7271-4091; Martin, Vicki/0000-0003-3492-9240; Tuanmu, Mao-Ning/0000-0002-8233-2935; Pecl, Gretta/0000-0003-0192-4339; Possingham, Hugh/0000-0001-7755-996X; Jarzyna, Marta/0000-0002-6734-0566; Wernberg, Thomas/0000-0003-1185-9745; Pandolfi, John M/0000-0003-3047-6694; Danielsen, Finn/0000-0003-0229-2847; Villanueva, Cecilia/0000-0001-9694-3131; Griffis, Roger/0000-0001-9329-2230; Twiname, Samantha/0000-0002-3355-0856; Donelson, Jennifer/0000-0002-0039-5300; Clark, Timothy/0000-0001-8738-3347; Blanchard, Julia/0000-0003-0532-4824; Verges, Adriana/0000-0002-3507-1234; Strugnell, Jan/0000-0003-2994-637X; Pettorelli, Nathalie/0000-0002-1594-6208; mcdonald-madden, eve/0000-0001-7755-2338; Scheffers, Brett/0000-0003-2423-3821; McDonald, Jan/0000-0002-7953-1458; McCormack, Phillipa C/0000-0001-6751-8291; Bell, Johann/0000-0003-2152-536X; Lee, Emma/0000-0002-5823-2547; Wapstra, Erik/0000-0002-2050-8026</t>
  </si>
  <si>
    <t>University of Tasmania; IMAS: Institute for Marine and Antarctic Studies''; NOAA Fisheries Service; CSIRO; National Climate Change Adaptation Research Facility Natural Ecosystems Network; Ian Potter Foundation; Antarctic Climate and Ecosystems Cooperative Research Centre; ARC Centre of Excellence for Environmental Decisions; RGC-GRF [HKU778512, DE160101207, FT140100596, FT110100597, FT110100174]; Australian Research Council through DECRA; University of Connecticut (USA); Center for Macroecology, Evolution, and Climate (University of Copenhagen, DK); Nordforsk; South African National Research Foundation [KIC 98457, Blue Skies 449888]; Yale Climate and Energy Institute; ARC DP's [150101491, 170100023]; Finnish Academy Project [263465]; Office of Polar Programs (OPP); Directorate For Geosciences [1513438] Funding Source: National Science Foundation</t>
  </si>
  <si>
    <t>University of Tasmania; IMAS: Institute for Marine and Antarctic Studies''; NOAA Fisheries Service(National Oceanic Atmospheric Admin (NOAA) - USA); CSIRO(Commonwealth Scientific &amp; Industrial Research Organisation (CSIRO)); National Climate Change Adaptation Research Facility Natural Ecosystems Network; Ian Potter Foundation; Antarctic Climate and Ecosystems Cooperative Research Centre(Australian GovernmentDepartment of Industry, Innovation and ScienceCooperative Research Centres (CRC) Programme); ARC Centre of Excellence for Environmental Decisions(Australian Research Council); RGC-GRF(Hong Kong Research Grants Council); Australian Research Council through DECRA(Australian Research Council); University of Connecticut (USA); Center for Macroecology, Evolution, and Climate (University of Copenhagen, DK); Nordforsk(NordForsk); South African National Research Foundation(National Research Foundation - South Africa); Yale Climate and Energy Institute; ARC DP's(Australian Research Council); Finnish Academy Project; Office of Polar Programs (OPP); Directorate For Geosciences(National Science Foundation (NSF)NSF - Directorate for Geosciences (GEO))</t>
  </si>
  <si>
    <t>We thank the many Species on the Move 2016 conference participants who contributed to the intellectually engaging discussions, and particularly the key questions in the field, that ultimately led to this paper. The workshop and conference leading to this paper were supported by the University of Tasmania, IMAS: Institute for Marine and Antarctic Studies'', NOAA Fisheries Service, CSIRO, National Climate Change Adaptation Research Facility Natural Ecosystems Network, the Ian Potter Foundation, the Antarctic Climate and Ecosystems Cooperative Research Centre, and the ARC Centre of Excellence for Environmental Decisions. An anonymous reviewer, Jessica Blois and Tim Benton also provided helpful comments on the manuscript. T. C. B. was supported by RGC-GRF (HKU778512). C. J. B. (DE160101207), G. T. P. (FT140100596), E. W. (FT110100597) and T. W. (FT110100174) were supported by the Australian Research Council through DECRA and Future Fellowships, respectively. R. K. C. was supported by the University of Connecticut (USA) and the Center for Macroecology, Evolution, and Climate (University of Copenhagen, DK). B. E. was supported by Nordforsk. R. A. G. was supported by the South African National Research Foundation (KIC 98457 and Blue Skies 449888). M. A. J. was supported by Yale Climate and Energy Institute. T. M.'s participation has been made possible by the (WAPEAT) (Finnish Academy 263465) Project. J. M. S. and A. V. were supported by ARC DP's (150101491 and 170100023, respectively).</t>
  </si>
  <si>
    <t>1464-7931</t>
  </si>
  <si>
    <t>1469-185X</t>
  </si>
  <si>
    <t>BIOL REV</t>
  </si>
  <si>
    <t>Biol. Rev.</t>
  </si>
  <si>
    <t>10.1111/brv.12344</t>
  </si>
  <si>
    <t>FS7GK</t>
  </si>
  <si>
    <t>WOS:000419965700015</t>
  </si>
  <si>
    <t>Brandt, A; Frutos, I; Bober, S; Brix, S; Brenke, N; Guggolz, T; Heitland, N; Malyutina, M; Minzlaff, U; Riehl, T; Schwabe, E; Zinkann, AC; Linse, K</t>
  </si>
  <si>
    <t>Brandt, A.; Frutos, I.; Bober, S.; Brix, S.; Brenke, N.; Guggolz, T.; Heitland, N.; Malyutina, M.; Minzlaff, U.; Riehl, T.; Schwabe, E.; Zinkann, A. -C.; Linse, K.</t>
  </si>
  <si>
    <t>Composition of abyssal macrofauna along the Vema Fracture Zone and the hadal Puerto Rico Trench, northern tropical Atlantic</t>
  </si>
  <si>
    <t>Atlantic Ocean; Mid-Atlantic Ridge; Deep sea; Taxon composition; Benthic communities; Invertebrates; C-EBS</t>
  </si>
  <si>
    <t>EPIBENTHIC-SLEDGE; PERACARID CRUSTACEANS; POLAR FRONT; DIVERSITY; ABUNDANCE; SEA; MALACOSTRACA; GREENLAND; CAMERA; RIDGE</t>
  </si>
  <si>
    <t>We analyzed composition and variations in benthic macrofaunal communities along a transect of the entire length of the Vema-Fracture Zone on board of RV Sonne (SO-237) between December 2014 and January 2015 in order to test whether the Mid-Atlantic Ridge serves as a barrier limiting benthic taxon distribution in the abyssal basins on both sides of the ridge or whether the fracture zone permits the migration of species between the western and eastern abyssal Atlantic basins. The Puerto Rico Trench, much deeper than the surrounding abyssal West Atlantic, was sampled to determine whether the biodiversity of its hadal macrofauna differs from that of the abyssal Atlantic. The composition of the macrofauna from the epibenthic sledge catches yielded a total of 21,332 invertebrates. Crustacea occurred most frequently (59%) with 12,538 individuals followed by Annelida (mostly Polychaeta) (26%) with 5491 individuals, Mollusca (7%) with 1458 individuals, Echinodermata (4%) with 778 individuals, Nematoda (2%) with 502 individuals and Chaetognatha (1%) with 152 and Porifera (1%) with 131 individuals. All other taxa occurred with overall less than ten individuals (Hemichordata, Phoronida, Priapulida, Brachiopoda, invertebrate Chordata, Echiurida, Foraminifera (here refereed to macrofaunal Komokiacea only), Chelicerata, Platyhelminthes). Within the Crustacea, Peracarida (62.6%) with 7848 individuals and Copepoda (36.1%) with 44,526 individuals were the most abundant taxa. Along the abyssal Vema-Fracture Zone macrofaunal abundances (ind./1000 m(2)) were generally higher on the eastern side, while the highest normalized abundance value was reported in the Puerto Rico Trench at abyssal station 14-1 2313 individuals/1000 m(2). The lowest abundance was reported at station 11-4 with 120 ind./1000 m(2) located at the western side of the Vema-Fracture Zone. The number of major macrofaunal taxa (phylum, class) ranged between five (stations 12-5, 13-4 and 13-5 at hadal depths in the Puerto Rico Trench) and 14 (station 9-8) in the western abyssal basin of the Vema-Fracture Zone. Differences are seen in the distribution of Porifera at macrofaunal level between eastern and western sides of the Vema-Fracture Zone. Macrofaunal composition of the study area is compared with data from other expeditions in the Atlantic and the northwest Pacific Ocean.</t>
  </si>
  <si>
    <t>[Brandt, A.; Frutos, I.; Bober, S.; Guggolz, T.; Heitland, N.; Minzlaff, U.] Univ Hamburg, Ctr Nat Hist, Zool Museum Hamburg, Martin Luther King Pl 3, D-20146 Hamburg, Germany; [Brandt, A.; Riehl, T.] Senckenberg Res Inst, Senckenberganlage 25, D-60325 Frankfurt, Germany; [Brandt, A.; Riehl, T.] Nat Hist Museum, Dept Marine Zool, Sect Crustacea, Senckenberganlage 25, D-60325 Frankfurt, Germany; [Brix, S.; Brenke, N.] Univ Hamburg, German Ctr Marine Biodivers Res, Martin Luther King Pl 3, D-20146 Hamburg, Germany; [Malyutina, M.] RAS, FEB, AV Zhirmunsky Inst Marine Biol, Palchevskogo 17, Vladivostok 690041, Russia; [Malyutina, M.] Far East Fed Univ, Oktiabrskaya Str 29, Vladivostok 690600, Russia; [Schwabe, E.] Bavarian State Collect Zool, Munchhausenstr 21, D-81247 Munich, Germany; [Zinkann, A. -C.] Univ Alaska Fairbanks, Coll Fisheries &amp; Ocean Sci, 905 Koyukuk Dr,245 Neill Bldg, Fairbanks, AK 99775 USA; [Linse, K.] British Antarctic Survey, Mandingley Rd, Cambridge CBE 0ET, England</t>
  </si>
  <si>
    <t>University of Hamburg; Senckenberg Gesellschaft fur Naturforschung (SGN); University of Hamburg; Russian Academy of Sciences; National Scientific Center of Marine Biology, Far East Branch of the Russian Academy of Sciences; Far Eastern Federal University; University of Alaska System; University of Alaska Fairbanks; UK Research &amp; Innovation (UKRI); Natural Environment Research Council (NERC); NERC British Antarctic Survey</t>
  </si>
  <si>
    <t>Brandt, A (corresponding author), Univ Hamburg, Ctr Nat Hist, Zool Museum Hamburg, Martin Luther King Pl 3, D-20146 Hamburg, Germany.;Brandt, A (corresponding author), Senckenberg Res Inst, Senckenberganlage 25, D-60325 Frankfurt, Germany.;Brandt, A (corresponding author), Nat Hist Museum, Dept Marine Zool, Sect Crustacea, Senckenberganlage 25, D-60325 Frankfurt, Germany.</t>
  </si>
  <si>
    <t>angelika.brandt@senckenberg.de</t>
  </si>
  <si>
    <t>Malyutina, Marina/JAC-6506-2023; Brandt, Angelika/C-1630-2018; Malyutina, Marina/A-6839-2014; Riehl, Torben/C-3711-2013</t>
  </si>
  <si>
    <t>Riehl, Torben/0000-0002-7363-4421; Malyutina, Marina/0000-0003-2161-3917; Frutos, Inmaculada/0000-0003-0428-5261</t>
  </si>
  <si>
    <t>PTJ (German Ministry for Science and Education) grant [03G0227A]; Bauer Foundation (Germany); NERC [bas0100036] Funding Source: UKRI</t>
  </si>
  <si>
    <t>PTJ (German Ministry for Science and Education) grant; Bauer Foundation (Germany); NERC(UK Research &amp; Innovation (UKRI)Natural Environment Research Council (NERC))</t>
  </si>
  <si>
    <t>The project was undertaken with financial support of the PTJ (German Ministry for Science and Education), grant 03G0227A. The authors are grateful to the crew of the RV Sonne for valuable support during the Vema-TRANSIT expedition and to many students for sample sorting. Thanks to N. Agustin for the map. I. Frutos and T. Guggolz received a Postdoctoral and PhD fellowship, respectively from the Bauer Foundation (Germany). We are grateful to two anonymous reviewers of the manuscript.</t>
  </si>
  <si>
    <t>10.1016/j.dsr2.2017.07.014</t>
  </si>
  <si>
    <t>WOS:000432762700004</t>
  </si>
  <si>
    <t>Linse, K; Schwabe, E</t>
  </si>
  <si>
    <t>Linse, Katrin; Schwabe, Enrico</t>
  </si>
  <si>
    <t>Diversity of macrofaunal Mollusca of the abyssal Vema Fracture Zone and hadal Puerto Rico Trench, Tropical North Atlantic</t>
  </si>
  <si>
    <t>Atlantic; Bivalvia; Gastropoda; Scaphopoda; Species richness</t>
  </si>
  <si>
    <t>SPECIES-DIVERSITY; EPIBENTHIC-SLEDGE; POLAR FRONT; DEEP; ABUNDANCE; SEA; EXTRAPOLATION; RAREFACTION; GASTROPODA; PATTERNS</t>
  </si>
  <si>
    <t>While biodiversity patterns of Atlantic deep-sea bivalves and gastropods have served as model taxa for setting global latitudinal and bathymetric hypotheses, less is known on abyssal, amphi-Atlantic molluscan assemblage compositions. The Vema-TRANSIT expedition sampled 17 stations in the Vema Fracture Zone (VFZ) and the Puerto Rico Trench (PRT) by epibenthic sledge. These samples comprised a total of 1333 specimens and 64 morphospecies of the classes Caudofoveata (7 species), Solenogastres (7 spp.), Bivalvia (22 spp.), Gastropoda (24 spp.), and Scaphopoda (4 spp.) while Cephalopoda, Monoplacophora and Polyplacophora were absent. The majority of species was rare with 21 uniques (32.8% of all species) and 10 duplicates (15.6% of all species) and of these 15 (48% of rare/23.4% of all species) morphospecies were singletons and 8 (25.8% of rare/12.5% of all species) morphospecies were doubletons. Overall bivalves (686 specimens) were most abundant, followed by scaphopods (314 spec.), while solenogastres (180 spec.), caudofoveates (86 spec.) and gastropods (67 spec.) were less abundant. The abyssal macro-molluscan species composition did not vary significantly between the eastern and western Atlantic sides of the VFZ while abundances standardized to 1000 m(2) trawled area were higher on the eastern side. The abyssal PRT stations resembled the VFZ ones in species composition and abundances, in the latter the eastern VFZ. The hadal PRT differed in species composition from the abyssal VFZ and PRT and abundances were similarly low like the western VFZ. The Mid-Atlantic Ridge appeared not to be a barrier for the dispersal of the mostly lecitotrophic or plankotrophic larval stages of the reported molluscan species in this study.</t>
  </si>
  <si>
    <t>[Linse, Katrin] British Antarctic Survey, Nat Environm Res Council, Madingley Rd, Cambridge CB3 0ET, England; [Schwabe, Enrico] Bavarian State Collect Zool ZSM, Dept Mollusca, Munchhausenstr 21, D-81247 Munich, Germany</t>
  </si>
  <si>
    <t>Linse, K (corresponding author), British Antarctic Survey, Nat Environm Res Council, Madingley Rd, Cambridge CB3 0ET, England.</t>
  </si>
  <si>
    <t>kl@bas.ac.uk</t>
  </si>
  <si>
    <t>German Federal Ministry of Education and Research via Projekttrager Julich, Warnemunde, Germany [03G0237A]; National Environmental Research Council; Bavarian State Collection of Zoology [DFG] [667-15/1]; Natural Environment Research Council [bas0100036] Funding Source: researchfish; NERC [bas0100036] Funding Source: UKRI</t>
  </si>
  <si>
    <t>German Federal Ministry of Education and Research via Projekttrager Julich, Warnemunde, Germany; National Environmental Research Council(UK Research &amp; Innovation (UKRI)Natural Environment Research Council (NERC)); Bavarian State Collection of Zoology [DFG]; Natural Environment Research Council(UK Research &amp; Innovation (UKRI)Natural Environment Research Council (NERC)); NERC(UK Research &amp; Innovation (UKRI)Natural Environment Research Council (NERC))</t>
  </si>
  <si>
    <t>This work was supported by the German Federal Ministry of Education and Research via Projekttrager Julich, Warnemunde, Germany [03G0237A SONNE VEMA Transit to Profs. Brandt and Devey]; the National Environmental Research Council [British Antarctic Survey Polar Science for Planet Earth Programme]; and the Bavarian State Collection of Zoology [DFG grant to Prof. M. Schrodl: 667-15/1].</t>
  </si>
  <si>
    <t>10.1016/j.dsr2.2017.02.001</t>
  </si>
  <si>
    <t>WOS:000432762700005</t>
  </si>
  <si>
    <t>Andriuzzi, WS; Adams, BJ; Barrett, JE; Virginia, RA; Wall, DH</t>
  </si>
  <si>
    <t>Andriuzzi, W. S.; Adams, B. J.; Barrett, J. E.; Virginia, R. A.; Wall, D. H.</t>
  </si>
  <si>
    <t>Observed trends of soil fauna in the Antarctic Dry Valleys: early signs of shifts predicted under climate change</t>
  </si>
  <si>
    <t>Antarctica; desert; global change; invertebrates; long-term; McMurdo Dry Valleys; nematodes; polar regions; soil moisture; structural equation model</t>
  </si>
  <si>
    <t>NEMATODE SCOTTNEMA-LINDSAYAE; FREEZE-THAW CYCLES; TAYLOR VALLEY; POLAR DESERT; PRECIPITATION REGIMES; BIOTIC INTERACTIONS; VICTORIA LAND; ECOSYSTEM; COMMUNITIES; RESPONSES</t>
  </si>
  <si>
    <t>Long-term observations of ecological communities are necessary for generating and testing predictions of ecosystem responses to climate change. We investigated temporal trends and spatial patterns of soil fauna along similar environmental gradients in three sites of the McMurdo Dry Valleys, Antarctica, spanning two distinct climatic phases: a decadal cooling trend from the early 1990s through the austral summer of February 2001, followed by a shift to the current trend of warming summers and more frequent discrete warming events. After February 2001, we observed a decline in the dominant species (the nematode Scottnema lindsayae) and increased abundance and expanded distribution of less common taxa (rotifers, tardigrades, and other nematode species). Such diverging responses have resulted in slightly greater evenness and spatial homogeneity of taxa. However, total abundance of soil fauna appears to be declining, as positive trends of the less common species so far have not compensated for the declining numbers of the dominant species. Interannual variation in the proportion of juveniles in the dominant species was consistent across sites, whereas trends in abundance varied more. Structural equation modeling supports the hypothesis that the observed biological trends arose from dissimilar responses by dominant and less common species to pulses of water availability resulting from enhanced ice melt. No direct effects of mean summer temperature were found, but there is evidence of indirect effects via its weak but significant positive relationship with soil moisture. Our findings show that combining an understanding of species responses to environmental change with long-term observations in the field can provide a context for validating and refining predictions of ecological trends in the abundance and diversity of soil fauna.</t>
  </si>
  <si>
    <t>[Andriuzzi, W. S.; Wall, D. H.] Colorado State Univ, Dept Biol, Ft Collins, CO 80523 USA; [Adams, B. J.] Brigham Young Univ, Dept Biol, Evolutionary Ecol Labs, Provo, UT 84602 USA; [Adams, B. J.] Brigham Young Univ, Monte L Bean Museum, Provo, UT 84602 USA; [Barrett, J. E.] Virginia Tech, Dept Biol Sci, Blacksburg, VA 24061 USA; [Virginia, R. A.] Dartmouth Coll, Environm Studies Program, Hanover, NH 03755 USA; [Wall, D. H.] Colorado State Univ, Sch Global Environm Sustainabil, Ft Collins, CO 80523 USA</t>
  </si>
  <si>
    <t>Colorado State University; Brigham Young University; Brigham Young University; Virginia Polytechnic Institute &amp; State University; Dartmouth College; Colorado State University</t>
  </si>
  <si>
    <t>Andriuzzi, WS (corresponding author), Colorado State Univ, Dept Biol, Ft Collins, CO 80523 USA.</t>
  </si>
  <si>
    <t>walter.andriuzzi@colostate.edu</t>
  </si>
  <si>
    <t>Wall, Diana H/F-5491-2011; Barrett, John/D-5851-2016; Adams, Byron/C-3808-2009</t>
  </si>
  <si>
    <t>Barrett, John/0000-0002-7610-0505; Adams, Byron/0000-0002-7815-3352; Wall, Diana H./0000-0002-9466-5235</t>
  </si>
  <si>
    <t>NSF [OPP 0096250, OPP 1115245]</t>
  </si>
  <si>
    <t>This research was funded by NSF grants OPP 0096250 and OPP 1115245, and is a contribution to the McMurdo Dry Valleys Long-Term Ecological Research program. We gratefully acknowledge the contributions of many students, researchers, and technicians to the fieldwork and laboratory analyses, and we thank the Crary Laboratory staff, Raytheon Polar Services, Antarctic Support Contract, and PHI Helicopters Inc. for logistical support. We also thank Andre Franco for helping with the structural equation models, and two anonymous reviewers for constructive comments.</t>
  </si>
  <si>
    <t>10.1002/ecy.2090</t>
  </si>
  <si>
    <t>WOS:000424165200006</t>
  </si>
  <si>
    <t>Ellwood, MJ; Bowie, AR; Baker, A; Gault-Ringold, M; Hassler, C; Law, CS; Maher, WA; Marriner, A; Nodder, S; Sander, S; Stevens, C; Townsend, A; van der Merwe, P; Woodward, EMS; Wuttig, K; Boyd, PW</t>
  </si>
  <si>
    <t>Ellwood, Michael J.; Bowie, Andrew R.; Baker, Alex; Gault-Ringold, Melanie; Hassler, Christel; Law, Cliff S.; Maher, William A.; Marriner, Andrew; Nodder, Scott; Sander, Sylvia; Stevens, Craig; Townsend, Ashley; van der Merwe, Pier; Woodward, E. Malcolm S.; Wuttig, Kathrin; Boyd, Philip W.</t>
  </si>
  <si>
    <t>Insights Into the Biogeochemical Cycling of Iron, Nitrate, and Phosphate Across a 5,300 km South Pacific Zonal Section (153°E-150°W)</t>
  </si>
  <si>
    <t>NITROGEN-FIXATION; TRACE-METALS; DISSOLVED IRON; PHYTOPLANKTON GROWTH; PRIMARY PRODUCTIVITY; ANTICYCLONIC EDDY; WESTERN PACIFIC; BINDING LIGANDS; NORTH-ATLANTIC; MIXED-LAYER</t>
  </si>
  <si>
    <t>Iron, phosphate, and nitrate are essential nutrients for phytoplankton growth, and hence, their supply into the surface ocean controls oceanic primary production. Here we present a GEOTRACES zonal section (GP13; 30-33 degrees S, 153 degrees E-150 degrees W) extending eastward from Australia to the oligotrophic South Pacific Ocean gyre outlining the concentrations of these key nutrients. Surface dissolved iron concentrations are elevated at &gt;0.4 nmol L-1 near continental Australia (west of 165 degrees E) and decreased eastward to &lt;= 0.2 nmol L-1 (170 degrees W-150 degrees W). The supply of dissolved iron into the upper ocean (&lt;100 m) from the atmosphere and vertical diffusivity averaged 11 +/- 10 nmol m(-2) d(-1). In the remote South Pacific Ocean (170 degrees W-150 degrees W), atmospherically sourced iron is a significant contributor to the surface dissolved iron pool with average supply contribution of 23 +/- 17% (range 3% to 55%). Surface water nitrate concentrations averaged 5 +/- 4 nmol L-1 between 170 degrees W and 150 degrees W, while surface water phosphate concentrations averaged 58 +/- 30 nmol L-1. The supply of nitrogen into the upper ocean is primarily from deeper waters (24-1647 mu mol m(-2) d(-1)) with atmospheric deposition and nitrogen fixation contributing &lt;1% to the overall flux along the eastern part of the transect. The deep water N:P ratio averaged 14.5 +/- 0.5 but declined to &lt;1 above the deep chlorophyll maximum (DCM) indicating a high N:P assimilation ratio by phytoplankton leading to almost quantitative removal of nitrate. The supply stoichiometry for iron and nitrogen relative to phosphate at and above the DCM declines eastward leading to two biogeographical provinces: one with diazotroph production and the other without diazotroph production. Plain Language Summary Iron, phosphate, and nitrate are essential nutrients for phytoplankton growth and hence their supply into the surface ocean controls phytoplankton growth. We present a 5,300 km zonal section extending from Australia into the South Pacific Ocean relating to iron, nitrate, and phosphate. We find that the supply of these nutrients into the surface ocean defines that biogeographical distribution of phytoplankton groups.</t>
  </si>
  <si>
    <t>[Ellwood, Michael J.] Australian Natl Univ, Res Sch Earth Sci, Canberra, ACT, Australia; [Bowie, Andrew R.; Gault-Ringold, Melanie; van der Merwe, Pier; Wuttig, Kathrin] Antarctic Climate &amp; Ecosyst Cooperat Res Ctr, Hobart, Tas, Australia; [Bowie, Andrew R.; Boyd, Philip W.] Univ Tasmania, Inst Marine &amp; Antarctic Studies, Hobart, Tas, Australia; [Baker, Alex] Univ East Anglia, Sch Environm Sci, Ctr Ocean &amp; Atmospher Sci, Norwich, Norfolk, England; [Gault-Ringold, Melanie; Law, Cliff S.; Sander, Sylvia; Boyd, Philip W.] Univ Otago, Dept Chem, Dunedin, New Zealand; [Hassler, Christel] Univ Geneva, Dept FA Forel Environm &amp; Aquat Sci, Geneva, Switzerland; [Law, Cliff S.; Marriner, Andrew; Nodder, Scott; Stevens, Craig; Boyd, Philip W.] Natl Inst Water &amp; Atmospher Res, Wellington, New Zealand; [Maher, William A.] Univ Canberra, Inst Appl Ecol, Canberra, ACT, Australia; [Stevens, Craig] Univ Auckland, Dept Phys, Auckland, New Zealand; [Townsend, Ashley] Univ Tasmania, Cent Sci Lab, Hobart, Tas, Australia; [Woodward, E. Malcolm S.] Plymouth Marine Lab, Plymouth, Devon, England</t>
  </si>
  <si>
    <t>Australian National University; Antarctic Climate &amp; Ecosystems Cooperative Research Centre (ACE CRC); University of Tasmania; University of East Anglia; University of Otago; University of Geneva; National Institute of Water &amp; Atmospheric Research (NIWA) - New Zealand; University of Canberra; University of Auckland; University of Tasmania; Plymouth Marine Laboratory</t>
  </si>
  <si>
    <t>Ellwood, MJ (corresponding author), Australian Natl Univ, Res Sch Earth Sci, Canberra, ACT, Australia.</t>
  </si>
  <si>
    <t>michael.ellwood@anu.edu.au</t>
  </si>
  <si>
    <t>Townsend, Ashley/J-7445-2014; Woodward, Ernest M S/D-5755-2016; Gault-Ringold, Melanie/H-4089-2011; Ellwood, Michael J/G-7390-2011; Sander, Sylvia/AAC-3559-2022; Baker, Alex R/D-1233-2011; Wuttig, Kathrin/O-2888-2019; Bowie, Andrew/C-8677-2013; Boyd, Philip/J-7624-2014; van der Merwe, Pier/C-9210-2015</t>
  </si>
  <si>
    <t>Townsend, Ashley/0000-0002-2972-2678; Sander, Sylvia/0000-0001-9581-9737; Wuttig, Kathrin/0000-0003-4010-5918; Bowie, Andrew/0000-0002-5144-7799; Ellwood, Michael/0000-0003-4288-8530; Boyd, Philip/0000-0001-7850-1911; Hassler, Christel/0000-0002-8976-5469; Baker, Alex/0000-0002-8365-8953; van der Merwe, Pier/0000-0002-7428-8030; East, Melanie/0000-0002-0040-6428; Law, Cliff/0000-0002-7669-2475</t>
  </si>
  <si>
    <t>New Zealand Foundation for Research, Science and Technology Coasts and Oceans Outcome-Based Investment [COIX0501]; Australian Research Council [DP1092892, DP110100108, FT130100037]; University of Tasmania [B0018994, B0019024, L0018934]; University of Technology Sydney Chancellor Fellowship; New Zealand International Traveller grant; NERC [pml010009, pml010002] Funding Source: UKRI; Natural Environment Research Council [pml010009, pml010002] Funding Source: researchfish; Australian Research Council [FT130100037, DP1092892] Funding Source: Australian Research Council</t>
  </si>
  <si>
    <t>New Zealand Foundation for Research, Science and Technology Coasts and Oceans Outcome-Based Investment; Australian Research Council(Australian Research Council); University of Tasmania; University of Technology Sydney Chancellor Fellowship; New Zealand International Traveller grant; NERC(UK Research &amp; Innovation (UKRI)Natural Environment Research Council (NERC)); Natural Environment Research Council(UK Research &amp; Innovation (UKRI)Natural Environment Research Council (NERC)); Australian Research Council(Australian Research Council)</t>
  </si>
  <si>
    <t>We thank the Captains and crew of the R/V Tangaroa and R/V Southern Surveyor for help at sea. We are grateful to James Moffett, Joseph Resing, and Peter Sedwick for comments on the manuscript during its development. We thank Natalie Mahowald and Sylvia Cole for providing data from their modeling efforts. We also thank Anoop Chandrasekhar for providing unpublished iron speciation data. Finally, we thank thoughtful comments from two anonymous reviewers that help to improve the manuscript. This research was supported by the New Zealand Foundation for Research, Science and Technology Coasts and Oceans Outcome-Based Investment (COIX0501), and the Australian Research Council Discovery Projects (DP1092892 and DP110100108) and Future Fellowships (FT130100037) programs, University of Tasmania, internal grants to A. R. B. (refs B0018994, B0019024, and L0018934), and University of Technology Sydney Chancellor Fellowship to CSH. The Participation of EMSW was thanks to a New Zealand International Traveller grant. The data presented in this manuscript are available from the GEOTRACE data repository (www.geotrace.org).</t>
  </si>
  <si>
    <t>10.1002/2017GB005736</t>
  </si>
  <si>
    <t>FY4ED</t>
  </si>
  <si>
    <t>WOS:000426773600003</t>
  </si>
  <si>
    <t>Davis, BE; Flynn, EE; Miller, NA; Nelson, FA; Fangue, NA; Todgham, AE</t>
  </si>
  <si>
    <t>Davis, Brittany E.; Flynn, Erin E.; Miller, Nathan A.; Nelson, Frederick A.; Fangue, Nann A.; Todgham, Anne E.</t>
  </si>
  <si>
    <t>Antarctic emerald rockcod have the capacity to compensate for warming when uncoupled from CO2-acidification</t>
  </si>
  <si>
    <t>behavior; cardiorespiratory physiology; climate change; metabolism; ocean acidification; polar; temperature; Trematomus bernacchii</t>
  </si>
  <si>
    <t>ELEVATED CARBON-DIOXIDE; OCEAN ACIDIFICATION; CLIMATE-CHANGE; TREMATOMUS-BERNACCHII; NOTOTHENIOID FISH; FORAGING BEHAVIOR; RED DRUM; THERMAL-ACCLIMATION; HOMING ABILITY; TEMPERATURE</t>
  </si>
  <si>
    <t>Increases in atmospheric CO2 levels and associated ocean changes are expected to have dramatic impacts on marine ecosystems. Although the Southern Ocean is experiencing some of the fastest rates of change, few studies have explored how Antarctic fishes may be affected by co-occurring ocean changes, and even fewer have examined early life stages. To date, no studies have characterized potential trade-offs in physiology and behavior in response to projected multiple climate change stressors (ocean acidification and warming) on Antarctic fishes. We exposed juvenile emerald rockcod Trematomus bernacchii to three PCO2 treatments (similar to 450, similar to 850, and similar to 1,200 atm PCO2) at two temperatures (-1 or 2 degrees C). After 2, 7, 14, and 28 days, metrics of physiological performance including cardiorespiratory function (heart rate [f(H)] and ventilation rate [f(V)]), metabolic rate (MO2), and cellular enzyme activity were measured. Behavioral responses, including scototaxis, activity, exploration, and escape response were assessed after 7 and 14 days. Elevated PCO2 independently had little impact on either physiology or behavior in juvenile rockcod, whereas warming resulted in significant changes across acclimation time. After 14 days, f(H),f(V) and MO2 significantly increased with warming, but not with elevated PCO2. Increased physiological costs were accompanied by behavioral alterations including increased dark zone preference up to 14%, reduced activity by 12%, as well as reduced escape time suggesting potential trade-offs in energetics. After 28 days, juvenile rockcod demonstrated a degree of temperature compensation as f(V), MO2, and cellular metabolism significantly decreased following the peak at 14 days; however, temperature compensation was only evident in the absence of elevated PCO2. Sustained increases in f(V) and MO2 after 28 days exposure to elevated PCO2 indicate additive (f(V)) and synergistic (MO2) interactions occurred in combination with warming. Stressor-induced energetic trade-offs in physiology and behavior may be an important mechanism leading to vulnerability of Antarctic fishes to future ocean change.</t>
  </si>
  <si>
    <t>[Davis, Brittany E.; Flynn, Erin E.; Miller, Nathan A.; Nelson, Frederick A.; Todgham, Anne E.] Univ Calif Davis, Dept Anim Sci, Davis, CA 95616 USA; [Davis, Brittany E.; Fangue, Nann A.] Univ Calif Davis, Dept Wildlife Fish &amp; Conservat Biol, Davis, CA 95616 USA; [Miller, Nathan A.] San Francisco State Univ, Romberg Tiburon Ctr, Tiburon, CA USA; [Nelson, Frederick A.] Howard Univ, Dept Biol, Washington, DC 20059 USA</t>
  </si>
  <si>
    <t>University of California System; University of California Davis; University of California System; University of California Davis; California State University System; San Francisco State University; Howard University</t>
  </si>
  <si>
    <t>Todgham, Anne/0000-0003-1439-6985; Davis, Brittany/0000-0003-3752-1830</t>
  </si>
  <si>
    <t>Division of Polar Programs [ANT-1142122]; National Science Foundation; University of California Agricultural Experiment Station [CA-D-ASC-2252-H, CA-D-ASC-2098-H]; Office of Polar Programs (OPP); Directorate For Geosciences [1142122] Funding Source: National Science Foundation</t>
  </si>
  <si>
    <t>Division of Polar Programs(National Science Foundation (NSF)NSF - Directorate for Geosciences (GEO)); National Science Foundation(National Science Foundation (NSF)); University of California Agricultural Experiment Station(University of California System); Office of Polar Programs (OPP); Directorate For Geosciences(National Science Foundation (NSF)NSF - Directorate for Geosciences (GEO))</t>
  </si>
  <si>
    <t>Division of Polar Programs, Grant/Award Number: ANT-1142122; National Science Foundation; University of California Agricultural Experiment Station, Grant/Award Number: CA-D-ASC-2252-H, CA-D-ASC-2098-H</t>
  </si>
  <si>
    <t>E655</t>
  </si>
  <si>
    <t>E670</t>
  </si>
  <si>
    <t>10.1111/gcb.13987</t>
  </si>
  <si>
    <t>WOS:000423994700023</t>
  </si>
  <si>
    <t>Carr, SA; Schubotz, F; Dunbar, RB; Mills, CT; Dias, R; Summons, RE; Mandernack, KW</t>
  </si>
  <si>
    <t>Carr, Stephanie A.; Schubotz, Florence; Dunbar, Robert B.; Mills, Christopher T.; Dias, Robert; Summons, Roger E.; Mandernack, Kevin W.</t>
  </si>
  <si>
    <t>Acetoclastic Methanosaeta are dominant methanogens in organic-rich Antarctic marine sediments</t>
  </si>
  <si>
    <t>INTACT POLAR LIPIDS; CARBON-ISOTOPE FRACTIONATION; MICROBIAL DARK-MATTER; NITROSOPUMILUS-MARITIMUS; SP NOV.; ARCHAEAL; PATTERNS; ACETATE; BIOGEOCHEMISTRY; COMMUNITIES</t>
  </si>
  <si>
    <t>Despite accounting for the majority of sedimentary methane, the physiology and relative abundance of subsurface methanogens remain poorly understood. We combined intact polar lipid and metagenome techniques to better constrain the presence and functions of methanogens within the highly reducing, organic-rich sediments of Antarctica's Adelie Basin. The assembly of metagenomic sequence data identified phylogenic and functional marker genes of methanogens and generated the first Methanosaeta sp. genome from a deep subsurface sedimentary environment. Based on structural and isotopic measurements, glycerol dialkyl glycerol tetraethers with diglycosyl phosphatidylglycerol head groups were classified as biomarkers for active methanogens. The stable carbon isotope (delta C-13) values of these biomarkers and the Methanosaeta partial genome suggest that these organisms are acetoclastic methanogens and represent a relatively small (0.2%) but active population. Metagenomic and lipid analyses suggest that Thaumarchaeota and heterotrophic bacteria co-exist with Methanosaeta and together contribute to increasing concentrations and delta C-13 values of dissolved inorganic carbon with depth. This study presents the first functional insights of deep subsurface Methanosaeta organisms and highlights their role in methane production and overall carbon cycling within sedimentary environments.</t>
  </si>
  <si>
    <t>[Carr, Stephanie A.] Bigelow Lab Ocean Sci, East Boothbay, ME USA; [Schubotz, Florence] Univ Bremen, MARUM Ctr Marine Environm Sci, Bremen, Germany; [Dunbar, Robert B.] Stanford Univ, Dept Environm Earth Syst Sci, Stanford, CA 94305 USA; [Mills, Christopher T.; Dias, Robert] US Geol Survey, Denver Fed Ctr, Denver, CO USA; [Summons, Roger E.] MIT, Dept Earth Atmospher &amp; Planetary Sci, 77 Massachusetts Ave, Cambridge, MA 02139 USA; [Mandernack, Kevin W.] Indiana Univ Purdue Univ, Dept Earth Sci, 723 West Michigan St, Indianapolis, IN 46202 USA</t>
  </si>
  <si>
    <t>Bigelow Laboratory for Ocean Sciences; University of Bremen; Stanford University; United States Department of the Interior; United States Geological Survey; Massachusetts Institute of Technology (MIT); Indiana University System; Indiana University-Purdue University Indianapolis</t>
  </si>
  <si>
    <t>Mandernack, KW (corresponding author), Indiana Univ Purdue Univ, Dept Earth Sci, 723 West Michigan St, Indianapolis, IN 46202 USA.</t>
  </si>
  <si>
    <t>kevinman@iupui.edu</t>
  </si>
  <si>
    <t>Summons, Roger Everett/AAL-3789-2020</t>
  </si>
  <si>
    <t>Dunbar, Robert/0000-0002-9728-5609</t>
  </si>
  <si>
    <t>shipboard party of IODP Expedition 318; Alfred P Sloan Foundation; US National Science Foundation [NSF OCE-0939564]; Center for Dark Energy Biosphere Investigations; NSF [OCE-1521614]; NASA [NNA13AA90A]; Central Research Development Fund, University of Bremen</t>
  </si>
  <si>
    <t>shipboard party of IODP Expedition 318; Alfred P Sloan Foundation(Alfred P. Sloan Foundation); US National Science Foundation(National Science Foundation (NSF)); Center for Dark Energy Biosphere Investigations; NSF(National Science Foundation (NSF)); NASA(National Aeronautics &amp; Space Administration (NASA)); Central Research Development Fund, University of Bremen</t>
  </si>
  <si>
    <t>We thank the shipboard party of IODP Expedition 318 for supporting this work, especially co-chiefs Escutia and Brinkhuis, Staff Scientist Klaus and geochemistry team: James Bendle, Tina van de Flierdt, and Francisco Jimenez-Espejo. We thank Charles Pepe-Ranney and Benjamin Tully for bioinformatics assistance, David Mucciarone for isotope geochemistry assistance, Kai-Uwe Hinrichs and John Spear for the use of their facilities, Julius Lipp for provision of IPL standards and Beth Orcutt for manuscript comments. The Deep Carbon Observatory's Census of Deep Life project funded by the Alfred P Sloan Foundation provided sequencing services. Carr was funded by the US National Science Foundation (NSF OCE-0939564) and the Center for Dark Energy Biosphere Investigations (funded by NSF OCE-1521614, publication no. 390). FS and RES acknowledge funding from NASA Astrobiology grant (NNA13AA90A) and the Central Research Development Fund, University of Bremen. Any use of trade, firm or product names is for descriptive purposes only and does not imply endorsement by the US Government.</t>
  </si>
  <si>
    <t>10.1038/ismej.2017.150</t>
  </si>
  <si>
    <t>FS9ZK</t>
  </si>
  <si>
    <t>WOS:000422779100004</t>
  </si>
  <si>
    <t>Deng, ZL; Zhou, Y; Liu, XD; Zhang, CB; Chen, YP</t>
  </si>
  <si>
    <t>Deng, Zilong; Zhou, Ying; Liu, Xiangdong; Zhang, Chengbin; Chen, Yongping</t>
  </si>
  <si>
    <t>Temperature Dynamic Characteristics of Power-Generation Cabin in Antarctic: Case Study for Dome A</t>
  </si>
  <si>
    <t>JOURNAL OF ENERGY ENGINEERING</t>
  </si>
  <si>
    <t>Temperature; Simulation; Plateau observatory (PLATO); Antarctic</t>
  </si>
  <si>
    <t>DESIGN</t>
  </si>
  <si>
    <t>With the goal of providing basic thermal data for the thermal management of a power-generation cabin at Dome A in the Antarctic, a dynamic model of annual temperature variations in the power-generation cabin is developed by using a lumped-parameter method. The dynamic temperature variations and thermal responses of a power-generation cabin system throughout the year are investigated. The effects of ventilation rate and intermittent operation on the indoor air temperature are examined and analyzed. The results indicate that the air inlet and exhaust fan should be configured in the power-generation cabin to control the indoor air temperature at an acceptable level. The total ventilation rate for the power-generation cabin should between G=0.68 and 1.38m3/min. Under intermittent operation, the indoor air temperature can easily be lower than 0 degrees C and may even reach -40 degrees C in the cold season. The thermal response times during the start-up of the diesel generator unit are 0.7h, 1.0h, 15days, and 50days for the indoor air, cabin shell, upper oil layer, and lower oil layer, respectively. If the diesel generator unit fails, the oil temperature will decrease to -40 degrees C after 65days in the cold season and 110days in the warm season.</t>
  </si>
  <si>
    <t>[Deng, Zilong; Chen, Yongping] Southeast Univ, Sch Energy &amp; Environm, Nanjing 210096, Jiangsu, Peoples R China; [Zhou, Ying; Zhang, Chengbin] Southeast Univ, Sch Energy &amp; Environm, Key Lab Energy Thermal Convers &amp; Control, Minist Educ, Nanjing 210096, Jiangsu, Peoples R China; [Liu, Xiangdong] Yangzhou Univ, Sch Hydraul Energy &amp; Power Engn, Yangzhou 225127, Jiangsu, Peoples R China; [Chen, Yongping] Suzhou Univ Sci &amp; Technol, Sch Environm Sci &amp; Engn, Suzhou 215009, Jiangsu, Peoples R China</t>
  </si>
  <si>
    <t>Southeast University - China; Southeast University - China; Yangzhou University; Suzhou University of Science &amp; Technology</t>
  </si>
  <si>
    <t>Chen, YP (corresponding author), Southeast Univ, Sch Energy &amp; Environm, Nanjing 210096, Jiangsu, Peoples R China.;Chen, YP (corresponding author), Suzhou Univ Sci &amp; Technol, Sch Environm Sci &amp; Engn, Suzhou 215009, Jiangsu, Peoples R China.</t>
  </si>
  <si>
    <t>zldeng@microflows.net; yzhou@microflows.net; xdliu_yzu@126.com; cbzhang@seu.edu.cn; ypchen@mail.usts.edu.cn</t>
  </si>
  <si>
    <t>SEU, Chen/K-5760-2012; Liu, Xiangdong/B-8451-2018; Zhang, Chengbin/E-6535-2016</t>
  </si>
  <si>
    <t>Zhang, Chengbin/0000-0001-5388-4370; Liu, Xiangdong/0000-0002-9816-688X</t>
  </si>
  <si>
    <t>National Natural Science Foundation of China [11190015, 51406175]; Natural Science Foundation of Jiangsu Province [BK20140488]</t>
  </si>
  <si>
    <t>National Natural Science Foundation of China(National Natural Science Foundation of China (NSFC)); Natural Science Foundation of Jiangsu Province(Natural Science Foundation of Jiangsu Province)</t>
  </si>
  <si>
    <t>This work was supported by the National Natural Science Foundation of China (11190015 and 51406175) and the Natural Science Foundation of Jiangsu Province (BK20140488).</t>
  </si>
  <si>
    <t>0733-9402</t>
  </si>
  <si>
    <t>1943-7897</t>
  </si>
  <si>
    <t>J ENERG ENG</t>
  </si>
  <si>
    <t>J. Energy Eng.-ASCE</t>
  </si>
  <si>
    <t>10.1061/(ASCE)EY.1943-7897.0000507</t>
  </si>
  <si>
    <t>Energy &amp; Fuels; Engineering, Civil</t>
  </si>
  <si>
    <t>FQ5LO</t>
  </si>
  <si>
    <t>WOS:000418401900008</t>
  </si>
  <si>
    <t>Giovannini, I; Altiero, T; Guidetti, R; Rebecchi, L</t>
  </si>
  <si>
    <t>Giovannini, Ilaria; Altiero, Tiziana; Guidetti, Roberto; Rebecchi, Lorena</t>
  </si>
  <si>
    <t>Will the Antarctic tardigrade Acutuncus antarcticus be able to withstand environmental stresses related to global climate change?</t>
  </si>
  <si>
    <t>Meiofauna; Life history traits; Desiccation; Thermo-tolerance; Ultraviolet radiation; Antarctica</t>
  </si>
  <si>
    <t>RADIATION TOLERANCE; LIFE-HISTORY; ANTIOXIDANT DEFENSES; TEMPERATURE; ANHYDROBIOSIS; DESICCATION; TERRESTRIAL; DIVERSITY; SURVIVAL; INVERTEBRATES</t>
  </si>
  <si>
    <t>Because conditions in continental Antarctica are highly selective and extremely hostile to life, its biota is depauperate, but well adapted to live in this region. Global climate change has the potential to impact continental Antarctic organisms because of increasing temperatures and ultraviolet radiation. This research evaluates how ongoing climate changes will affect Antarctic species, and whether Antarctic organisms will be able to adapt to the new environmental conditions. Tardigrades represent one of the main terrestrial components of Antarctic meiofauna; therefore, the pan-Antarctic tardigrade Acutuncus antarcticus was used as model to predict the fate of Antarctic meiofauna threatened by climate change. Acutuncus antarcticus individuals tolerate events of desiccation, increased temperature and UV radiation. Both hydrated and desiccated animals tolerate increases in UV radiation, even though the desiccated animals are more resistant. Nevertheless, the survivorship of hydrated and desiccated animals is negatively affected by the combination of temperature and UV radiation, with the hydrated animals being more tolerant than desiccated animals. Finally, UV radiation has a negative impact on the life history traits of successive generations of A. antarcticus, causing an increase in egg reabsorption and teratological events. In the long run, A. antarcticus could be at risk of population reductions or even extinction. Nevertheless, because the changes in global climate will proceed gradually and an overlapping of temperature and UV increase could be limited in time, A. antarcticus, as well as many other Antarctic organisms, could have the potential to overcome global warming stresses, and/or the time and capability to adapt to the new environmental conditions.</t>
  </si>
  <si>
    <t>[Giovannini, Ilaria; Guidetti, Roberto; Rebecchi, Lorena] Univ Modena &amp; Reggio Emilia, Dept Life Sci, I-41125 Modena, Italy; [Altiero, Tiziana] Univ Modena &amp; Reggio Emilia, Dept Educ &amp; Humanities, I-42121 Reggio Emilia, Italy</t>
  </si>
  <si>
    <t>Universita di Modena e Reggio Emilia; Universita di Modena e Reggio Emilia</t>
  </si>
  <si>
    <t>Rebecchi, L (corresponding author), Univ Modena &amp; Reggio Emilia, Dept Life Sci, I-41125 Modena, Italy.</t>
  </si>
  <si>
    <t>lorena.rebecchi@unimore.it</t>
  </si>
  <si>
    <t>; Rebecchi, Lorena/E-1653-2015; Guidetti, Roberto/H-2855-2012</t>
  </si>
  <si>
    <t>Altiero, Tiziana/0000-0001-6863-8754; Rebecchi, Lorena/0000-0001-5610-806X; Guidetti, Roberto/0000-0001-6079-2538</t>
  </si>
  <si>
    <t>PNRA-MIUR [Programma Nazionale Ricerche in Antartide; Ministero dell'Istruzione dell'Universita e della Ricerca (Italy)] [PdR 2013/AZ1.13, PdR 2013 B1/01]</t>
  </si>
  <si>
    <t>PNRA-MIUR [Programma Nazionale Ricerche in Antartide; Ministero dell'Istruzione dell'Universita e della Ricerca (Italy)]</t>
  </si>
  <si>
    <t>This work was supported by the projects PdR 2013/AZ1.13 to L.R. and PdR 2013 B1/01 to R.G., both granted by PNRA-MIUR [Programma Nazionale Ricerche in Antartide; Ministero dell'Istruzione dell'Universita e della Ricerca (Italy)], and the project 'Environments, food and health' granted by the University of Modena and Reggio Emilia (Italy) to L.R. and R.G.</t>
  </si>
  <si>
    <t>jeb160622</t>
  </si>
  <si>
    <t>10.1242/jeb.160622</t>
  </si>
  <si>
    <t>FX8PI</t>
  </si>
  <si>
    <t>WOS:000426356800026</t>
  </si>
  <si>
    <t>Antarctic water bears should cope with climate change</t>
  </si>
  <si>
    <t>jeb177105</t>
  </si>
  <si>
    <t>10.1242/jeb.177105</t>
  </si>
  <si>
    <t>WOS:000426356800003</t>
  </si>
  <si>
    <t>Benthuysen, JA; Oliver, ECJ; Feng, M; Marshall, AG</t>
  </si>
  <si>
    <t>Benthuysen, Jessica A.; Oliver, Eric C. J.; Feng, Ming; Marshall, Andrew G.</t>
  </si>
  <si>
    <t>Extreme Marine Warming Across Tropical Australia During Austral Summer 2015-2016</t>
  </si>
  <si>
    <t>NINO SOUTHERN-OSCILLATION; GREAT-BARRIER-REEF; SEA-SURFACE TEMPERATURE; INTERANNUAL VARIABILITY; OCEAN CAPACITOR; CLIMATE; MONSOON; PACIFIC; ENSO; SALINITY</t>
  </si>
  <si>
    <t>During austral summer 2015-2016, prolonged extreme ocean warming events, known as marine heatwaves (MHWs), occurred in the waters around tropical Australia. MHWs arose first in the southeast tropical Indian Ocean in November 2015, emerging progressively east until March 2016, when all waters from the North West Shelf to the Coral Sea were affected. The MHW maximum intensity tended to occur in March, coinciding with the timing of the maximum sea surface temperature (SST). Large areas were in a MHW state for 3-4 months continuously with maximum intensities over 2 degrees C. In 2016, the Indonesian-Australian Basin and areas including the Timor Sea and Kimberley shelf experienced the longest and most intense MHW from remotely sensed SST dating back to 1982. In situ temperature data from temperature loggers at coastal sites revealed a consistent picture, with MHWs appearing from west to east and peaking in March 2016. Temperature data from moorings, an Argo float, and Slocum gliders showed the extent of warming with depth. The events occurred during a strong El Nino and weakened monsoon activity, enhanced by the extended suppressed phase of the Madden-Julian Oscillation. Reduced cloud cover in January and February 2016 led to positive air-sea heat flux anomalies into the ocean, predominantly due to the shortwave radiation contribution with a smaller additional contribution from the latent heat flux anomalies. A data-assimilating ocean model showed regional changes in the upper ocean circulation and a change in summer surface mixed layer depths and barrier layer thicknesses consistent with past El Nino events. Plain Language Summary From the southeast tropical Indian Ocean to the Coral Sea, waters across tropical Australia experienced extreme warming during austral summer 2015-2016. This widespread warming was mainly caused by changes in the atmospheric conditions related to the strong El Nino. These regions had reduced cloud cover and weakened winds, leading to enhanced oceanic heating by the atmosphere. In the Indonesian-Australian Basin and surroundings areas, the shallower mixed layer depth further intensified the near-surface warming. We used satellite sea surface temperature and a range of instruments to document the warming events near the coast and in the deeper ocean. The warmer than average conditions persisted through austral winter and weakened in spring.</t>
  </si>
  <si>
    <t>[Benthuysen, Jessica A.] Australian Inst Marine Sci, Townsville, Qld, Australia; [Oliver, Eric C. J.] Univ Tasmania, Inst Marine &amp; Antarctic Studies, Hobart, Tas, Australia; [Oliver, Eric C. J.] Univ Tasmania, Australian Res Council Ctr Excellence Climate Sys, Hobart, Tas, Australia; [Oliver, Eric C. J.] Dalhousie Univ, Dept Oceanog, Halifax, NS, Canada; [Feng, Ming] CSIRO Oceans &amp; Atmosphere, Indian Ocean Marine Res Ctr, Crawley, WA, Australia; [Feng, Ming] Ctr Southern Hemisphere Oceans Res, Hobart, Tas, Australia; [Marshall, Andrew G.] Australian Bur Meteorol, Hobart, Tas, Australia</t>
  </si>
  <si>
    <t>Australian Institute of Marine Science; University of Tasmania; University of Tasmania; Dalhousie University; Commonwealth Scientific &amp; Industrial Research Organisation (CSIRO); University of Western Australia; Bureau of Meteorology - Australia</t>
  </si>
  <si>
    <t>Benthuysen, JA (corresponding author), Australian Inst Marine Sci, Townsville, Qld, Australia.</t>
  </si>
  <si>
    <t>j.benthuysen@aims.gov.au</t>
  </si>
  <si>
    <t>Feng, Ming/F-5411-2010; Oliver, Eric/G-5118-2014</t>
  </si>
  <si>
    <t>Oliver, Eric/0000-0002-4006-2826; Marshall, Andrew/0000-0003-4902-1462; Benthuysen, Jessica/0000-0001-7615-6587</t>
  </si>
  <si>
    <t>Australian Government; Great Barrier Reef Foundation (GBRF); National Environmental Science Programme (NESP) Tropical Water Quality Hub Project; Australian Research Council (ARC) Centre of Excellence for Climate System Science (ARCCSS) [CE110001028]; Centre for Southern Hemisphere Oceans Research (CSHOR)</t>
  </si>
  <si>
    <t>Australian Government(Australian Government); Great Barrier Reef Foundation (GBRF); National Environmental Science Programme (NESP) Tropical Water Quality Hub Project; Australian Research Council (ARC) Centre of Excellence for Climate System Science (ARCCSS)(Australian Research Council); Centre for Southern Hemisphere Oceans Research (CSHOR)</t>
  </si>
  <si>
    <t>The NCEP-DOE Reanalysis 2 wind data, the daily 0.25 degrees resolution and the weekly 1 degrees resolution NOAA OISST V2 data, and the outgoing longwave radiation (OLR) data are provided by the NOAA/OAR/ESRLPSD, Boulder, CO, USA, at http://www.esrl.noaa.gov/psd/. The temperature data from the Australian Baseline Sea Level Monitoring Project (ABSLMP) are provided by the Bureau of Meteorology (http://www.bom.gov.au/oceanography/projects/abslmp/data/index.shtml). Data from the R/V Solander's underway system, Margaret Harries Bank and Palm Passage moorings, and Slocum gliders were sourced from the Integrated Marine Observing System (IMOS)-IMOS is a national collaborative research infrastructure, supported by the Australian Government. The R/V Solander's underway data are provided by the Australian Ocean Data Network (AODN) Portal (https://portal.aodn.org.au/) and, including the AIMS temperature logger data, the AIMS Data Catalogue (http://www.aims.gov.au/docs/data/data.html). The temperature logger data from the IMOS moorings and the IMOS Facility for Automated Intelligent Monitoring of Marine Systems (FAIMMS), the IMOS Australian National Facility for Ocean Gliders (ANFOG) Slocum glider data, and the CSIRO Atlas of Regional Seas (CARS) 2009 are provided by the AODN Portal. We acknowledge funding provided by the Great Barrier Reef Foundation (GBRF) for the Slocum glider missions. We thank the assistance of the IMOS ANFOG, and we thank Ken Ridgway for support with the glider analyses. The Argo data are downloaded from the AODN Portal and Argo GDAC Data Browser (http://www.usgodae.org/cgi-bin/argo_select.pl), and these data are collected and made freely available by the International Argo Program and the national programs that contribute to it (http://www.argo.ucsd.edu, http://argo.jcommops.org). The Argo Program is part of the Global Ocean Observing System. The model output from BRAN-2016 is available from the National Computational Infrastructure at: http://dapds00.nci.org.au/thredds/catalog/gb6/BRAN/BRAN_2016/OFAM/catalog.html. Coastline data are sourced from the Global Self-Consistent, Hierarchical, High-resolution Geography Database (GSHHG) version 2.3.6 (http://www.soest.hawaii.edu/pwessel/gshhg/). The high-resolution bathymetry for the GBR is from gbr100 (https://www.deepreef.org/bathymetry/65-3dgbrbathy.html). The Australian Tropical Cyclone Database is updated regularly (http://www.bom.gov.au/cyclone/history/index.shtml). JB was supported by the National Environmental Science Programme (NESP) Tropical Water Quality Hub Project 3.3.3. EO was supported by the Australian Research Council (ARC) Centre of Excellence for Climate System Science (ARCCSS) grant CE110001028. MF was supported by Centre for Southern Hemisphere Oceans Research (CSHOR), which is a joint initiative between the Qingdao National Laboratory for Marine Science and Technology (QNLM), CSIRO, University of New South Wales and University of Tasmania. We thank Rong-Hua Zhang for helpful discussions on the El Nino Southern Oscillation and two anonymous reviewers for their constructive comments.</t>
  </si>
  <si>
    <t>10.1002/2017JC013326</t>
  </si>
  <si>
    <t>WOS:000427970400034</t>
  </si>
  <si>
    <t>Gutt, J; Isla, E; Bertler, AN; Bodeker, GE; Bracegirdle, TJ; Cavanagh, RD; Comiso, JC; Convey, P; Cummings, V; De Conto, R; De Master, D; di Prisco, G; d'Ovidio, F; Griffiths, HJ; Khan, AL; López-Martínez, J; Murray, AE; Nielsen, UN; Ott, S; Post, A; Ropert-Coudert, Y; Saucède, T; Scherer, R; Schiaparelli, S; Schloss, IR; Smith, CR; Stefels, J; Stevens, C; Strugnell, JM; Trimborn, S; Verde, C; Verleyen, E; Wall, DH; Wilson, NG; Xavier, JC</t>
  </si>
  <si>
    <t>Gutt, J.; Isla, E.; Bertler, A. N.; Bodeker, G. E.; Bracegirdle, T. J.; Cavanagh, R. D.; Comiso, J. C.; Convey, P.; Cummings, V.; De Conto, R.; De Master, D.; di Prisco, G.; d'Ovidio, F.; Griffiths, H. J.; Khan, A. L.; Lopez-Martinez, J.; Murray, A. E.; Nielsen, U. N.; Ott, S.; Post, A.; Ropert-Coudert, Y.; Saucede, T.; Scherer, R.; Schiaparelli, S.; Schloss, I. R.; Smith, C. R.; Stefels, J.; Stevens, C.; Strugnell, J. M.; Trimborn, S.; Verde, C.; Verleyen, E.; Wall, D. H.; Wilson, N. G.; Xavier, J. C.</t>
  </si>
  <si>
    <t>Cross-disciplinarity in the advance of Antarctic ecosystem research</t>
  </si>
  <si>
    <t>Scaling; Risk maps; Response to environmental changes; Sea-ice; Multiple stressors; Southern Ocean</t>
  </si>
  <si>
    <t>SOUTHERN-OCEAN; CLIMATE-CHANGE; SEA-ICE; ENVIRONMENTAL CONSTRAINTS; BIOLOGICAL INVASIONS; ROSS SEA; FUTURE; TRENDS; BIODIVERSITY; COMMUNITIES</t>
  </si>
  <si>
    <t>The biodiversity, ecosystem services and climate variability of the Antarctic continent and the Southern Ocean are major components of the whole Earth system. Antarctic ecosystems are driven more strongly by the physical environment than many other marine and terrestrial ecosystems. As a consequence, to understand ecological functioning, cross-disciplinary studies are especially important in Antarctic research. The conceptual study presented here is based on a workshop initiated by the Research Programme Antarctic Thresholds - Ecosystem Resilience and Adaptation of the Scientific Committee on Antarctic Research, which focussed on challenges in identifying and applying cross-disciplinary approaches in the Antarctic. Novel ideas and first steps in their implementation were clustered into eight themes. These ranged from scale problems, through risk maps, and organism/ecosystem responses to multiple environmental changes and evolutionary processes. Scaling models and data across different spatial and temporal scales were identified as an overarching challenge. Approaches to bridge gaps in Antarctic research programmes included multi-disciplinary monitoring, linking biomolecular findings and simulated physical environments, as well as integrative ecological modelling. The results of advanced cross-disciplinary approaches can contribute significantly to our knowledge of Antarctic and global ecosystem functioning, the consequences of climate change, and to global assessments that ultimately benefit humankind.</t>
  </si>
  <si>
    <t>[Gutt, J.; Trimborn, S.] Hemholtz Ctr Polar &amp; Marine Res, Alfred Wegener Inst, POB 120161, D-27515 Bremerhaven, Germany; [Isla, E.] CSIC, Inst Ciencies Mar, Passeig Maritim Barceloneta 37-49, E-08003 Barcelona, Spain; [Bertler, A. N.] Victoria Univ, Antarctic Res Ctr, POB 600, Wellington, New Zealand; [Bertler, A. N.] GNS Sci, POB 600, Wellington, New Zealand; [Bodeker, G. E.] Bodeker Sci, 42 Russell St, Alexandra 9320, Central Otago, New Zealand; [Bracegirdle, T. J.; Cavanagh, R. D.; Convey, P.; Griffiths, H. J.] British Antarctic Survey, NERC, Madingley Rd, Cambridge CB3 0ET, England; [Comiso, J. C.] NASA, Goddard Space Flight Ctr, Code 615,8800,20 Rd, Greenbelt, MD 20771 USA; [Cummings, V.; Stevens, C.] Natl Inst Water &amp; Atmospher Res, 301 Evans Bay Parade, Wellington, New Zealand; [De Conto, R.] Univ Massachusetts, Dept Geosci, Amherst, MA 01003 USA; [De Master, D.] North Carolina State Univ, Dept Marine Earth &amp; Atmospher Sci, Raleigh, NC 27695 USA; [di Prisco, G.; Verde, C.] CNR, Inst Biosci &amp; Bioresources, Via Pietro Castellino 111, IT-80131 Naples, Italy; [d'Ovidio, F.] Sorbonne Univ, UPMC Paris 6, CNRS IRD MNHN, Lab Oceanog &amp; Climat LOCEAN,IPSL, F-75252 Paris 05, France; [Khan, A. L.; Schloss, I. R.] Univ Colorado, Natl Snow &amp; Ice Data Ctr, Boulder, CO 80309 USA; [Khan, A. L.; Schloss, I. R.] Univ Colorado, Cooperat Inst Res Environm Sci, Boulder, CO 80309 USA; [Lopez-Martinez, J.] Univ Autonoma Madrid, Fac Ciencias, Dept Geol &amp; Geoquim, E-28049 Madrid, Spain; [Murray, A. E.] Desert Res Inst, Div Earth &amp; Ecosyst Sci, 2215 Raggio Pkwy, Reno, NV 89512 USA; [Nielsen, U. N.] Western Sydney Univ, Hawkesbury Inst Environm, Locked Bag 1797, Penrlth, NSW 2751, Australia; [Ott, S.] Heinrich Heine Univ Dusseldorf, Inst Bot, Univ Str 1,Gebaude 26-13, D-40225 Dusseldorf, Germany; [Post, A.] Geosci Australia, GPO Box 378, Canberra, ACT 2601, Australia; [Ropert-Coudert, Y.] Ctr Etud Biol Chize, Stn Ecol Chize La Rochelle, CNRS UMR 7372, F-79360 Villiers En Bois, France; [Saucede, T.] Univ Bourgogne Franche Comte, UMR Biogeosci 6282, 6 Blvd Gabriel, F-21000 Dijon, France; [Scherer, R.] Northern Illinois Univ, Dept Geol &amp; Environm Geosci, De Kalb, IL 60115 USA; [Schiaparelli, S.] Univ Genoa, DISTAV, Cso Europa 26, I-16132 Genoa, Italy; [Schloss, I. R.] Inst Antartico Argentina, 25 Mayo 1143, Buenos Aires, DF, Argentina; [Smith, C. R.] Univ Hawaii Manoa, Dept Oceanog, 1000 Pope, Honolulu, HI 96822 USA; [Stefels, J.] Univ Groningen, Groningen Inst Evolutionary Life Sci, Ecophysiol Plants, POB 11103, NL-9700 CC Groningen, Netherlands; [Strugnell, J. M.] James Cook Univ, Coll Sci &amp; Engn, Ctr Sustainable Trop Fisheries &amp; Aquaculture, Townsville, Qld 4811, Australia; [Verleyen, E.] Univ Ghent, Biol Dept, Res Grp Protistol &amp; Aquat Ecol, Campus Sterre,S8,Krijgslaan 281, B-9000 Ghent, Belgium; [Wall, D. H.] Colorado State Univ, Sch Global Environm Sustainabil, Ft Collins, CO 80523 USA; [Wilson, N. G.] Western Australian Museum, 49 Kew St, Welshpool, WA 6106, Australia; [Xavier, J. C.] Univ Coimbra, Fac Sci &amp; Technol, MARE Marine &amp; Environm Sci Ctr, Coimbra, Portugal; [Schiaparelli, S.] Museo Nazl Antartide, Sede Genova, Genoa, Italy; [Schloss, I. R.] Inst Sci Mer Rirnouski, 310 Allee Ursulines, Rimouski, PQ G5L 3A1, Canada; [Strugnell, J. M.] La Trobe Univ, Dept Ecol Environm &amp; Evolut, Melbourne, Vic 3086, Australia; [Schloss, I. R.] Consejo Nacl Invest Cient &amp; Tecn, Ctr Austral Invest Cient, Ushuaia, Argentina; [Schloss, I. R.] Univ Nacl Tierra Fuego, Ushuaia, Argentina</t>
  </si>
  <si>
    <t>Helmholtz Association; Alfred Wegener Institute, Helmholtz Centre for Polar &amp; Marine Research; Consejo Superior de Investigaciones Cientificas (CSIC); CSIC - Centro Mediterraneo de Investigaciones Marinas y Ambientales (CMIMA); CSIC - Instituto de Ciencias del Mar (ICM); Victoria University Wellington; GNS Science - New Zealand; UK Research &amp; Innovation (UKRI); Natural Environment Research Council (NERC); NERC British Antarctic Survey; National Aeronautics &amp; Space Administration (NASA); NASA Goddard Space Flight Center; National Institute of Water &amp; Atmospheric Research (NIWA) - New Zealand; University of Massachusetts System; University of Massachusetts Amherst; North Carolina State University; Consiglio Nazionale delle Ricerche (CNR); Istituto di Bioscienze e Biorisorse (IBBR-CNR); Institut de Recherche pour le Developpement (IRD); Sorbonne Universite; Universite Paris Cite; Museum National d'Histoire Naturelle (MNHN); University of Colorado System; University of Colorado Boulder; University of Colorado System; University of Colorado Boulder; Autonomous University of Madrid; Nevada System of Higher Education (NSHE); Desert Research Institute NSHE; Western Sydney University; Heinrich Heine University Dusseldorf; Geoscience Australia; Centre National de la Recherche Scientifique (CNRS); CNRS - Institute of Ecology &amp; Environment (INEE); Universite de Bourgogne; Northern Illinois University; University of Genoa; Instituto Antartico Argentino; University of Hawaii System; University of Hawaii Manoa; University of Groningen; James Cook University; Ghent University; Colorado State University; Western Australian Museum; Universidade de Coimbra; Melbourne Genomics Health Alliance; La Trobe University; Consejo Nacional de Investigaciones Cientificas y Tecnicas (CONICET)</t>
  </si>
  <si>
    <t>Gutt, J (corresponding author), Hemholtz Ctr Polar &amp; Marine Res, Alfred Wegener Inst, POB 120161, D-27515 Bremerhaven, Germany.</t>
  </si>
  <si>
    <t>julian.gutt@awi.de; isla@icm.csic.es; nancy.bertler@vuw.ac.nz; greg@bodekerscientific.com; tjbra@bas.ac.uk; rcav@bas.ac.uk; josefino.c.comiso@nasa.gov; pcon@bas.ac.uk; Vonda.Cummings@niwa.co.nz; deconto@geo.umass.edu; demaster@ncsu.edu; guido.diprisco@ibbr.cnr.it; Francesco.dovidio@locean-ipsl.upmc.fr; hjg@bas.ac.uk; alia.khan@colorado.edu; jeronimo.lopez@uam.es; Alison.Murray@dri.edu; U.Nielsen@westernsydney.edu.au; otts@uni-duesseldorf.de; Alix.Post@ga.gov.au; yan.ropert-coudert@cebc.cnrs.fr; thomas.saucede@u-bourgogne.fr; reed@niu.edu; Stefano.Schiaparelli@unige.it; ireschloss@gmail.com; craigsmi@hawaii.edu; j.stefels@rug.nl; Craig.Stevens@niwa.co.nz; jan.strugnell@jcu.edu.au; scarlett.trimborn@awi.de; cinzia.verde@ibbr.cnr.it; Elie.Verleyen@UGent.be; Diana.Wall@ColoState.edu; Nerida.Wilson@museum.wa.gov.au; jxavier@zoo.uc.pt</t>
  </si>
  <si>
    <t>Bracegirdle, Tom/AAD-6060-2020; Griffiths, Huw J/D-4234-2009; Bodeker, Greg E/A-8870-2008; Lopez-Martinez, Jeronimo/C-5744-2011; Xavier, José/KFB-6739-2024; d'Ovidio, Francesco/ABA-8461-2021; Schloss, Irene R./U-5411-2018; Convey, Peter/AAV-5728-2020; Bertler, Nancy A N/F-3967-2011; Strugnell, Jan M/P-9921-2016; Wall, Diana H/F-5491-2011; Trimborn, Scarlett/AAM-1061-2021; Wilson, Nerida G./AAC-1456-2019</t>
  </si>
  <si>
    <t>Griffiths, Huw J/0000-0003-1764-223X; Lopez-Martinez, Jeronimo/0000-0002-1750-8287; Schloss, Irene R./0000-0002-5917-8925; Convey, Peter/0000-0001-8497-9903; Trimborn, Scarlett/0000-0003-1434-9927; Wall, Diana H./0000-0002-9466-5235; Post, Alexandra/0000-0002-6287-3283; Isla, Enrique/0000-0003-4959-6936; Khan, Alia/0000-0002-4425-1528; VERDE, Cinzia/0000-0001-6185-282X; Bertler, Nancy/0000-0001-6028-4891; Strugnell, Jan/0000-0003-2994-637X; /0000-0002-9621-6660; d'Ovidio, Francesco/0000-0002-9664-7778; Cummings, Vonda/0000-0003-1076-3995</t>
  </si>
  <si>
    <t>SCAR SRPs AnT-ERA; SCAR SRPs AntClim21; SCAR SRPs AntEco; NERC [bas0100036] Funding Source: UKRI; Directorate For Geosciences [1443680] Funding Source: National Science Foundation; Office of Polar Programs (OPP) [1443680] Funding Source: National Science Foundation</t>
  </si>
  <si>
    <t>SCAR SRPs AnT-ERA; SCAR SRPs AntClim21; SCAR SRPs AntEco; NERC(UK Research &amp; Innovation (UKRI)Natural Environment Research Council (NERC)); Directorate For Geosciences(National Science Foundation (NSF)NSF - Directorate for Geosciences (GEO)); Office of Polar Programs (OPP)(National Science Foundation (NSF)NSF - Directorate for Geosciences (GEO))</t>
  </si>
  <si>
    <t>In addition to the employers of the authors this study was funded by the SCAR SRPs AnT-ERA, AntClim21 and AntEco.</t>
  </si>
  <si>
    <t>10.1016/j.margen.2017.09.006</t>
  </si>
  <si>
    <t>WOS:000428974700001</t>
  </si>
  <si>
    <t>Kang, I; Lim, Y; Cho, JC</t>
  </si>
  <si>
    <t>Kang, Ilnam; Lim, Yeonjung; Cho, Jang-Cheon</t>
  </si>
  <si>
    <t>Complete genome sequence of Granulosicoccus antarcticus type strain IMCC3135T, a marine gammaproteobacterium with a putative dimethylsulfoniopropionate demethylase gene</t>
  </si>
  <si>
    <t>Granulosicoccaceae; Chromatiales; Gammaproteobacteria; DMSP; DmdA; DMSP demethylase</t>
  </si>
  <si>
    <t>SULFUR-OXIDIZING BACTERIUM; EMENDED DESCRIPTION; SP NOV.; FILDES PENINSULA; ANNOTATION; DATABASE; ASSEMBLAGES; PREDICTION; DIVERSITY; SEA</t>
  </si>
  <si>
    <t>Granulosicoccus, the only genus of the family Granulosicoccaceae, occupies a distinct phylogenetic position within the order Chromatiales of the Gammaproteobacteria. The genus has been found in various marine regions, especially associated with diverse marine macroalgae. No genomes have been reported for the genus Granulosicoccus thus far, hampering studies on physiology and lifestyles of this genus. Here we report the complete genome sequence of strain IMCC3135(T), the type strain of Granulosicoccus antarcticus isolated from Antarctic coastal seawater. The genome was 7.78 Mbp long and harbored many genes involved in sulfur metabolism. In particular, a gene for dimethylsulfoniopropionate (DMSP) demethylase was found in the genome, rendering strain IMCC3135(T) one of the few marine gammaproteobacteria equipped with the potential for DMSP demethylation.</t>
  </si>
  <si>
    <t>[Kang, Ilnam; Lim, Yeonjung; Cho, Jang-Cheon] Inha Univ, Dept Biol Sci, Inharo 100, Incheon 22212, South Korea</t>
  </si>
  <si>
    <t>Cho, JC (corresponding author), Inha Univ, Dept Biol Sci, Inharo 100, Incheon 22212, South Korea.</t>
  </si>
  <si>
    <t>Cho, Jang-Cheon/B-4676-2013</t>
  </si>
  <si>
    <t>Cho, Jang-Cheon/0000-0002-0666-3791; Kang, Ilnam/0000-0003-2815-1735</t>
  </si>
  <si>
    <t>National Research Foundation of Korea (NRF) - Ministry of Education [NRF-2016R1A6A3A11934789]; Ministry of Oceans and Fisheries, Korea [20140428]</t>
  </si>
  <si>
    <t>National Research Foundation of Korea (NRF) - Ministry of Education; Ministry of Oceans and Fisheries, Korea</t>
  </si>
  <si>
    <t>This study was supported by the Basic Science Research Program through the National Research Foundation of Korea (NRF) funded by the Ministry of Education (NRF-2016R1A6A3A11934789), and the Collaborative Genome Program (20140428) funded by the Ministry of Oceans and Fisheries, Korea.</t>
  </si>
  <si>
    <t>10.1016/j.margen.2017.11.005</t>
  </si>
  <si>
    <t>WOS:000428974700024</t>
  </si>
  <si>
    <t>Genge, MJ; Van Ginneken, M</t>
  </si>
  <si>
    <t>Genge, Matthew J.; Van Ginneken, Matthias</t>
  </si>
  <si>
    <t>Comment on Unmelted cosmic metal particles in the Indian Ocean by Prasad etal.</t>
  </si>
  <si>
    <t>ISOTOPIC COMPOSITIONS; ATMOSPHERIC ENTRY; EARTHS ATMOSPHERE; ANTARCTIC ICE; MICROMETEORITES; SPHERULES; OXYGEN; IRON; METEORITES; DUST</t>
  </si>
  <si>
    <t>[Genge, Matthew J.] Imperial Coll London, Dept Earth Sci &amp; Engn, London SW7 2AZ, England; [Genge, Matthew J.] Nat Hist Museum, Dept Earth Sci, London SW7 2BT, England; [Van Ginneken, Matthias] Vrije Univ Brussel, Earth Syst Sci, Pl Laan 2, B-1050 Brussels, Belgium</t>
  </si>
  <si>
    <t>Imperial College London; Natural History Museum London; Vrije Universiteit Brussel</t>
  </si>
  <si>
    <t>Genge, MJ (corresponding author), Imperial Coll London, Dept Earth Sci &amp; Engn, London SW7 2AZ, England.;Genge, MJ (corresponding author), Nat Hist Museum, Dept Earth Sci, London SW7 2BT, England.</t>
  </si>
  <si>
    <t>m.genge@imperial.ac.uk</t>
  </si>
  <si>
    <t>Van Ginneken, Matthias/0000-0002-2508-7021; Genge, Matthew/0000-0002-9528-5971</t>
  </si>
  <si>
    <t>Science and Technology Council (STFC) [ST/J001260/1]; Science and Technology Facilities Council [ST/N000803/1, ST/J001260/1] Funding Source: researchfish; UK Space Agency [ST/M003167/1] Funding Source: researchfish; STFC [ST/J001260/1, ST/N000803/1] Funding Source: UKRI</t>
  </si>
  <si>
    <t>Science and Technology Council (STFC); Science and Technology Facilities Council(UK Research &amp; Innovation (UKRI)Science &amp; Technology Facilities Council (STFC)); UK Space Agency; STFC(UK Research &amp; Innovation (UKRI)Science &amp; Technology Facilities Council (STFC))</t>
  </si>
  <si>
    <t>This work was funded by the Science and Technology Council (STFC) (grant number ST/J001260/1).</t>
  </si>
  <si>
    <t>10.1111/maps.13013</t>
  </si>
  <si>
    <t>WOS:000423852400010</t>
  </si>
  <si>
    <t>Prasad, MS; Rudraswami, NG; de Araujo, AA; Khedekar, VD</t>
  </si>
  <si>
    <t>Prasad, Mokkapati Shyam; Rudraswami, N. G.; de Araujo, Agnelo Alexandre; Khedekar, Vijay D.</t>
  </si>
  <si>
    <t>Reply to the comment by M. Genge and M. Van Ginneken on paper entitled Unmelted cosmic metal particles from the Indian Ocean</t>
  </si>
  <si>
    <t>DEEP-SEA SPHERULES; TRANSANTARCTIC MOUNTAINS; ATMOSPHERIC ENTRY; MASS-DISTRIBUTION; ABLATION DEBRIS; ANTARCTIC ICE; BLUE ICE; MICROMETEORITES; IRON; DUST</t>
  </si>
  <si>
    <t>[Prasad, Mokkapati Shyam; Rudraswami, N. G.; de Araujo, Agnelo Alexandre; Khedekar, Vijay D.] Natl Inst Oceanog, Geol Oceanog Div, Panaji 403004, Goa, India</t>
  </si>
  <si>
    <t>Council of Scientific &amp; Industrial Research (CSIR) - India; CSIR - National Institute of Oceanography (NIO)</t>
  </si>
  <si>
    <t>Prasad, MS (corresponding author), Natl Inst Oceanog, Geol Oceanog Div, Panaji 403004, Goa, India.</t>
  </si>
  <si>
    <t>shyam@nio.org</t>
  </si>
  <si>
    <t>N G, Rudraswami/0000-0002-3375-9860</t>
  </si>
  <si>
    <t>10.1111/maps.13010</t>
  </si>
  <si>
    <t>WOS:000423852400011</t>
  </si>
  <si>
    <t>A history of instability</t>
  </si>
  <si>
    <t>ANTARCTIC ICE-SHEET; PLIOCENE</t>
  </si>
  <si>
    <t>10.1038/s41561-018-0068-x</t>
  </si>
  <si>
    <t>FU4ST</t>
  </si>
  <si>
    <t>WOS:000423843600001</t>
  </si>
  <si>
    <t>Seneviratne, SI; Phipps, SJ; Pitman, AJ; Hirsch, AL; Davin, EL; Donat, MG; Hirschi, M; Lenton, A; Wilhelm, M; Kravitz, B</t>
  </si>
  <si>
    <t>Seneviratne, Sonia I.; Phipps, Steven J.; Pitman, Andrew J.; Hirsch, Annette L.; Davin, Edouard L.; Donat, Markus G.; Hirschi, Martin; Lenton, Andrew; Wilhelm, Micah; Kravitz, Ben</t>
  </si>
  <si>
    <t>Land radiative management as contributor to regional-scale climate adaptation and mitigation</t>
  </si>
  <si>
    <t>NO-TILL AGRICULTURE; HOT EXTREMES; HEAT; TEMPERATURE; IMPACT; ALBEDO; PRODUCTIVITY; CONSEQUENCES; SYSTEMS; COVER</t>
  </si>
  <si>
    <t>Greenhouse gas emissions urgently need to be reduced. Even with a step up in mitigation, the goal of limiting global temperature rise to well below 2 degrees C remains challenging. Consequences of missing these goals are substantial, especially on regional scales. Because progress in the reduction of carbon dioxide emissions has been slow, climate engineering schemes are increasingly being discussed. But global schemes remain controversial and have important shortcomings. A reduction of global mean temperature through global-scale management of solar radiation could lead to strong regional disparities and affect rainfall patterns. On the other hand, active management of land radiative effects on a regional scale represents an alternative option of climate engineering that has been little discussed. Regional land radiative management could help to counteract warming, in particular hot extremes in densely populated and important agricultural regions. Regional land radiative management also raises some ethical issues, and its efficacy would be limited in time and space, depending on crop growing periods and constraints on agricultural management. But through its more regional focus and reliance on tested techniques, regional land radiative management avoids some of the main shortcomings associated with global radiation management. We argue that albedo-related climate benefits of land management should be considered more prominently when assessing regional-scale climate adaptation and mitigation as well as ecosystem services.</t>
  </si>
  <si>
    <t>[Seneviratne, Sonia I.; Hirsch, Annette L.; Davin, Edouard L.; Hirschi, Martin; Wilhelm, Micah] ETH, Inst Atmospher &amp; Climate Sci, Zurich, Switzerland; [Phipps, Steven J.; Donat, Markus G.] Univ New South Wales, ARC Ctr Excellence Climate Syst Sci, Sydney, NSW, Australia; [Phipps, Steven J.; Pitman, Andrew J.; Donat, Markus G.] Univ New South Wales, Climate Change Res Ctr, Sydney, NSW, Australia; [Phipps, Steven J.] Univ Tasmania, Inst Marine &amp; Antarctic Studies, Hobart, Tas, Australia; [Pitman, Andrew J.] Univ New South Wales, ARC Ctr Excellence Climate Extremes, Sydney, NSW, Australia; [Lenton, Andrew] CSIRO Oceans &amp; Atmosphere, Battery Point, Tas, Australia; [Kravitz, Ben] Pacific Northwest Natl Lab, Richland, WA USA</t>
  </si>
  <si>
    <t>Swiss Federal Institutes of Technology Domain; ETH Zurich; ARC Centre of Excellence for Climate System Science; University of New South Wales Sydney; University of New South Wales Sydney; University of Tasmania; University of New South Wales Sydney; Commonwealth Scientific &amp; Industrial Research Organisation (CSIRO); United States Department of Energy (DOE); Pacific Northwest National Laboratory</t>
  </si>
  <si>
    <t>Seneviratne, SI (corresponding author), ETH, Inst Atmospher &amp; Climate Sci, Zurich, Switzerland.</t>
  </si>
  <si>
    <t>sonia.seneviratne@ethz.ch</t>
  </si>
  <si>
    <t>Donat, Markus/J-8331-2012; Davin, Edouard L./L-7033-2016; Seneviratne, Sonia I./G-8761-2011; Kravitz, Ben/P-7925-2014; Hirschi, Martin/ABF-1564-2020; Hirsch, Annette/B-6892-2011; Phipps, Steven/B-3135-2008; Lenton, Andrew/D-2077-2012; Pitman, Andrew/A-7353-2011</t>
  </si>
  <si>
    <t>Donat, Markus/0000-0002-0608-7288; Davin, Edouard L./0000-0003-3322-9330; Seneviratne, Sonia I./0000-0001-9528-2917; Kravitz, Ben/0000-0001-6318-1150; Hirschi, Martin/0000-0001-9154-756X; Hirsch, Annette/0000-0002-5811-2465; Phipps, Steven/0000-0001-5657-8782; Lenton, Andrew/0000-0001-9437-8896; Pitman, Andrew/0000-0003-0604-3274</t>
  </si>
  <si>
    <t>European Community's Seventh Framework Programme [FP7-IDEAS-ERC-617518]; Australian Research Council's Special Research Initiative for the Antarctic Gateway Partnership [SR140300001]</t>
  </si>
  <si>
    <t>European Community's Seventh Framework Programme(European Union (EU)); Australian Research Council's Special Research Initiative for the Antarctic Gateway Partnership(Australian Research Council)</t>
  </si>
  <si>
    <t>The study was initiated during a sabbatical by S.I.S at the ARC Centre of Excellence for Climate System Science and developed in the context of the European Research Council (ERC) 'DROUGHT-HEAT' project funded by the European Community's Seventh Framework Programme (grant agreement FP7-IDEAS-ERC-617518). S.J.P. acknowledges support from the Australian Research Council's Special Research Initiative for the Antarctic Gateway Partnership (Project ID SR140300001). We acknowledge comments from P. Irvine.</t>
  </si>
  <si>
    <t>10.1038/s41561-017-0057-5</t>
  </si>
  <si>
    <t>WOS:000423843600005</t>
  </si>
  <si>
    <t>Response of Pacific-sector Antarctic ice shelves to the El Nino/Southern Oscillation</t>
  </si>
  <si>
    <t>AMUNDSEN SEA EMBAYMENT; SOUTHERN ANNULAR MODE; ATMOSPHERIC CLIMATE MODEL; CIRCUMPOLAR DEEP-WATER; SURFACE MASS-BALANCE; WEST ANTARCTICA; PINE ISLAND; SNOW ACCUMULATION; THWAITES GLACIER; TIME-SERIES</t>
  </si>
  <si>
    <t>Satellite observations over the past two decades have revealed increasing loss of grounded ice in West Antarctica, associated with floating ice shelves that have been thinning. Thinning reduces an ice shelf's ability to restrain grounded-ice discharge, yet our understanding of the climate processes that drive mass changes is limited. Here, we use ice-shelf height data from four satellite altimeter missions (1994-2017) to show a direct link between ice-shelf height variability in the Antarctic Pacific sector and changes in regional atmospheric circulation driven by the El Nino/Southern Oscillation. This link is strongest from the Dotson to Ross ice shelves and weaker elsewhere. During intense El Nino years, height increase by accumulation exceeds the height decrease by basal melting, but net ice-shelf mass declines as basal ice loss exceeds ice gain by lower-density snow. Our results demonstrate a substantial response of Amundsen Sea ice shelves to global and regional climate variability, with rates of change in height and mass on interannual timescales that can be comparable to the longer-term trend, and with mass changes from surface accumulation offsetting a significant fraction of the changes in basal melting. This implies that ice-shelf height and mass variability will increase as interannual atmospheric variability increases in a warming climate.</t>
  </si>
  <si>
    <t>[Paolo, F. S.; Fricker, H. A.; Adusumilli, S.; Siegfried, M. R.] Univ Calif San Diego, Scripps Inst Oceanog, San Diego, CA 92103 USA; [Paolo, F. S.] CALTECH, Jet Prop Lab, Pasadena, CA 91125 USA; [Padman, L.] Earth &amp; Space Res, Corvallis, OR USA; [Howard, S.] Earth &amp; Space Res, Seattle, WA USA; [Siegfried, M. R.] Stanford Univ, Dept Geophys, Palo Alto, CA 94304 USA</t>
  </si>
  <si>
    <t>University of California System; University of California San Diego; Scripps Institution of Oceanography; National Aeronautics &amp; Space Administration (NASA); NASA Jet Propulsion Laboratory (JPL); California Institute of Technology; Stanford University</t>
  </si>
  <si>
    <t>Paolo, FS (corresponding author), Univ Calif San Diego, Scripps Inst Oceanog, San Diego, CA 92103 USA.;Paolo, FS (corresponding author), CALTECH, Jet Prop Lab, Pasadena, CA 91125 USA.</t>
  </si>
  <si>
    <t>paolofer@jpl.nasa.gov</t>
  </si>
  <si>
    <t>Paolo, Fernando/AGQ-9348-2022; Padman, Laurence/AAH-3808-2021</t>
  </si>
  <si>
    <t>Paolo, Fernando/0000-0002-6439-2918; Howard, Susan/0000-0002-9183-0178; Fricker, Helen Amanda/0000-0002-0921-1432; Padman, Laurence/0000-0003-2010-642X</t>
  </si>
  <si>
    <t>NASA [NNX12AN50H002 (93735A), NNX10AG19G, NNX13AP60G]; NASA [NNX13AP60G, 466837, NNX10AG19G, 134135] Funding Source: Federal RePORTER</t>
  </si>
  <si>
    <t>This work was funded by NASA (awards NNX12AN50H002 (93735A), NNX10AG19G and NNX13AP60G). This is ESR contribution 159. We thank J. Zwally's Ice Altimetry group at the NASA Goddard Space Flight Center for distributing their data sets for ERS-1/2 and Envisat satellite radar-altimeter missions (http://icesat4.gsfc.nasa.gov), and the European Space Agency (ESA) for distributing their CryoSat-2 data. We thank S. Ligtenberg, M. van Wessem and M. van den Broeke for providing the surface mass balance and firn densification model-derived products.</t>
  </si>
  <si>
    <t>10.1038/s41561-017-0033-0</t>
  </si>
  <si>
    <t>WOS:000423843600010</t>
  </si>
  <si>
    <t>Medina, RA</t>
  </si>
  <si>
    <t>Medina, Rafael A.</t>
  </si>
  <si>
    <t>1918 influenza virus: 100 years on, are we prepared against the next influenza pandemic?</t>
  </si>
  <si>
    <t>NATURE REVIEWS MICROBIOLOGY</t>
  </si>
  <si>
    <t>As we commemorate 100 years since the 1918 pandemic, research has advanced our knowledge of influenza virulence and pathogenesis, and has highlighted the role of animal reservoirs in the emergence of pandemic strains. Future efforts in understanding viral ecology, zoonosis and in integrating human and animal epidemiology should aid pandemic preparedness.</t>
  </si>
  <si>
    <t>[Medina, Rafael A.] Pontificia Univ Catolica Chile, Escuela Med, Dept Enfermedades Infecciosas &amp; Inmunol Pediat, Santiago 8330024, Chile; [Medina, Rafael A.] Icahn Sch Med Mt Sinai, Dept Microbiol, New York, NY 10029 USA; [Medina, Rafael A.] Millennium Inst Immunol &amp; Immunotherapy, Santiago 8330024, Chile</t>
  </si>
  <si>
    <t>Pontificia Universidad Catolica de Chile; Icahn School of Medicine at Mount Sinai</t>
  </si>
  <si>
    <t>Medina, RA (corresponding author), Pontificia Univ Catolica Chile, Escuela Med, Dept Enfermedades Infecciosas &amp; Inmunol Pediat, Santiago 8330024, Chile.;Medina, RA (corresponding author), Icahn Sch Med Mt Sinai, Dept Microbiol, New York, NY 10029 USA.;Medina, RA (corresponding author), Millennium Inst Immunol &amp; Immunotherapy, Santiago 8330024, Chile.</t>
  </si>
  <si>
    <t>rmedinas@med.puc.cl</t>
  </si>
  <si>
    <t>Medina, Rafael A./AAW-4418-2020</t>
  </si>
  <si>
    <t>Medina, Rafael A./0000-0002-5013-6884</t>
  </si>
  <si>
    <t>Center for Research on Influenza Pathogenesis (CRIP) a Center of Excellence in Influenza Virus Research and Surveillance of the US National Institutes of Health [HHSN272201400008C]; Chilean Comision Nacional de Investigacion Cientifica y Tecnologica [FONDECYT 1161791, PIA ACT 1408]; Chilean Antarctic Institute [RT_46-16]; Chilean Ministry of Economy, Development and Tourism (ICM-MINECON) [IMII P09/016-F]</t>
  </si>
  <si>
    <t>Center for Research on Influenza Pathogenesis (CRIP) a Center of Excellence in Influenza Virus Research and Surveillance of the US National Institutes of Health; Chilean Comision Nacional de Investigacion Cientifica y Tecnologica; Chilean Antarctic Institute; Chilean Ministry of Economy, Development and Tourism (ICM-MINECON)</t>
  </si>
  <si>
    <t>R.A.M. is supported by the Center for Research on Influenza Pathogenesis (CRIP) a Center of Excellence in Influenza Virus Research and Surveillance of the US National Institutes of Health (HHSN272201400008C), the Chilean Comision Nacional de Investigacion Cientifica y Tecnologica (FONDECYT 1161791 and PIA ACT 1408), the Chilean Antarctic Institute (RT_46-16) and the Chilean Ministry of Economy, Development and Tourism (ICM-MINECON, IMII P09/016-F).</t>
  </si>
  <si>
    <t>1740-1526</t>
  </si>
  <si>
    <t>1740-1534</t>
  </si>
  <si>
    <t>NAT REV MICROBIOL</t>
  </si>
  <si>
    <t>Nat. Rev. Microbiol.</t>
  </si>
  <si>
    <t>10.1038/nrmicro.2017.174</t>
  </si>
  <si>
    <t>FS7YA</t>
  </si>
  <si>
    <t>WOS:000422624500001</t>
  </si>
  <si>
    <t>Weimerskirch, H; Prudor, A; Schull, Q</t>
  </si>
  <si>
    <t>Weimerskirch, Henri; Prudor, Aurelien; Schull, Quentin</t>
  </si>
  <si>
    <t>Flights of drones over sub-Antarctic seabirds show species- and status-specific behavioural and physiological responses</t>
  </si>
  <si>
    <t>Albatrosses; Petrels; Penguins; Disturbance; Altitude; UAV</t>
  </si>
  <si>
    <t>UNMANNED AERIAL VEHICLES; HEART-RATE RESPONSES; HUMAN DISTURBANCE; TERRITORY LOCATION; ENERGY-EXPENDITURE; STRESS-RESPONSE; KING PENGUINS; BIRDS</t>
  </si>
  <si>
    <t>Drones and unmanned aerial vehicles are increasingly used in research on wildlife. Their wide applications can also give interesting insights into habitat use and population distribution. However, the disturbance they might be responsible for, on species and especially in protected areas has yet to be investigated. We assessed and compared the behavioural response of 11 southern seabird species at the Crozet Islands, Southern Indian Ocean, to drone approaches at specific altitudes. We first show that the behavioural response differed between species depending on the altitude of the drone approach. At 50 m of altitude, only one of the studied species showed a detectable reaction, whereas at 10 m, most species showed strong behavioural postures of stress. Adult penguins breeding in large colonies, and some albatross species showed little behavioural response even when the drone was as close as 3 m, whereas other species such as giant petrels or cormorants appeared highly sensitive to drone approaches. Among King Penguins, although incubating adults showed little signs of behavioural stress, non-breeding adults and fledglings in crSches exhibited strong behavioural responses to the drone approach. Monitoring heart rate allowed us to investigate the link between behavioural and physiological response to that specific potential stressor in king penguins. Whereas we confirmed the expected link between physiological and behavioural response in chicks, breeding adults showed no behavioural sign of stress but had a significant increase in heart rate, the relative increase being higher than in chicks. All together these results have important implications for the conservation of species and should be helpful for future legislations on the use of drones.</t>
  </si>
  <si>
    <t>[Weimerskirch, Henri; Prudor, Aurelien] Univ La Rochelle, CNRS, CEBC, UMR 7273, F-79360 Villiers En Bois, France; [Schull, Quentin] Univ Strasbourg, CNRS, DEPE, IPHC, F-67000 Strasbourg, France</t>
  </si>
  <si>
    <t>La Rochelle Universite; Centre National de la Recherche Scientifique (CNRS); CNRS - Institute of Chemistry (INC); Centre National de la Recherche Scientifique (CNRS); Universites de Strasbourg Etablissements Associes; Universite de Strasbourg</t>
  </si>
  <si>
    <t>Weimerskirch, H (corresponding author), Univ La Rochelle, CNRS, CEBC, UMR 7273, F-79360 Villiers En Bois, France.</t>
  </si>
  <si>
    <t>henri.weimerskirch@cebc.cnrs.fr</t>
  </si>
  <si>
    <t>Weimerskirch, Henri/F-5562-2013; Weimerskirch, Henri/K-7306-2019</t>
  </si>
  <si>
    <t>Weimerskirch, Henri/0000-0002-0457-586X; Schull, Quentin/0000-0001-9297-3376</t>
  </si>
  <si>
    <t>Institut Polaire Francais Paul Emile Victor (IPEV) [109]</t>
  </si>
  <si>
    <t>Institut Polaire Francais Paul Emile Victor (IPEV)</t>
  </si>
  <si>
    <t>The study is part of program 109 financed by the Institut Polaire Francais Paul Emile Victor (IPEV), and was commissioned by the Reserve National des TAAF. The recorded heart rates and activity patterns of king penguins were part of the IPEV program 119 (PIs J.P. Robin-V. Viblanc). We thank C.A. Bost for helpful comments on an earlier version of the manuscript, and three referees for helpful comments on the ms.</t>
  </si>
  <si>
    <t>10.1007/s00300-017-2187-z</t>
  </si>
  <si>
    <t>WOS:000424276400005</t>
  </si>
  <si>
    <t>Lombal, AJ; Wenner, TJ; Lavers, JL; Austin, JJ; Woehler, EJ; Hutton, I; Burridge, CP</t>
  </si>
  <si>
    <t>Lombal, Anicee J.; Wenner, Theodore J.; Lavers, Jennifer L.; Austin, Jeremy J.; Woehler, Eric J.; Hutton, Ian; Burridge, Christopher P.</t>
  </si>
  <si>
    <t>Genetic divergence between colonies of Flesh-footed Shearwater Ardenna carneipes exhibiting different foraging strategies</t>
  </si>
  <si>
    <t>CONSERVATION GENETICS</t>
  </si>
  <si>
    <t>Oceanic seabirds; Ardenna carneipes; Gene flow; Genetic divergence; Foraging segregation; Genetic assignment; Conservation management</t>
  </si>
  <si>
    <t>PUFFINUS-CARNEIPES; MITOCHONDRIAL-DNA; POPULATION DIFFERENTIATION; SOUTHERN AUSTRALIA; CONSERVATION; MIGRATION; PHYLOGEOGRAPHY; DISPERSAL; EVOLUTION; MECHANISMS</t>
  </si>
  <si>
    <t>Increasing evidence suggests foraging segregation as a key mechanism promoting genetic divergence within seabird species. However, testing for a relationship between population genetic structure and foraging movements among seabird colonies can be challenging. Telemetry studies suggest that Flesh-footed Shearwater Ardenna carneipes that breed at Lord Howe Island or New Zealand, versus southwestern Australia or Saint-Paul Island in the Indian Ocean, migrate to different regions (North Pacific Ocean and northern Indian Ocean, respectively) during the non-breeding season, which may inhibit gene flow among colonies. In this study, we sequenced a 858-base pair mitochondrial region and seven nuclear DNA fragments (352-654 bp) for 148 individuals to test genetic differentiation among colonies of Flesh-footed Shearwaters. Strong genetic divergence was detected between Pacific colonies relative to those further West. Molecular analysis of fisheries' bycatch individuals sampled in the Sea of Japan indicated that individuals from both western and eastern colonies were migrating through this area, and hence the apparent segregation of the non-breeding distribution based on telemetry is invalid and cannot contribute to the population genetic structure among colonies. The genetic divergence among colonies is better explained by philopatry and evidence of differences in foraging strategies during the breeding season, as supported by the observed genetic divergence between Lord Howe Island and New Zealand colonies. We suggest molecular analysis of fisheries' bycatch individuals as a rigorous method to identify foraging segregation, and we recommend the eastern and western A. carneipes colonies be regarded as different Management Units.</t>
  </si>
  <si>
    <t>[Lombal, Anicee J.; Wenner, Theodore J.; Burridge, Christopher P.] Univ Tasmania, Sch Biol Sci, Hobart, Tas 7001, Australia; [Lavers, Jennifer L.; Woehler, Eric J.] Univ Tasmania, Inst Marine &amp; Antarctic Studies, Hobart, Tas 7004, Australia; [Austin, Jeremy J.] Univ Adelaide, Sch Biol Sci, Australian Ctr Ancient DNA, Adelaide, SA 5005, Australia; [Hutton, Ian] Lord Howe Isl Museum, POB 157, Lord Howe Isl, NSW 2898, Australia</t>
  </si>
  <si>
    <t>University of Tasmania; University of Tasmania; University of Adelaide</t>
  </si>
  <si>
    <t>Lombal, AJ (corresponding author), Univ Tasmania, Sch Biol Sci, Hobart, Tas 7001, Australia.</t>
  </si>
  <si>
    <t>anicee.lombal@utas.edu.au; theodore.wenner@utas.edu.au; jennifer.lavers@utas.edu.au; jeremy.austin@adelaide.edu.au; eric.woehler@utas.edu.au; ian@ianhuttontours.com; chris.burridge@utas.edu.au</t>
  </si>
  <si>
    <t>Lavers, Jennifer/IWM-5417-2023; Lavers, Jennifer/O-4831-2017; Burridge, Chris/L-4392-2019; Lombal, Anicee/J-5847-2015; Austin, Jeremy/F-8729-2010; Burridge, Christopher/J-2653-2012</t>
  </si>
  <si>
    <t>Lavers, Jennifer/0000-0001-7596-6588; Lombal, Anicee/0000-0002-7545-4184; Austin, Jeremy/0000-0003-4244-2942; Woehler, Eric/0000-0002-1125-0748; Burridge, Christopher/0000-0002-8185-6091</t>
  </si>
  <si>
    <t>South Australia Nature Foundation; Pennicott Wilderness Journeys; Winifred Violet Scott Charitable Trust</t>
  </si>
  <si>
    <t>South Australia Nature Foundation, Trading Consultants (V. Wellington), Pennicott Wilderness Journeys and the Winifred Violet Scott Charitable Trust provided funding for the field and laboratory components of this research. Special thanks go to C. &amp; G. Biddulph, P. Collins, A. Fidler, S. Goldsworthy, M. Stadler, the South Australian Department of Environment, Water &amp; Natural Resources (DEWNR), and Western Australian Department of Parks and Wildlife (DPaW) for generously providing data and logistical support. This research was undertaken with animal ethic permissions from DPaW (SF009585), the University of Tasmania Animal Ethics committee (A13598 and A13836), DEWNR Resources permits (AEC 021028/02), and Lord Howe Island Board permits (LHIB 07/12 &amp; LHIB 02/14). We thank the anonymous reviewers for their careful reading of our paper.</t>
  </si>
  <si>
    <t>1566-0621</t>
  </si>
  <si>
    <t>1572-9737</t>
  </si>
  <si>
    <t>CONSERV GENET</t>
  </si>
  <si>
    <t>Conserv. Genet.</t>
  </si>
  <si>
    <t>10.1007/s10592-017-0994-y</t>
  </si>
  <si>
    <t>Biodiversity Conservation; Genetics &amp; Heredity</t>
  </si>
  <si>
    <t>Biodiversity &amp; Conservation; Genetics &amp; Heredity</t>
  </si>
  <si>
    <t>FT1ZT</t>
  </si>
  <si>
    <t>WOS:000422938300003</t>
  </si>
  <si>
    <t>Chenuil, A; Saucède, T; Hemery, LG; Eléaume, M; Féral, JP; Améziane, N; David, B; Lecointre, G; Havermans, C</t>
  </si>
  <si>
    <t>Chenuil, Anne; Saucede, Thomas; Hemery, Lenaig G.; Eleaume, Marc; Feral, Jean-Pierre; Ameziane, Nadia; David, Bruno; Lecointre, Guillaume; Havermans, Charlotte</t>
  </si>
  <si>
    <t>Understanding processes at the origin of species flocks with a focus on the marine Antarctic fauna</t>
  </si>
  <si>
    <t>adaptive radiation; competition; diversification; ecological niche; endemicity; extinction; life-history trait; phylogeny</t>
  </si>
  <si>
    <t>EASTERN WEDDELL SEA; SOUTHERN-OCEAN; ADAPTIVE RADIATION; DEEP-SEA; ECOLOGICAL SPECIATION; CICHLID FISHES; CLIMATE-CHANGE; MAGIC TRAITS; MITOCHONDRIAL LINEAGES; ULTRAVIOLET-RADIATION</t>
  </si>
  <si>
    <t>Species flocks (SFs) fascinate evolutionary biologists who wonder whether such striking diversification can be driven by normal evolutionary processes. Multiple definitions of SFs have hindered the study of their origins. Previous studies identified a monophyletic taxon as a SF if it displays high speciosity in an area in which it is endemic (criterion 1), high ecological diversity among species (criterion 2), and if it dominates the habitat in terms of biomass (criterion 3); we used these criteria in our analyses. Our starting hypothesis is that normal evolutionary processes may provide a sufficient explanation for most SFs. We thus clearly separate each criterion and identify which biological (intrinsic) and environmental (extrinsic) traits are most favourable to their realization. The first part focuses on evolutionary processes. We highlight that some popular putative causes of SFs, such as key innovations or ecological speciation, are neither necessary nor sufficient to fulfill some or all of the three criteria. Initial differentiation mechanisms are diverse and difficult to identify a posteriori because a primary differentiation of one type (genetic, ecological or geographical) often promotes other types of differentiation. Furthermore, the criteria are not independent: positive feedbacks between speciosity and ecological diversity among species are expected whatever the initial cause of differentiation, and ecological diversity should enhance habitat dominance at the clade level. We then identify intrinsic and extrinsic factors that favour each criterion. Low dispersal emerges as a convincing driver of speciosity. Except for a genomic architecture favouring ecological speciation, for which assessment is difficult, high effective population sizes are the single intrinsic factor that directly enhances speciosity, ecological diversity and habitat dominance. No extrinsic factor appeared to enhance all criteria simultaneously but a combination of factors (insularity, fragmentation and environmental stability) may favour the three criteria, although the effect is indirect for habitat dominance. We then apply this analytical framework to Antarctic marine environments by analysing data from 18 speciose clades belonging to echinoderms (five unrelated clades), notothenioid fishes (five clades) and peracarid crustaceans (eight clades). Antarctic shelf environments and history appear favourable to endemicity and speciosity, but not to ecological specialization. Two main patterns are distinguished among taxa. (i) In echinoderms, many brooding, species-rich and endemic clades are reported, but without remarkable ecological diversity or habitat dominance. In these taxa, loss of the larval stage is probably a consequence of past Antarctic environmental factors, and brooding is suggested to be responsible for enhanced allopatric speciation (via dispersal limitation). (ii) In notothenioids and peracarids, many clades fulfill all three SF criteria. This could result from unusual features in fish and crustaceans: chromosome instability and key innovations (antifreeze proteins) in notothenioids, ecological opportunity in peracarids, and a genomic architecture favouring ecological speciation in both groups. Therefore, the data do not support our starting point that normal evolutionary factors or processes drive SFs because in these two groups uncommon intrinsic features or ecological opportunity provide the best explanation. The utility of the three-criterion SF concept is therefore questioned and guidelines are given for future studies.</t>
  </si>
  <si>
    <t>[Chenuil, Anne; Feral, Jean-Pierre] Aix Marseille Univ, Univ Avignon, IMBE UMR7263,CNRS, IRD,Stn Marine Endoume,Inst Mediterraneen Biodive, Chemin Batterie Lions, F-13007 Marseille, France; [Saucede, Thomas; David, Bruno] Univ Bourgogne Franche Comte, CNRS, Biogeosci UMR6282, 6 Blvd Gabriel, F-21000 Dijon, France; [Hemery, Lenaig G.] Univ Caen, UMR BOREA MNHN CNRS Paris 6 7208, DMPA, 57 Rue Cuvier, F-75231 Paris 05, France; [Eleaume, Marc; Ameziane, Nadia; Lecointre, Guillaume] Museum Natl Hist Nat, CNRS MNHN UPMC EPHE, Inst Systemat Evolut &amp; Biodiversite UMR7205, CP 24,57 Rue Cuvier, F-75005 Paris, France; [David, Bruno] Museum Natl Hist Nat, 57 Rue Cuvier, F-75005 Paris, France; [Havermans, Charlotte] Univ Bremen, Marine Zool, Bremen Marine Ecol BreMarE, POB 330440, D-28334 Bremen, Germany; [Havermans, Charlotte] Alfred Wegener Inst, Helmholtz Ctr Polar &amp; Marine Res, Handelshafen 12, D-27570 Bremerhaven, Germany; [Havermans, Charlotte] Royal Belgian Inst Nat Sci, OD Nat Environm, Rue Vautier 29, B-1000 Brussels, Belgium</t>
  </si>
  <si>
    <t>Avignon Universite; Centre National de la Recherche Scientifique (CNRS); CNRS - Institute of Ecology &amp; Environment (INEE); Aix-Marseille Universite; Institut de Recherche pour le Developpement (IRD); Universite de Bourgogne; Centre National de la Recherche Scientifique (CNRS); CNRS - Institute of Ecology &amp; Environment (INEE); Universite de Caen Normandie; Sorbonne Universite; Museum National d'Histoire Naturelle (MNHN); Museum National d'Histoire Naturelle (MNHN); University of Bremen; Helmholtz Association; Alfred Wegener Institute, Helmholtz Centre for Polar &amp; Marine Research; Royal Belgian Institute of Natural Sciences</t>
  </si>
  <si>
    <t>Chenuil, A (corresponding author), Aix Marseille Univ, Univ Avignon, IMBE UMR7263,CNRS, IRD,Stn Marine Endoume,Inst Mediterraneen Biodive, Chemin Batterie Lions, F-13007 Marseille, France.</t>
  </si>
  <si>
    <t>anne.chenuil@imbe.fr</t>
  </si>
  <si>
    <t>Hemery, Lenaïg/AAA-5799-2021; FERAL, Jean-Pierre/M-9608-2019; CHENUIL, Anne/E-3902-2012</t>
  </si>
  <si>
    <t>Hemery, Lenaïg/0000-0001-5337-4514; FERAL, Jean-Pierre/0000-0001-7627-0160; CHENUIL, Anne/0000-0001-8141-7147; Havermans, Charlotte/0000-0002-1126-4074; Ameziane, Nadia/0000-0002-8546-9961</t>
  </si>
  <si>
    <t>French Agence Nationale de la Recherche (ANR) [USAR 07-BLAN-0213-01]; IPEV program REVOLTA [1124]; IPEV program PROTEKER [1044]; Belgian Science Policy Office [BR/132/A1/vERSO]; German Science Foundation (DFG) [HA7627/1-1]</t>
  </si>
  <si>
    <t>French Agence Nationale de la Recherche (ANR)(Agence Nationale de la Recherche (ANR)); IPEV program REVOLTA; IPEV program PROTEKER; Belgian Science Policy Office(Belgian Federal Science Policy Office); German Science Foundation (DFG)(German Research Foundation (DFG))</t>
  </si>
  <si>
    <t>Knowledge on Antarctic biodiversity has increased due to oceanographic campaigns and scientific programs dedicated to the sampling, inventory and molecular study of marine taxa. We are particularly indebted to the French Agence Nationale de la Recherche (ANR) (grant number ANTFLOCKS'', USAR 07-BLAN-0213-01), to the IPEV programs REVOLTA (# 1124) and PROTEKER (# 1044), the Australian Antarctic Division (CEAMARC cruise) and the SCAR (International Polar Year [CEAMAR IPY#53], CAML, and current SCAR SRPs AntEco and AnT-ERA). C. H. was supported by the Belgian Science Policy Office (contract nr BR/132/A1/vERSO) and by the German Science Foundation (DFG, project HA7627/1-1).</t>
  </si>
  <si>
    <t>10.1111/brv.12354</t>
  </si>
  <si>
    <t>WOS:000419965700025</t>
  </si>
  <si>
    <t>Barnes, JM; Maqueda, MAM; Polton, JA; Megann, AP</t>
  </si>
  <si>
    <t>Barnes, Jowan M.; Maqueda, Miguel A. Morales; Polton, Jeff A.; Megann, Alex P.</t>
  </si>
  <si>
    <t>Idealised modelling of ocean circulation driven by conductive and hydrothermal fluxes at the seabed</t>
  </si>
  <si>
    <t>Abyssal circulation; Ocean modelling; Hydrothermal; Geothermal heating; Heat flux</t>
  </si>
  <si>
    <t>HEAT-FLOW; BOTTOM-WATER</t>
  </si>
  <si>
    <t>Geothermal heating is increasingly recognised as an important factor affecting ocean circulation, with modelling studies suggesting that this heat source could lead to first-order changes in the formation rate of Antarctic Bottom Water, as well as a significant warming effect in the abyssal ocean. Where it has been represented in numerical models, however, the geothermal heat flux into the ocean is generally treated as an entirely conductive flux, despite an estimated one third of the global geothermal flux being introduced to the ocean via hydrothermal sources. A modelling study is presented which investigates the sensitivity of the geothermally forced circulation to the way heat is supplied to the abyssal ocean. An analytical two-dimensional model of the circulation is described, which demonstrates the effects of a volume flux through the ocean bed. A simulation using the NEMO numerical general circulation model in an idealised domain is then used to partition a heat flux between conductive and hydrothermal sources and explicitly test the sensitivity of the circulation to the formulation of the abyssal heat flux. Our simulations suggest that representing the hydrothermal flux as a mass exchange indeed changes the heat distribution in the abyssal ocean, increasing the advective heat transport from the abyss by up to 35% compared to conductive heat sources. Consequently, we suggest that the inclusion of hydrothermal fluxes can be an important addition to course-resolution ocean models.</t>
  </si>
  <si>
    <t>[Barnes, Jowan M.; Maqueda, Miguel A. Morales] Newcastle Univ, Sch Nat &amp; Environm Sci, Newcastle Upon Tyne NE1 7RU, Tyne &amp; Wear, England; [Barnes, Jowan M.; Polton, Jeff A.] Natl Oceanog Ctr, Joseph Proudman Bldg,6 Brownlow St, Liverpool L3 5DA, Merseyside, England; [Megann, Alex P.] Southampton Univ, Natl Oceanog Ctr, Waterfront Campus,European Way, Southampton SO14 3ZH, Hants, England</t>
  </si>
  <si>
    <t>Newcastle University - UK; NERC National Oceanography Centre; University of Southampton; NERC National Oceanography Centre</t>
  </si>
  <si>
    <t>Barnes, JM (corresponding author), Newcastle Univ, Sch Nat &amp; Environm Sci, Newcastle Upon Tyne NE1 7RU, Tyne &amp; Wear, England.</t>
  </si>
  <si>
    <t>j.m.barnes2@newcastle.ac.uk</t>
  </si>
  <si>
    <t>Polton, Jeff/O-2289-2019; Maqueda, Miguel Angel Morales/AAJ-8138-2020; Barnes, Jowan/CAG-4750-2022</t>
  </si>
  <si>
    <t>Polton, Jeff/0000-0003-0131-5250; Barnes, Jowan/0000-0002-5238-8970</t>
  </si>
  <si>
    <t>NERC; NERC studentship via the National Oceanography Centre [NE/JS00227/1]; OSCAR project [NE/I022868/1]; Durham University; FASTNEt [NE/I030259/1]; PycnMix [NE/L003325/1]; Natural Environment Research Council [NE/I022868/2, NE/R015953/1, NE/L003325/1, NE/I022868/1, 1499513, noc010010, NE/I030224/1, NE/I027010/1, NE/I030259/1] Funding Source: researchfish; NERC [NE/I022868/1, NE/I030259/1, noc010010, NE/R015953/1, NE/I022868/2, NE/I027010/1, NE/I030224/1, NE/L003325/1] Funding Source: UKRI</t>
  </si>
  <si>
    <t>NERC(UK Research &amp; Innovation (UKRI)Natural Environment Research Council (NERC)); NERC studentship via the National Oceanography Centre; OSCAR project; Durham University; FASTNEt; PycnMix; Natural Environment Research Council(UK Research &amp; Innovation (UKRI)Natural Environment Research Council (NERC)); NERC(UK Research &amp; Innovation (UKRI)Natural Environment Research Council (NERC))</t>
  </si>
  <si>
    <t>This work is part of a major interdisciplinary NERC-funded collaboration entitled 'Oceanographic and Seismic Characterisation of heat dissipation and alteration by hydrothermal fluids at an Axial Ridge' (OSCAR), led by Richard Hobbs of Durham University.; The authors of this work have multiple funding sources. J M Barnes was supported by a NERC studentship (NE/JS00227/1) via the National Oceanography Centre and Durham University; M A Morales Maqueda and A P Megann by the OSCAR project (NE/I022868/1); J A Polton by FASTNEt (NE/I030259/1) and PycnMix (NE/L003325/1).</t>
  </si>
  <si>
    <t>10.1016/j.ocemod.2017.12.005</t>
  </si>
  <si>
    <t>FS9WM</t>
  </si>
  <si>
    <t>WOS:000422769900003</t>
  </si>
  <si>
    <t>Sauter, D; Tugend, J; Gillard, M; Nirrengarten, M; Autin, J; Manatschal, G; Cannat, M; Leroy, S; Schaming, M</t>
  </si>
  <si>
    <t>Sauter, Daniel; Tugend, Julie; Gillard, Morgane; Nirrengarten, Michael; Autin, Julia; Manatschal, Gianreto; Cannat, Mathilde; Leroy, Sylvie; Schaming, Marc</t>
  </si>
  <si>
    <t>Oceanic basement roughness alongside magma-poor rifted margins: insight into initial seafloor spreading</t>
  </si>
  <si>
    <t>GEOPHYSICAL JOURNAL INTERNATIONAL</t>
  </si>
  <si>
    <t>Composition and structure of the oceanic crust; Atlantic Ocean; Indian Ocean; Continental margins: divergent; Mid-ocean ridge processes; Submarine tectonics and volcanism</t>
  </si>
  <si>
    <t>SOUTHWEST INDIAN RIDGE; SEISMIC-REFLECTION PROFILES; IBERIA ABYSSAL-PLAIN; CRUSTAL STRUCTURE; CONTINENT TRANSITION; EASTERN GULF; FLEMISH CAP; NORTH-ATLANTIC; DEEP-STRUCTURE; CAYMAN TROUGH</t>
  </si>
  <si>
    <t>The variation of oceanic basement roughness at mid-oceanic ridges is a complex trade-off between spreading rate that largely controls the thermal state of the lithosphere and its composition controlling the rheology and thus also the strength of the lithosphere. Here we estimate top basement roughness (i.e. the root-mean-square deviation of residual basement relief) over initial oceanic crust bordering the Iberia, Newfoundland, Bay of Biscay, Goban Spur, Flemish Cap, Australian and Antarctic rifted margins to provide new insights into the spreading processes at the nascent plate boundary. Although ultraslow seafloor spreading is suggested in those areas, the lack of undisputable oceanic magnetic anomalies prevents any well-constrained determination of the initial spreading rates. We compare these estimated roughness values with those determined over ultraslow-spreading crust formed at the Mid Atlantic Ridge, Southwest Indian Ridge, Arctic ridges, Mid-Cayman Spreading Center, Sheba ridge and South Pandora Ridge. The roughness values obtained at these ultraslow-spreading ridges range from 100 to &gt;500 m and include 200-240 m roughness values which are typical of slow-spreading ridges. Roughness values larger than similar to 300 m are characteristic of magma-poor sections of ultraslow-spreading ridges. The top basement roughness values determined within the inferred initial oceanic domain bordering the investigated magma-poor rifted margins are all higher than 200 m. Mean roughness values of the inferred initial oceanic domains alongside the conjugate Iberia and Newfoundland margins are greater than 300 m similarly to magma-poor sections of ultraslow-spreading ridges. The top basement in the initial oceanic crust alongside the conjugate Flemish Cap and Goban Spur margins shows roughness values and a tilted block morphology typical of slow-spreading ridges. We suggest that the roughness and the morphology of the top basement bordering the conjugate Australian and Antarctic margins indicate large tectonic extension and intermediate magma supply at either slow-or ultraslow-spreading rates. We show that estimating roughness values within transitional domains of magma-poor margins like exhumed mantle domains is less pertinent as polyphased tectonism and magmatism may have affected these domains leading to highly variable top basement roughness values that cannot be linked to a single process.</t>
  </si>
  <si>
    <t>[Sauter, Daniel; Tugend, Julie; Gillard, Morgane; Nirrengarten, Michael; Autin, Julia; Manatschal, Gianreto; Schaming, Marc] Univ Strasbourg, Inst Phys Globe Strasbourg, CNRS UMR 7516, 1 Rue Blessig, F-67084 Strasbourg, France; [Cannat, Mathilde] CNRS UMR 7154, Inst Phys Globe Paris, 1 Rue Jussieu, F-75238 Paris 05, France; [Leroy, Sylvie] Sorbonne Univ, UPMC, CNRS UMR 7193, Inst Sci Terre Paris, 4 Rue Jussieu, F-75252 Paris 05, France</t>
  </si>
  <si>
    <t>Universites de Strasbourg Etablissements Associes; Universite de Strasbourg; Centre National de la Recherche Scientifique (CNRS); CNRS - National Institute for Earth Sciences &amp; Astronomy (INSU); Universite Paris Cite; Centre National de la Recherche Scientifique (CNRS); CNRS - National Institute for Earth Sciences &amp; Astronomy (INSU); Sorbonne Universite</t>
  </si>
  <si>
    <t>Sauter, D (corresponding author), Univ Strasbourg, Inst Phys Globe Strasbourg, CNRS UMR 7516, 1 Rue Blessig, F-67084 Strasbourg, France.</t>
  </si>
  <si>
    <t>daniel.sauter@unistra.fr</t>
  </si>
  <si>
    <t>sauter, daniel/K-6532-2014; sauter, daniel/Q-5519-2019; Nirrengarten, Michael/ABG-2949-2020; Cannat, Mathilde/F-9304-2010; Autin, Julia/GXG-5741-2022; LEROY, Sylvie/M-5923-2019</t>
  </si>
  <si>
    <t>sauter, daniel/0000-0003-3651-8090; sauter, daniel/0000-0003-3651-8090; Nirrengarten, Michael/0000-0001-9336-074X; Cannat, Mathilde/0000-0002-5157-8473; LEROY, Sylvie/0000-0002-3188-8802; Autin, Julia/0000-0003-2875-5766; Tugend, Julie/0000-0003-3724-7878</t>
  </si>
  <si>
    <t>'Actions Marges' a TOTAL/INSU/IFP/IFREMER/BRGM program; Modelling of Margins Phase 3 and 4 consortium</t>
  </si>
  <si>
    <t>We acknowledge funding by 'Actions Marges' a TOTAL/INSU/IFP/IFREMER/BRGM program to DS and JA, and funding from Modelling of Margins Phase 3 and 4 consortium for JT. We thank Segolene Vitoux, Elena Metz and Hugo Ketterer for their work that led to this paper. We also gratefully acknowledge the two anonymous reviewer and the Editor, Donna Blackman, for their review and helpful comments.</t>
  </si>
  <si>
    <t>0956-540X</t>
  </si>
  <si>
    <t>1365-246X</t>
  </si>
  <si>
    <t>GEOPHYS J INT</t>
  </si>
  <si>
    <t>Geophys. J. Int.</t>
  </si>
  <si>
    <t>10.1093/gji/ggx439</t>
  </si>
  <si>
    <t>FQ9TF</t>
  </si>
  <si>
    <t>WOS:000418703900012</t>
  </si>
  <si>
    <t>Omer, H; Bekker, A</t>
  </si>
  <si>
    <t>Omer, H.; Bekker, A.</t>
  </si>
  <si>
    <t>Human responses to wave slamming vibration on a polar supply and research vessel</t>
  </si>
  <si>
    <t>APPLIED ERGONOMICS</t>
  </si>
  <si>
    <t>Wave slamming; Whole-body vibration; Human response survey; Vibration dose value; Ice-going stern design</t>
  </si>
  <si>
    <t>WHOLE-BODY VIBRATION; PERFORMANCE; EXPOSURE</t>
  </si>
  <si>
    <t>A polar supply and research vessel is pre-disposed to wave slamming which has caused complaints among crew and researchers regarding interference with sleep, equipment use and research activities. The present work undertook to survey passenger claims of sleep interference, disturbed motor tasks and equipment damage as a result of wave slamming during normal operations of this vessel. The hypothesis was investigated that whole-body vibration metrics from ISO 2631-1 are potentially suitable for the prediction of human slamming complaints. Full-scale acceleration measurements were performed and wave slamming events were subsequently identified from the human weighted acceleration time histories. A daily diary survey was also conducted to gather the human response. The vibration caused by wave slamming was found to be strongly correlated with sleep disturbances and activity interference. Sleep and equipment use were found to be the most affected parameters by slamming. Daily vibration dose values were determined by accumulating the vibration as a result of slamming over 24 h periods. This metric accounted for increased magnitudes and frequency of slamming incidents and proved to be the best metric to represent human responses to slamming vibration. The greatest percentage of activities affected by slamming related to sleep regardless of daily cumulative VDV magnitude. More than 50% of the recorded responses related to sleep when the daily cumulative VDV ranged between 8.0 m/S-1.75-10.0 m/s(1.75). The peak vertical vibration levels recorded on the vessel reach magnitudes which are associated with sleep disturbance in environments where acoustic noise is present. (C) 2017 Elsevier Ltd. All rights reserved.</t>
  </si>
  <si>
    <t>[Omer, H.; Bekker, A.] Stellenbosch Univ, Dept Mech &amp; Mechatron Engn, Sound &amp; Vibrat Res Grp, Private Bag X1, ZA-7006 Stellenbosch, South Africa</t>
  </si>
  <si>
    <t>Stellenbosch University</t>
  </si>
  <si>
    <t>Bekker, A (corresponding author), Stellenbosch Univ, Dept Mech &amp; Mechatron Engn, Sound &amp; Vibrat Res Grp, Private Bag X1, ZA-7006 Stellenbosch, South Africa.</t>
  </si>
  <si>
    <t>annieb@sun.ac.za</t>
  </si>
  <si>
    <t>National Research Foundation; Department of Science and Technology under South African National Antarctic Programme [80268]</t>
  </si>
  <si>
    <t>National Research Foundation; Department of Science and Technology under South African National Antarctic Programme</t>
  </si>
  <si>
    <t>The support of the National Research Foundation and Department of Science and Technology (Grant No: 80268) under the South African National Antarctic Programme is gratefully acknowledged for project funding. The authors thank The Department of Environmental Affairs, South Africa and the crew of the S.A. Agulhas II for their support during the capture of measurements. Keith Soal, Brendan Boulle and Gillian Trollope are further acknowledged for their contributions.</t>
  </si>
  <si>
    <t>0003-6870</t>
  </si>
  <si>
    <t>1872-9126</t>
  </si>
  <si>
    <t>APPL ERGON</t>
  </si>
  <si>
    <t>Appl. Ergon.</t>
  </si>
  <si>
    <t>10.1016/j.apergo.2017.09.008</t>
  </si>
  <si>
    <t>Engineering, Industrial; Ergonomics; Psychology, Applied</t>
  </si>
  <si>
    <t>Engineering; Psychology</t>
  </si>
  <si>
    <t>FO5GB</t>
  </si>
  <si>
    <t>WOS:000416880400007</t>
  </si>
  <si>
    <t>Punt, AE; Day, J; Fay, G; Haddon, M; Klaer, N; Little, LR; Privitera-Johnson, K; Smith, ADM; Smith, DC; Sporcic, M; Thomson, R; Tuck, GN; Upston, J; Wayte, S</t>
  </si>
  <si>
    <t>Punt, Andre E.; Day, Jemery; Fay, Gavin; Haddon, Malcolm; Klaer, Neil; Little, L. Richard; Privitera-Johnson, Kristin; Smith, Anthony D. M.; Smith, David C.; Sporcic, Miriana; Thomson, Robin; Tuck, Geoffrey N.; Upston, Judy; Wayte, Sally</t>
  </si>
  <si>
    <t>Retrospective investigation of assessment uncertainty for fish stocks off southeast Australia</t>
  </si>
  <si>
    <t>Meta-analysis; Retrospective analysis; Stock assessment; Uncertainty estimation</t>
  </si>
  <si>
    <t>HARVEST CONTROL RULE; MANAGEMENT PROCEDURE; GALEORHINUS-GALEUS; SCHOOL SHARK; PERFORMANCE; DYNAMICS; MODEL</t>
  </si>
  <si>
    <t>There is a need to provide quantitative measures of uncertainty to support fisheries management decision making. A retrospective analysis of historical assessments for fish stocks off southeast Australia is conducted to quantify the extent of uncertainty associated with estimates of spawning stock biomass in absolute terms and when expressed relative to spawning stock biomass over a sequence of reference years. This approach to quantifying uncertainty captures more sources of uncertainty than alternative approaches, such as the estimate of the variance of terminal year spawning stock biomass from asymptotic methods, the extent to which estimates of spawning stock biomass vary among the sensitivity tests that form part of most assessments, and conventional retrospective analyses. By all measures, estimates of spawning stock biomass in absolute terms are much less certain than estimates of relative stock size (i.e. spawning stock biomass relative to a reference level), although application of most current harvest control rules rely on estimates of biomass in absolute terms. Overall, uncertainty in estimates of spawning biomass in absolute terms can be represented as a log-scale standard error of 0.37, while this standard error is 0.18 for estimates of spawning biomass in relative terms. There is considerable variation in among-assessment uncertainty in stock assessment outputs across species groups, with, for example, higher variation for assessments of chondrichthyans compared to other species.</t>
  </si>
  <si>
    <t>[Punt, Andre E.; Day, Jemery; Haddon, Malcolm; Klaer, Neil; Little, L. Richard; Smith, Anthony D. M.; Smith, David C.; Sporcic, Miriana; Thomson, Robin; Tuck, Geoffrey N.; Upston, Judy] CSIRO Oceans &amp; Atmosphere, Hobart, Tas 7001, Australia; [Punt, Andre E.; Privitera-Johnson, Kristin] Univ Washington, Sch Aquat &amp; Fishery Sci, Box 355020, Seattle, WA 98195 USA; [Fay, Gavin] Univ Massachusetts Dartmouth, Sch Marine Sci &amp; Technol, Dept Fisheries Oceanog, New Bedford, MA 02744 USA; [Klaer, Neil; Smith, Anthony D. M.] Univ Tasmania, Inst Marine &amp; Antarctic Studies, Private Bag 129, Hobart, Tas 7005, Australia; [Wayte, Sally] CSIRO, Canberra, ACT, Australia</t>
  </si>
  <si>
    <t>Commonwealth Scientific &amp; Industrial Research Organisation (CSIRO); University of Washington; University of Washington Seattle; University of Massachusetts System; University Massachusetts Dartmouth; University of Tasmania; Commonwealth Scientific &amp; Industrial Research Organisation (CSIRO)</t>
  </si>
  <si>
    <t>Punt, AE (corresponding author), CSIRO Oceans &amp; Atmosphere, Hobart, Tas 7001, Australia.</t>
  </si>
  <si>
    <t>aepunt@uw.edu</t>
  </si>
  <si>
    <t>Little, Rich/E-7578-2011; Wayte, Sally E/A-1697-2012; Klaer, Neil L/F-9099-2010; Smith, David/GQQ-8257-2022; Privitera-Johnson, Kristin/AAC-5294-2020; Tuck, Geoff/E-2356-2012</t>
  </si>
  <si>
    <t>Little, Rich/0000-0002-5650-7391; Privitera-Johnson, Kristin/0000-0003-3630-1748; Tuck, Geoff/0000-0002-3640-6147; Klaer, Neil/0000-0002-5178-2490; Fay, Gavin/0000-0003-0425-9952; Haddon, Malcolm/0000-0001-6971-7585</t>
  </si>
  <si>
    <t>CSIRO Oceans Atmosphere; Australian Fisheries Management Authority (AFMA); Fisheries Research and Development Corporation (FRDC); Cooperative Institute for the North Atlantic Region, Woods Hole Oceanographic Institution, pursuant [NA14OAR4320158]; National Science Foundation Graduate Research Fellowship Program; Joint Institute for the Study of the Atmosphere and Ocean (JISAO) under NOAA Cooperative Agreement [NA15OAR4320063, 2017-0110]</t>
  </si>
  <si>
    <t>CSIRO Oceans Atmosphere; Australian Fisheries Management Authority (AFMA); Fisheries Research and Development Corporation (FRDC)(Fisheries R&amp;D Corp); Cooperative Institute for the North Atlantic Region, Woods Hole Oceanographic Institution, pursuant; National Science Foundation Graduate Research Fellowship Program(National Science Foundation (NSF)); Joint Institute for the Study of the Atmosphere and Ocean (JISAO) under NOAA Cooperative Agreement</t>
  </si>
  <si>
    <t>This research has been supported by CSIRO Oceans &amp;Atmosphere, the Australian Fisheries Management Authority (AFMA) and the Fisheries Research and Development Corporation (FRDC). The authors are also grateful to the review efforts made by the various Resource Assessment Groups in which these assessments were first presented. Natalie Dowling (CSIRO), Steve Ralston (NMFS retired), and an anonymous reviewer are thanked for their comments on an earlier version of the paper. GF was supported by a grant from the Cooperative Institute for the North Atlantic Region, Woods Hole Oceanographic Institution, pursuant to NOAA Award NA14OAR4320158. KPJ was funded by the National Science Foundation Graduate Research Fellowship Program. AEP was [partially] funded by the Joint Institute for the Study of the Atmosphere and Ocean (JISAO) under NOAA Cooperative Agreement and NA15OAR4320063, Contribution No 2017-0110.</t>
  </si>
  <si>
    <t>10.1016/j.fishres.2017.10.007</t>
  </si>
  <si>
    <t>FN7JJ</t>
  </si>
  <si>
    <t>WOS:000416194200013</t>
  </si>
  <si>
    <t>Wang, Y; Deng, JP; Liu, DX; Wang, Y; Xu, JG; Ye, CY</t>
  </si>
  <si>
    <t>Wang, Yi; Deng, Jianping; Liu, Dongxin; Wang, Yan; Xu, Jianguo; Ye, Changyun</t>
  </si>
  <si>
    <t>Nanoparticles-based lateral flow biosensor coupled with multiple cross displacement amplification Plus for simultaneous detection of nucleic acid and prevention of carryover contamination</t>
  </si>
  <si>
    <t>SENSORS AND ACTUATORS B-CHEMICAL</t>
  </si>
  <si>
    <t>Multiple cross displacement amplification; MCDA Plus; Self-avoiding molecular recognition systems; Antarctic thermal sensitive; uracil-DNA-glycosylase; Limit of detection; MTC</t>
  </si>
  <si>
    <t>MEDIATED ISOTHERMAL AMPLIFICATION; POLYMERASE-CHAIN-REACTION; MYCOBACTERIUM-TUBERCULOSIS; DNA; PCR</t>
  </si>
  <si>
    <t>Isothermal amplification techniques, which avoid thermal cycling, are often confounded by non-specific amplification arising from off-target hybrids, interactions between (hetero-dimer) or within (selfdimerization) primers and carryover contaminants. Here, we developed a new method, termed multiple cross displacement amplification Plus (MCDA Plus), which uses self-avoiding molecular recognition system (SAMRS) components and antarctic thermal sensitive uracil-DNA-glycosylase (AUDG) enzyme to improve the specificity of MCDA and prevent carryover contamination, respectively. In the presence of SAMRS components, the false positive results arising from off-target hybrids and undesired interactions between or within primers are completely eliminated, which increase the reproducibility of the assay. In the presence of AUDG, the false positive results generating from carryover contaminants are removed, thus the genuine positive results are obtained from the amplification of target sequences. Moreover, we also devised a new analysis strategy, which was intended for the detection of amplified products using lateral flow biosensor (LFB). The analysis system only required a single labeled primer, thus eliminated the false positive result yielding from hybridization (the labeled primer and probe, or between two labeled primers). Therefore, the SAMRS components, AUDG and LFB convert standard MCDA from an assay suited only for the research laboratory into one that has applicable value at points-of-care testing, in the field environments and in poor-resource settings. For demonstration purpose, Mycobacterium tuberculosis complex (MTC), which is the causes of human Tuberculosis (TB), are detected by the novel MCDA Plus technique to demonstrate the capability of target analysis. The performance of MCDA Plus assay in identifying MTC from pure culture and clinical samples is successfully evaluated. The proof-of-concept technique can be reconfigured to detect various nucleic acid sequences by redesigning the specific MCDA Plus primers. (C) 2017 Elsevier B.V. All rights reserved.</t>
  </si>
  <si>
    <t>[Wang, Yi; Wang, Yan; Xu, Jianguo; Ye, Changyun] Chinese Ctr Dis Control &amp; Prevent, Natl Inst Communicable Dis Control &amp; Prevent, Collaborat Innovat Ctr Diag &amp; Treatment Infect Di, State Key Lab Infect Dis Prevent &amp; Control, Beijing 102206, Peoples R China; [Deng, Jianping] Zigong Ctr Dis Control &amp; Prevent, Zigong 643000, Sichuan, Peoples R China; [Liu, Dongxin] Chinese Ctr Dis Control &amp; Prevent, Natl Inst Communicable Dis Control &amp; Prevent, Beijing 102206, Peoples R China</t>
  </si>
  <si>
    <t>Collaborative Innovation Center for Diagnosis &amp; Treatment of Infectious Diseases; Chinese Center for Disease Control &amp; Prevention; National Institute for Communicable Disease Control &amp; Prevention, Chinese Center for Disease Control &amp; Prevention; Chinese Center for Disease Control &amp; Prevention; National Institute for Communicable Disease Control &amp; Prevention, Chinese Center for Disease Control &amp; Prevention</t>
  </si>
  <si>
    <t>Wang, Yi/JAD-1967-2023; wang, yiting/GYU-5306-2022; chen, yijia/KGM-4378-2024</t>
  </si>
  <si>
    <t>ELSEVIER SCIENCE SA</t>
  </si>
  <si>
    <t>PO BOX 564, 1001 LAUSANNE, SWITZERLAND</t>
  </si>
  <si>
    <t>0925-4005</t>
  </si>
  <si>
    <t>SENSOR ACTUAT B-CHEM</t>
  </si>
  <si>
    <t>Sens. Actuator B-Chem.</t>
  </si>
  <si>
    <t>10.1016/j.snb.2017.09.160</t>
  </si>
  <si>
    <t>Chemistry, Analytical; Electrochemistry; Instruments &amp; Instrumentation</t>
  </si>
  <si>
    <t>Chemistry; Electrochemistry; Instruments &amp; Instrumentation</t>
  </si>
  <si>
    <t>FM0VU</t>
  </si>
  <si>
    <t>WOS:000414686500105</t>
  </si>
  <si>
    <t>Firdaus-Raih, M; Hashim, NHF; Bharudin, I; Abu Bakar, MF; Huang, KK; Alias, H; Lee, BKB; Isa, MNM; Mat-Sharani, S; Sulaiman, S; Tay, LJ; Zolkefli, R; Noor, YM; Law, DSN; Rahman, SHA; Md-Illias, R; Abu Bakar, FD; Najimudin, N; Murad, AMA; Mahadi, NM</t>
  </si>
  <si>
    <t>Firdaus-Raih, Mohd; Hashim, Noor Haza Fazlin; Bharudin, Izwan; Abu Bakar, Mohd Faizal; Huang, Kie Kyon; Alias, Halimah; Lee, Bernard K. B.; Isa, Mohd Noor Mat; Mat-Sharani, Shuhaila; Sulaiman, Suhaila; Tay, Lih Jinq; Zolkefli, Radziah; Noor, Yusuf Muhammad; Law, Douglas Sie Nguong; Rahman, Siti Hamidah Abdul; Md-Illias, Rosli; Abu Bakar, Farah Diba; Najimudin, Nazalan; Murad, Abdul Munir Abdul; Mahadi, Nor Muhammad</t>
  </si>
  <si>
    <t>The Glaciozyma antarctica genome reveals an array of systems that provide sustained responses towards temperature variations in a persistently cold habitat</t>
  </si>
  <si>
    <t>ICE-BINDING PROTEIN; BOX C/D SNORNA; ANTIFREEZE PROTEIN; DROSOPHILA-MELANOGASTER; FATTY-ACIDS; EXPRESSION; GENES; YEAST; DESATURASE; ADAPTATION</t>
  </si>
  <si>
    <t>Extremely low temperatures present various challenges to life that include ice formation and effects on metabolic capacity. Psyhcrophilic microorganisms typically have an array of mechanisms to enable survival in cold temperatures. In this study, we sequenced and analysed the genome of a psychrophilic yeast isolated in the Antarctic region, Glaciozyma antarctica. The genome annotation identified 7857 protein coding sequences. From the genome sequence analysis we were able to identify genes that encoded for proteins known to be associated with cold survival, in addition to annotating genes that are unique to G. antarctica. For genes that are known to be involved in cold adaptation such as anti-freeze proteins (AFPs), our gene expression analysis revealed that they were differentially transcribed over time and in response to different temperatures. This indicated the presence of an array of adaptation systems that can respond to a changing but persistent cold environment. We were also able to validate the activity of all the AFPs annotated where the recombinant AFPs demonstrated anti- freeze capacity. This work is an important foundation for further collective exploration into psychrophilic microbiology where among other potential, the genes unique to this species may represent a pool of novel mechanisms for cold survival.</t>
  </si>
  <si>
    <t>[Firdaus-Raih, Mohd; Hashim, Noor Haza Fazlin; Bharudin, Izwan; Abu Bakar, Mohd Faizal; Huang, Kie Kyon; Lee, Bernard K. B.; Mat-Sharani, Shuhaila; Sulaiman, Suhaila; Tay, Lih Jinq; Zolkefli, Radziah; Law, Douglas Sie Nguong; Rahman, Siti Hamidah Abdul; Abu Bakar, Farah Diba; Murad, Abdul Munir Abdul] Univ Kebangsaan Malaysia, Fac Sci &amp; Technol, Sch Biosci &amp; Biotechnol, Bangi, Selangor, Malaysia; [Firdaus-Raih, Mohd] Univ Kebangsaan Malaysia, Inst Syst Biol, Bangi, Selangor, Malaysia; [Alias, Halimah; Isa, Mohd Noor Mat; Mat-Sharani, Shuhaila; Noor, Yusuf Muhammad; Mahadi, Nor Muhammad] Malaysia Genome Inst, Jalan Bangi Lama, Kajang, Selangor, Malaysia; [Noor, Yusuf Muhammad; Md-Illias, Rosli] Univ Teknol Malaysia, Fac Chem &amp; Nat Resources Engn, Dept Biosci Engn, Skudai, Johor, Malaysia; [Najimudin, Nazalan] Univ Sains Malaysia, Sch Biol Sci, George Town, Malaysia; [Hashim, Noor Haza Fazlin] Minist Nat Resources &amp; Environm, Natl Hydraul Res Inst Malaysia, Water Qual Lab, Seri Kembangan, Selangor, Malaysia; [Sulaiman, Suhaila] FGV Innovat Ctr Biotechnol, Felda Global Ventures Res &amp; Dev Sdn Bhd, Bandar Enstek, Negeri Sembilan, Malaysia; [Tay, Lih Jinq] Infrastruct Univ Kuala Lumpur, Fac Appl Sci &amp; Fdn Studies, Dept Agr &amp; Biotechnol, Kajang, Selangor, Malaysia</t>
  </si>
  <si>
    <t>Universiti Kebangsaan Malaysia; Universiti Kebangsaan Malaysia; Universiti Teknologi Malaysia; Universiti Sains Malaysia; Infrastructure University Kuala Lumpur (IUKL)</t>
  </si>
  <si>
    <t>Firdaus-Raih, M (corresponding author), Univ Kebangsaan Malaysia, Fac Sci &amp; Technol, Sch Biosci &amp; Biotechnol, Bangi, Selangor, Malaysia.;Firdaus-Raih, M (corresponding author), Univ Kebangsaan Malaysia, Inst Syst Biol, Bangi, Selangor, Malaysia.</t>
  </si>
  <si>
    <t>firdaus@mfrlab.org</t>
  </si>
  <si>
    <t>Lee, Bernard Kok Bang/JFU-2829-2023; Mat-Sharani, Shuhaila/AAV-7690-2020; Firdaus-Raih, Mohd/A-9217-2011; Sulaiman, Suhaila/J-4350-2019; Law, Douglas/E-2449-2019; MSR, shuhaila/AAF-2196-2021; Murad, Abdul/CAG-9324-2022; Najimudin, Nazalan/B-2952-2011; Sulaiman, Suhaila/AAK-1612-2020; Isa, Mohd Noor Mat/AAL-6458-2021; Abdul Murad, Abdul Munir/L-8575-2017; Mat-Sharani, Shuhaila/GWC-1971-2022</t>
  </si>
  <si>
    <t>Lee, Bernard Kok Bang/0000-0003-4169-0178; Firdaus-Raih, Mohd/0000-0003-4275-4663; Law, Douglas/0000-0002-7824-3542; Sulaiman, Suhaila/0000-0002-6781-4493; Abdul Murad, Abdul Munir/0000-0001-6402-7198; Hashim, Noor Haza Fazlin/0000-0002-6385-6469; Mat Isa, Mohd Noor/0000-0001-6426-9832; Mat-Sharani, Shuhaila/0000-0001-8088-4042; Bharudin, Izwan/0000-0002-8908-4786</t>
  </si>
  <si>
    <t>Ministry of Science, Technology and Innovation, Malaysia [07-05-MGI-GMB014, BT/BI/04/055-2001, 02-05-20-SF0007]; Universiti Kebangsaan Malaysia [ICONIC-2013-007 / GP-K011849]; Australian Antarctic Division of the Academy of Science, Malaysia; Malaysian Antarctic Research Programme (MARP) of the Academy of Science, Malaysia</t>
  </si>
  <si>
    <t>Ministry of Science, Technology and Innovation, Malaysia(Ministry of Energy, Science, Technology, Environment and Climate Change (MESTECC), Malaysia); Universiti Kebangsaan Malaysia; Australian Antarctic Division of the Academy of Science, Malaysia; Malaysian Antarctic Research Programme (MARP) of the Academy of Science, Malaysia</t>
  </si>
  <si>
    <t>This work was supported by grants from the Ministry of Science, Technology and Innovation (grant numbers 07-05-MGI-GMB014, BT/BI/04/055-2001, 02-05-20-SF0007), Malaysia and Universiti Kebangsaan Malaysia (grant numbers ICONIC-2013-007 / GP-K011849). We acknowledge support given by the Australian Antarctic Division and the Malaysian Antarctic Research Programme (MARP) of the Academy of Science, Malaysia. The funders had no role in study design, data collection and analysis, decision to publish, or preparation of the manuscript.; This work was supported by grants from the Ministry of Science, Technology and Innovation (grant numbers 07-05-MGI-GMB014, BT/BI/04/055-2001, 02-05-20-SF0007), Malaysia and Universiti Kebangsaan Malaysia (grant numbers ICONIC-2013-007 / GP-K011849). The funders had no role in study design, data collection and analysis, decision to publish, or preparation of the manuscript. We acknowledge support given by the Australian Antarctic Division and the Malaysian Antarctic Research Programme (MARP) of the Academy of Science, Malaysia. We thank Synamatix Sdn Bhd., Vivian Junker, Alexandre Dionne-Laporte and the late Maqsudul Alam for technical assistance with an initial draft of the genome sequence.</t>
  </si>
  <si>
    <t>JAN 31</t>
  </si>
  <si>
    <t>e0189947</t>
  </si>
  <si>
    <t>10.1371/journal.pone.0189947</t>
  </si>
  <si>
    <t>FU2GT</t>
  </si>
  <si>
    <t>WOS:000423668400012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</si>
</sst>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80</v>
      </c>
      <c r="U2" t="s">
        <v>81</v>
      </c>
      <c r="V2" t="s">
        <v>82</v>
      </c>
      <c r="W2" t="s">
        <v>83</v>
      </c>
      <c r="X2" t="s">
        <v>84</v>
      </c>
      <c r="Y2" t="s">
        <v>85</v>
      </c>
      <c r="Z2" t="s">
        <v>86</v>
      </c>
      <c r="AA2" t="s">
        <v>74</v>
      </c>
      <c r="AB2" t="s">
        <v>87</v>
      </c>
      <c r="AC2" t="s">
        <v>88</v>
      </c>
      <c r="AD2" t="s">
        <v>89</v>
      </c>
      <c r="AE2" t="s">
        <v>90</v>
      </c>
      <c r="AF2" t="s">
        <v>74</v>
      </c>
      <c r="AG2">
        <v>61</v>
      </c>
      <c r="AH2">
        <v>3</v>
      </c>
      <c r="AI2">
        <v>3</v>
      </c>
      <c r="AJ2">
        <v>0</v>
      </c>
      <c r="AK2">
        <v>6</v>
      </c>
      <c r="AL2" t="s">
        <v>91</v>
      </c>
      <c r="AM2" t="s">
        <v>92</v>
      </c>
      <c r="AN2" t="s">
        <v>93</v>
      </c>
      <c r="AO2" t="s">
        <v>94</v>
      </c>
      <c r="AP2" t="s">
        <v>95</v>
      </c>
      <c r="AQ2" t="s">
        <v>74</v>
      </c>
      <c r="AR2" t="s">
        <v>96</v>
      </c>
      <c r="AS2" t="s">
        <v>97</v>
      </c>
      <c r="AT2" t="s">
        <v>98</v>
      </c>
      <c r="AU2">
        <v>2018</v>
      </c>
      <c r="AV2">
        <v>41</v>
      </c>
      <c r="AW2">
        <v>6</v>
      </c>
      <c r="AX2" t="s">
        <v>74</v>
      </c>
      <c r="AY2" t="s">
        <v>74</v>
      </c>
      <c r="AZ2" t="s">
        <v>74</v>
      </c>
      <c r="BA2" t="s">
        <v>74</v>
      </c>
      <c r="BB2">
        <v>1297</v>
      </c>
      <c r="BC2">
        <v>1306</v>
      </c>
      <c r="BD2" t="s">
        <v>74</v>
      </c>
      <c r="BE2" t="s">
        <v>99</v>
      </c>
      <c r="BF2" t="str">
        <f>HYPERLINK("http://dx.doi.org/10.1007/s00300-018-2285-6","http://dx.doi.org/10.1007/s00300-018-2285-6")</f>
        <v>http://dx.doi.org/10.1007/s00300-018-2285-6</v>
      </c>
      <c r="BG2" t="s">
        <v>74</v>
      </c>
      <c r="BH2" t="s">
        <v>74</v>
      </c>
      <c r="BI2">
        <v>10</v>
      </c>
      <c r="BJ2" t="s">
        <v>100</v>
      </c>
      <c r="BK2" t="s">
        <v>101</v>
      </c>
      <c r="BL2" t="s">
        <v>102</v>
      </c>
      <c r="BM2" t="s">
        <v>103</v>
      </c>
      <c r="BN2" t="s">
        <v>74</v>
      </c>
      <c r="BO2" t="s">
        <v>104</v>
      </c>
      <c r="BP2" t="s">
        <v>74</v>
      </c>
      <c r="BQ2" t="s">
        <v>74</v>
      </c>
      <c r="BR2" t="s">
        <v>105</v>
      </c>
      <c r="BS2" t="s">
        <v>106</v>
      </c>
      <c r="BT2" t="str">
        <f>HYPERLINK("https%3A%2F%2Fwww.webofscience.com%2Fwos%2Fwoscc%2Ffull-record%2FWOS:000434253800019","View Full Record in Web of Science")</f>
        <v>View Full Record in Web of Science</v>
      </c>
    </row>
    <row r="3" spans="1:72" x14ac:dyDescent="0.15">
      <c r="A3" t="s">
        <v>72</v>
      </c>
      <c r="B3" t="s">
        <v>107</v>
      </c>
      <c r="C3" t="s">
        <v>74</v>
      </c>
      <c r="D3" t="s">
        <v>74</v>
      </c>
      <c r="E3" t="s">
        <v>74</v>
      </c>
      <c r="F3" t="s">
        <v>108</v>
      </c>
      <c r="G3" t="s">
        <v>74</v>
      </c>
      <c r="H3" t="s">
        <v>74</v>
      </c>
      <c r="I3" t="s">
        <v>109</v>
      </c>
      <c r="J3" t="s">
        <v>110</v>
      </c>
      <c r="K3" t="s">
        <v>74</v>
      </c>
      <c r="L3" t="s">
        <v>74</v>
      </c>
      <c r="M3" t="s">
        <v>78</v>
      </c>
      <c r="N3" t="s">
        <v>79</v>
      </c>
      <c r="O3" t="s">
        <v>74</v>
      </c>
      <c r="P3" t="s">
        <v>74</v>
      </c>
      <c r="Q3" t="s">
        <v>74</v>
      </c>
      <c r="R3" t="s">
        <v>74</v>
      </c>
      <c r="S3" t="s">
        <v>74</v>
      </c>
      <c r="T3" t="s">
        <v>111</v>
      </c>
      <c r="U3" t="s">
        <v>112</v>
      </c>
      <c r="V3" t="s">
        <v>113</v>
      </c>
      <c r="W3" t="s">
        <v>114</v>
      </c>
      <c r="X3" t="s">
        <v>115</v>
      </c>
      <c r="Y3" t="s">
        <v>116</v>
      </c>
      <c r="Z3" t="s">
        <v>117</v>
      </c>
      <c r="AA3" t="s">
        <v>118</v>
      </c>
      <c r="AB3" t="s">
        <v>119</v>
      </c>
      <c r="AC3" t="s">
        <v>120</v>
      </c>
      <c r="AD3" t="s">
        <v>121</v>
      </c>
      <c r="AE3" t="s">
        <v>122</v>
      </c>
      <c r="AF3" t="s">
        <v>74</v>
      </c>
      <c r="AG3">
        <v>89</v>
      </c>
      <c r="AH3">
        <v>12</v>
      </c>
      <c r="AI3">
        <v>12</v>
      </c>
      <c r="AJ3">
        <v>4</v>
      </c>
      <c r="AK3">
        <v>33</v>
      </c>
      <c r="AL3" t="s">
        <v>123</v>
      </c>
      <c r="AM3" t="s">
        <v>124</v>
      </c>
      <c r="AN3" t="s">
        <v>125</v>
      </c>
      <c r="AO3" t="s">
        <v>126</v>
      </c>
      <c r="AP3" t="s">
        <v>74</v>
      </c>
      <c r="AQ3" t="s">
        <v>74</v>
      </c>
      <c r="AR3" t="s">
        <v>127</v>
      </c>
      <c r="AS3" t="s">
        <v>128</v>
      </c>
      <c r="AT3" t="s">
        <v>129</v>
      </c>
      <c r="AU3">
        <v>2018</v>
      </c>
      <c r="AV3">
        <v>70</v>
      </c>
      <c r="AW3" t="s">
        <v>74</v>
      </c>
      <c r="AX3" t="s">
        <v>74</v>
      </c>
      <c r="AY3" t="s">
        <v>74</v>
      </c>
      <c r="AZ3" t="s">
        <v>74</v>
      </c>
      <c r="BA3" t="s">
        <v>74</v>
      </c>
      <c r="BB3" t="s">
        <v>74</v>
      </c>
      <c r="BC3" t="s">
        <v>74</v>
      </c>
      <c r="BD3">
        <v>1445379</v>
      </c>
      <c r="BE3" t="s">
        <v>130</v>
      </c>
      <c r="BF3" t="str">
        <f>HYPERLINK("http://dx.doi.org/10.1080/16000889.2018.1468705","http://dx.doi.org/10.1080/16000889.2018.1468705")</f>
        <v>http://dx.doi.org/10.1080/16000889.2018.1468705</v>
      </c>
      <c r="BG3" t="s">
        <v>74</v>
      </c>
      <c r="BH3" t="s">
        <v>74</v>
      </c>
      <c r="BI3">
        <v>15</v>
      </c>
      <c r="BJ3" t="s">
        <v>131</v>
      </c>
      <c r="BK3" t="s">
        <v>101</v>
      </c>
      <c r="BL3" t="s">
        <v>131</v>
      </c>
      <c r="BM3" t="s">
        <v>132</v>
      </c>
      <c r="BN3" t="s">
        <v>74</v>
      </c>
      <c r="BO3" t="s">
        <v>133</v>
      </c>
      <c r="BP3" t="s">
        <v>74</v>
      </c>
      <c r="BQ3" t="s">
        <v>74</v>
      </c>
      <c r="BR3" t="s">
        <v>105</v>
      </c>
      <c r="BS3" t="s">
        <v>134</v>
      </c>
      <c r="BT3" t="str">
        <f>HYPERLINK("https%3A%2F%2Fwww.webofscience.com%2Fwos%2Fwoscc%2Ffull-record%2FWOS:000433998200001","View Full Record in Web of Science")</f>
        <v>View Full Record in Web of Science</v>
      </c>
    </row>
    <row r="4" spans="1:72" x14ac:dyDescent="0.15">
      <c r="A4" t="s">
        <v>72</v>
      </c>
      <c r="B4" t="s">
        <v>135</v>
      </c>
      <c r="C4" t="s">
        <v>74</v>
      </c>
      <c r="D4" t="s">
        <v>74</v>
      </c>
      <c r="E4" t="s">
        <v>74</v>
      </c>
      <c r="F4" t="s">
        <v>136</v>
      </c>
      <c r="G4" t="s">
        <v>74</v>
      </c>
      <c r="H4" t="s">
        <v>74</v>
      </c>
      <c r="I4" t="s">
        <v>137</v>
      </c>
      <c r="J4" t="s">
        <v>138</v>
      </c>
      <c r="K4" t="s">
        <v>74</v>
      </c>
      <c r="L4" t="s">
        <v>74</v>
      </c>
      <c r="M4" t="s">
        <v>78</v>
      </c>
      <c r="N4" t="s">
        <v>79</v>
      </c>
      <c r="O4" t="s">
        <v>74</v>
      </c>
      <c r="P4" t="s">
        <v>74</v>
      </c>
      <c r="Q4" t="s">
        <v>74</v>
      </c>
      <c r="R4" t="s">
        <v>74</v>
      </c>
      <c r="S4" t="s">
        <v>74</v>
      </c>
      <c r="T4" t="s">
        <v>139</v>
      </c>
      <c r="U4" t="s">
        <v>140</v>
      </c>
      <c r="V4" t="s">
        <v>141</v>
      </c>
      <c r="W4" t="s">
        <v>142</v>
      </c>
      <c r="X4" t="s">
        <v>143</v>
      </c>
      <c r="Y4" t="s">
        <v>144</v>
      </c>
      <c r="Z4" t="s">
        <v>145</v>
      </c>
      <c r="AA4" t="s">
        <v>146</v>
      </c>
      <c r="AB4" t="s">
        <v>147</v>
      </c>
      <c r="AC4" t="s">
        <v>148</v>
      </c>
      <c r="AD4" t="s">
        <v>149</v>
      </c>
      <c r="AE4" t="s">
        <v>150</v>
      </c>
      <c r="AF4" t="s">
        <v>74</v>
      </c>
      <c r="AG4">
        <v>57</v>
      </c>
      <c r="AH4">
        <v>8</v>
      </c>
      <c r="AI4">
        <v>9</v>
      </c>
      <c r="AJ4">
        <v>1</v>
      </c>
      <c r="AK4">
        <v>18</v>
      </c>
      <c r="AL4" t="s">
        <v>151</v>
      </c>
      <c r="AM4" t="s">
        <v>152</v>
      </c>
      <c r="AN4" t="s">
        <v>153</v>
      </c>
      <c r="AO4" t="s">
        <v>154</v>
      </c>
      <c r="AP4" t="s">
        <v>155</v>
      </c>
      <c r="AQ4" t="s">
        <v>74</v>
      </c>
      <c r="AR4" t="s">
        <v>156</v>
      </c>
      <c r="AS4" t="s">
        <v>157</v>
      </c>
      <c r="AT4" t="s">
        <v>98</v>
      </c>
      <c r="AU4">
        <v>2018</v>
      </c>
      <c r="AV4">
        <v>127</v>
      </c>
      <c r="AW4">
        <v>4</v>
      </c>
      <c r="AX4" t="s">
        <v>74</v>
      </c>
      <c r="AY4" t="s">
        <v>74</v>
      </c>
      <c r="AZ4" t="s">
        <v>74</v>
      </c>
      <c r="BA4" t="s">
        <v>74</v>
      </c>
      <c r="BB4" t="s">
        <v>74</v>
      </c>
      <c r="BC4" t="s">
        <v>74</v>
      </c>
      <c r="BD4">
        <v>57</v>
      </c>
      <c r="BE4" t="s">
        <v>158</v>
      </c>
      <c r="BF4" t="str">
        <f>HYPERLINK("http://dx.doi.org/10.1007/s12040-018-0956-x","http://dx.doi.org/10.1007/s12040-018-0956-x")</f>
        <v>http://dx.doi.org/10.1007/s12040-018-0956-x</v>
      </c>
      <c r="BG4" t="s">
        <v>74</v>
      </c>
      <c r="BH4" t="s">
        <v>74</v>
      </c>
      <c r="BI4">
        <v>12</v>
      </c>
      <c r="BJ4" t="s">
        <v>159</v>
      </c>
      <c r="BK4" t="s">
        <v>101</v>
      </c>
      <c r="BL4" t="s">
        <v>160</v>
      </c>
      <c r="BM4" t="s">
        <v>161</v>
      </c>
      <c r="BN4" t="s">
        <v>74</v>
      </c>
      <c r="BO4" t="s">
        <v>162</v>
      </c>
      <c r="BP4" t="s">
        <v>74</v>
      </c>
      <c r="BQ4" t="s">
        <v>74</v>
      </c>
      <c r="BR4" t="s">
        <v>105</v>
      </c>
      <c r="BS4" t="s">
        <v>163</v>
      </c>
      <c r="BT4" t="str">
        <f>HYPERLINK("https%3A%2F%2Fwww.webofscience.com%2Fwos%2Fwoscc%2Ffull-record%2FWOS:000433621800001","View Full Record in Web of Science")</f>
        <v>View Full Record in Web of Science</v>
      </c>
    </row>
    <row r="5" spans="1:72" x14ac:dyDescent="0.15">
      <c r="A5" t="s">
        <v>72</v>
      </c>
      <c r="B5" t="s">
        <v>164</v>
      </c>
      <c r="C5" t="s">
        <v>74</v>
      </c>
      <c r="D5" t="s">
        <v>74</v>
      </c>
      <c r="E5" t="s">
        <v>74</v>
      </c>
      <c r="F5" t="s">
        <v>165</v>
      </c>
      <c r="G5" t="s">
        <v>74</v>
      </c>
      <c r="H5" t="s">
        <v>74</v>
      </c>
      <c r="I5" t="s">
        <v>166</v>
      </c>
      <c r="J5" t="s">
        <v>167</v>
      </c>
      <c r="K5" t="s">
        <v>74</v>
      </c>
      <c r="L5" t="s">
        <v>74</v>
      </c>
      <c r="M5" t="s">
        <v>78</v>
      </c>
      <c r="N5" t="s">
        <v>79</v>
      </c>
      <c r="O5" t="s">
        <v>74</v>
      </c>
      <c r="P5" t="s">
        <v>74</v>
      </c>
      <c r="Q5" t="s">
        <v>74</v>
      </c>
      <c r="R5" t="s">
        <v>74</v>
      </c>
      <c r="S5" t="s">
        <v>74</v>
      </c>
      <c r="T5" t="s">
        <v>74</v>
      </c>
      <c r="U5" t="s">
        <v>168</v>
      </c>
      <c r="V5" t="s">
        <v>169</v>
      </c>
      <c r="W5" t="s">
        <v>170</v>
      </c>
      <c r="X5" t="s">
        <v>171</v>
      </c>
      <c r="Y5" t="s">
        <v>172</v>
      </c>
      <c r="Z5" t="s">
        <v>173</v>
      </c>
      <c r="AA5" t="s">
        <v>174</v>
      </c>
      <c r="AB5" t="s">
        <v>175</v>
      </c>
      <c r="AC5" t="s">
        <v>176</v>
      </c>
      <c r="AD5" t="s">
        <v>177</v>
      </c>
      <c r="AE5" t="s">
        <v>178</v>
      </c>
      <c r="AF5" t="s">
        <v>74</v>
      </c>
      <c r="AG5">
        <v>36</v>
      </c>
      <c r="AH5">
        <v>21</v>
      </c>
      <c r="AI5">
        <v>21</v>
      </c>
      <c r="AJ5">
        <v>1</v>
      </c>
      <c r="AK5">
        <v>8</v>
      </c>
      <c r="AL5" t="s">
        <v>179</v>
      </c>
      <c r="AM5" t="s">
        <v>180</v>
      </c>
      <c r="AN5" t="s">
        <v>181</v>
      </c>
      <c r="AO5" t="s">
        <v>182</v>
      </c>
      <c r="AP5" t="s">
        <v>74</v>
      </c>
      <c r="AQ5" t="s">
        <v>74</v>
      </c>
      <c r="AR5" t="s">
        <v>183</v>
      </c>
      <c r="AS5" t="s">
        <v>184</v>
      </c>
      <c r="AT5" t="s">
        <v>98</v>
      </c>
      <c r="AU5">
        <v>2018</v>
      </c>
      <c r="AV5">
        <v>10</v>
      </c>
      <c r="AW5">
        <v>3</v>
      </c>
      <c r="AX5" t="s">
        <v>74</v>
      </c>
      <c r="AY5" t="s">
        <v>74</v>
      </c>
      <c r="AZ5" t="s">
        <v>74</v>
      </c>
      <c r="BA5" t="s">
        <v>74</v>
      </c>
      <c r="BB5">
        <v>255</v>
      </c>
      <c r="BC5">
        <v>263</v>
      </c>
      <c r="BD5" t="s">
        <v>74</v>
      </c>
      <c r="BE5" t="s">
        <v>185</v>
      </c>
      <c r="BF5" t="str">
        <f>HYPERLINK("http://dx.doi.org/10.1111/1758-2229.12632","http://dx.doi.org/10.1111/1758-2229.12632")</f>
        <v>http://dx.doi.org/10.1111/1758-2229.12632</v>
      </c>
      <c r="BG5" t="s">
        <v>74</v>
      </c>
      <c r="BH5" t="s">
        <v>74</v>
      </c>
      <c r="BI5">
        <v>9</v>
      </c>
      <c r="BJ5" t="s">
        <v>186</v>
      </c>
      <c r="BK5" t="s">
        <v>101</v>
      </c>
      <c r="BL5" t="s">
        <v>187</v>
      </c>
      <c r="BM5" t="s">
        <v>188</v>
      </c>
      <c r="BN5">
        <v>29473314</v>
      </c>
      <c r="BO5" t="s">
        <v>162</v>
      </c>
      <c r="BP5" t="s">
        <v>74</v>
      </c>
      <c r="BQ5" t="s">
        <v>74</v>
      </c>
      <c r="BR5" t="s">
        <v>105</v>
      </c>
      <c r="BS5" t="s">
        <v>189</v>
      </c>
      <c r="BT5" t="str">
        <f>HYPERLINK("https%3A%2F%2Fwww.webofscience.com%2Fwos%2Fwoscc%2Ffull-record%2FWOS:000433572100004","View Full Record in Web of Science")</f>
        <v>View Full Record in Web of Science</v>
      </c>
    </row>
    <row r="6" spans="1:72" x14ac:dyDescent="0.15">
      <c r="A6" t="s">
        <v>72</v>
      </c>
      <c r="B6" t="s">
        <v>190</v>
      </c>
      <c r="C6" t="s">
        <v>74</v>
      </c>
      <c r="D6" t="s">
        <v>74</v>
      </c>
      <c r="E6" t="s">
        <v>74</v>
      </c>
      <c r="F6" t="s">
        <v>191</v>
      </c>
      <c r="G6" t="s">
        <v>74</v>
      </c>
      <c r="H6" t="s">
        <v>74</v>
      </c>
      <c r="I6" t="s">
        <v>192</v>
      </c>
      <c r="J6" t="s">
        <v>193</v>
      </c>
      <c r="K6" t="s">
        <v>74</v>
      </c>
      <c r="L6" t="s">
        <v>74</v>
      </c>
      <c r="M6" t="s">
        <v>78</v>
      </c>
      <c r="N6" t="s">
        <v>79</v>
      </c>
      <c r="O6" t="s">
        <v>74</v>
      </c>
      <c r="P6" t="s">
        <v>74</v>
      </c>
      <c r="Q6" t="s">
        <v>74</v>
      </c>
      <c r="R6" t="s">
        <v>74</v>
      </c>
      <c r="S6" t="s">
        <v>74</v>
      </c>
      <c r="T6" t="s">
        <v>194</v>
      </c>
      <c r="U6" t="s">
        <v>195</v>
      </c>
      <c r="V6" t="s">
        <v>196</v>
      </c>
      <c r="W6" t="s">
        <v>197</v>
      </c>
      <c r="X6" t="s">
        <v>198</v>
      </c>
      <c r="Y6" t="s">
        <v>199</v>
      </c>
      <c r="Z6" t="s">
        <v>200</v>
      </c>
      <c r="AA6" t="s">
        <v>74</v>
      </c>
      <c r="AB6" t="s">
        <v>201</v>
      </c>
      <c r="AC6" t="s">
        <v>202</v>
      </c>
      <c r="AD6" t="s">
        <v>203</v>
      </c>
      <c r="AE6" t="s">
        <v>204</v>
      </c>
      <c r="AF6" t="s">
        <v>74</v>
      </c>
      <c r="AG6">
        <v>36</v>
      </c>
      <c r="AH6">
        <v>6</v>
      </c>
      <c r="AI6">
        <v>6</v>
      </c>
      <c r="AJ6">
        <v>2</v>
      </c>
      <c r="AK6">
        <v>28</v>
      </c>
      <c r="AL6" t="s">
        <v>91</v>
      </c>
      <c r="AM6" t="s">
        <v>92</v>
      </c>
      <c r="AN6" t="s">
        <v>205</v>
      </c>
      <c r="AO6" t="s">
        <v>206</v>
      </c>
      <c r="AP6" t="s">
        <v>207</v>
      </c>
      <c r="AQ6" t="s">
        <v>74</v>
      </c>
      <c r="AR6" t="s">
        <v>208</v>
      </c>
      <c r="AS6" t="s">
        <v>209</v>
      </c>
      <c r="AT6" t="s">
        <v>98</v>
      </c>
      <c r="AU6">
        <v>2018</v>
      </c>
      <c r="AV6">
        <v>100</v>
      </c>
      <c r="AW6">
        <v>6</v>
      </c>
      <c r="AX6" t="s">
        <v>74</v>
      </c>
      <c r="AY6" t="s">
        <v>74</v>
      </c>
      <c r="AZ6" t="s">
        <v>74</v>
      </c>
      <c r="BA6" t="s">
        <v>74</v>
      </c>
      <c r="BB6">
        <v>748</v>
      </c>
      <c r="BC6">
        <v>753</v>
      </c>
      <c r="BD6" t="s">
        <v>74</v>
      </c>
      <c r="BE6" t="s">
        <v>210</v>
      </c>
      <c r="BF6" t="str">
        <f>HYPERLINK("http://dx.doi.org/10.1007/s00128-018-2326-4","http://dx.doi.org/10.1007/s00128-018-2326-4")</f>
        <v>http://dx.doi.org/10.1007/s00128-018-2326-4</v>
      </c>
      <c r="BG6" t="s">
        <v>74</v>
      </c>
      <c r="BH6" t="s">
        <v>74</v>
      </c>
      <c r="BI6">
        <v>6</v>
      </c>
      <c r="BJ6" t="s">
        <v>211</v>
      </c>
      <c r="BK6" t="s">
        <v>101</v>
      </c>
      <c r="BL6" t="s">
        <v>212</v>
      </c>
      <c r="BM6" t="s">
        <v>213</v>
      </c>
      <c r="BN6">
        <v>29564485</v>
      </c>
      <c r="BO6" t="s">
        <v>74</v>
      </c>
      <c r="BP6" t="s">
        <v>74</v>
      </c>
      <c r="BQ6" t="s">
        <v>74</v>
      </c>
      <c r="BR6" t="s">
        <v>105</v>
      </c>
      <c r="BS6" t="s">
        <v>214</v>
      </c>
      <c r="BT6" t="str">
        <f>HYPERLINK("https%3A%2F%2Fwww.webofscience.com%2Fwos%2Fwoscc%2Ffull-record%2FWOS:000433322400002","View Full Record in Web of Science")</f>
        <v>View Full Record in Web of Science</v>
      </c>
    </row>
    <row r="7" spans="1:72" x14ac:dyDescent="0.15">
      <c r="A7" t="s">
        <v>72</v>
      </c>
      <c r="B7" t="s">
        <v>215</v>
      </c>
      <c r="C7" t="s">
        <v>74</v>
      </c>
      <c r="D7" t="s">
        <v>74</v>
      </c>
      <c r="E7" t="s">
        <v>74</v>
      </c>
      <c r="F7" t="s">
        <v>216</v>
      </c>
      <c r="G7" t="s">
        <v>74</v>
      </c>
      <c r="H7" t="s">
        <v>74</v>
      </c>
      <c r="I7" t="s">
        <v>217</v>
      </c>
      <c r="J7" t="s">
        <v>218</v>
      </c>
      <c r="K7" t="s">
        <v>74</v>
      </c>
      <c r="L7" t="s">
        <v>74</v>
      </c>
      <c r="M7" t="s">
        <v>78</v>
      </c>
      <c r="N7" t="s">
        <v>79</v>
      </c>
      <c r="O7" t="s">
        <v>74</v>
      </c>
      <c r="P7" t="s">
        <v>74</v>
      </c>
      <c r="Q7" t="s">
        <v>74</v>
      </c>
      <c r="R7" t="s">
        <v>74</v>
      </c>
      <c r="S7" t="s">
        <v>74</v>
      </c>
      <c r="T7" t="s">
        <v>219</v>
      </c>
      <c r="U7" t="s">
        <v>220</v>
      </c>
      <c r="V7" t="s">
        <v>221</v>
      </c>
      <c r="W7" t="s">
        <v>222</v>
      </c>
      <c r="X7" t="s">
        <v>223</v>
      </c>
      <c r="Y7" t="s">
        <v>224</v>
      </c>
      <c r="Z7" t="s">
        <v>225</v>
      </c>
      <c r="AA7" t="s">
        <v>74</v>
      </c>
      <c r="AB7" t="s">
        <v>74</v>
      </c>
      <c r="AC7" t="s">
        <v>226</v>
      </c>
      <c r="AD7" t="s">
        <v>227</v>
      </c>
      <c r="AE7" t="s">
        <v>228</v>
      </c>
      <c r="AF7" t="s">
        <v>74</v>
      </c>
      <c r="AG7">
        <v>59</v>
      </c>
      <c r="AH7">
        <v>7</v>
      </c>
      <c r="AI7">
        <v>10</v>
      </c>
      <c r="AJ7">
        <v>4</v>
      </c>
      <c r="AK7">
        <v>21</v>
      </c>
      <c r="AL7" t="s">
        <v>91</v>
      </c>
      <c r="AM7" t="s">
        <v>92</v>
      </c>
      <c r="AN7" t="s">
        <v>93</v>
      </c>
      <c r="AO7" t="s">
        <v>229</v>
      </c>
      <c r="AP7" t="s">
        <v>230</v>
      </c>
      <c r="AQ7" t="s">
        <v>74</v>
      </c>
      <c r="AR7" t="s">
        <v>231</v>
      </c>
      <c r="AS7" t="s">
        <v>232</v>
      </c>
      <c r="AT7" t="s">
        <v>98</v>
      </c>
      <c r="AU7">
        <v>2018</v>
      </c>
      <c r="AV7">
        <v>34</v>
      </c>
      <c r="AW7">
        <v>6</v>
      </c>
      <c r="AX7" t="s">
        <v>74</v>
      </c>
      <c r="AY7" t="s">
        <v>74</v>
      </c>
      <c r="AZ7" t="s">
        <v>74</v>
      </c>
      <c r="BA7" t="s">
        <v>74</v>
      </c>
      <c r="BB7" t="s">
        <v>74</v>
      </c>
      <c r="BC7" t="s">
        <v>74</v>
      </c>
      <c r="BD7">
        <v>73</v>
      </c>
      <c r="BE7" t="s">
        <v>233</v>
      </c>
      <c r="BF7" t="str">
        <f>HYPERLINK("http://dx.doi.org/10.1007/s11274-018-2456-1","http://dx.doi.org/10.1007/s11274-018-2456-1")</f>
        <v>http://dx.doi.org/10.1007/s11274-018-2456-1</v>
      </c>
      <c r="BG7" t="s">
        <v>74</v>
      </c>
      <c r="BH7" t="s">
        <v>74</v>
      </c>
      <c r="BI7">
        <v>9</v>
      </c>
      <c r="BJ7" t="s">
        <v>234</v>
      </c>
      <c r="BK7" t="s">
        <v>101</v>
      </c>
      <c r="BL7" t="s">
        <v>234</v>
      </c>
      <c r="BM7" t="s">
        <v>235</v>
      </c>
      <c r="BN7">
        <v>29785671</v>
      </c>
      <c r="BO7" t="s">
        <v>74</v>
      </c>
      <c r="BP7" t="s">
        <v>74</v>
      </c>
      <c r="BQ7" t="s">
        <v>74</v>
      </c>
      <c r="BR7" t="s">
        <v>105</v>
      </c>
      <c r="BS7" t="s">
        <v>236</v>
      </c>
      <c r="BT7" t="str">
        <f>HYPERLINK("https%3A%2F%2Fwww.webofscience.com%2Fwos%2Fwoscc%2Ffull-record%2FWOS:000433166300006","View Full Record in Web of Science")</f>
        <v>View Full Record in Web of Science</v>
      </c>
    </row>
    <row r="8" spans="1:72" x14ac:dyDescent="0.15">
      <c r="A8" t="s">
        <v>72</v>
      </c>
      <c r="B8" t="s">
        <v>237</v>
      </c>
      <c r="C8" t="s">
        <v>74</v>
      </c>
      <c r="D8" t="s">
        <v>74</v>
      </c>
      <c r="E8" t="s">
        <v>74</v>
      </c>
      <c r="F8" t="s">
        <v>238</v>
      </c>
      <c r="G8" t="s">
        <v>74</v>
      </c>
      <c r="H8" t="s">
        <v>74</v>
      </c>
      <c r="I8" t="s">
        <v>239</v>
      </c>
      <c r="J8" t="s">
        <v>240</v>
      </c>
      <c r="K8" t="s">
        <v>74</v>
      </c>
      <c r="L8" t="s">
        <v>74</v>
      </c>
      <c r="M8" t="s">
        <v>78</v>
      </c>
      <c r="N8" t="s">
        <v>79</v>
      </c>
      <c r="O8" t="s">
        <v>74</v>
      </c>
      <c r="P8" t="s">
        <v>74</v>
      </c>
      <c r="Q8" t="s">
        <v>74</v>
      </c>
      <c r="R8" t="s">
        <v>74</v>
      </c>
      <c r="S8" t="s">
        <v>74</v>
      </c>
      <c r="T8" t="s">
        <v>241</v>
      </c>
      <c r="U8" t="s">
        <v>242</v>
      </c>
      <c r="V8" t="s">
        <v>243</v>
      </c>
      <c r="W8" t="s">
        <v>244</v>
      </c>
      <c r="X8" t="s">
        <v>245</v>
      </c>
      <c r="Y8" t="s">
        <v>246</v>
      </c>
      <c r="Z8" t="s">
        <v>247</v>
      </c>
      <c r="AA8" t="s">
        <v>74</v>
      </c>
      <c r="AB8" t="s">
        <v>248</v>
      </c>
      <c r="AC8" t="s">
        <v>249</v>
      </c>
      <c r="AD8" t="s">
        <v>250</v>
      </c>
      <c r="AE8" t="s">
        <v>251</v>
      </c>
      <c r="AF8" t="s">
        <v>74</v>
      </c>
      <c r="AG8">
        <v>53</v>
      </c>
      <c r="AH8">
        <v>21</v>
      </c>
      <c r="AI8">
        <v>23</v>
      </c>
      <c r="AJ8">
        <v>1</v>
      </c>
      <c r="AK8">
        <v>21</v>
      </c>
      <c r="AL8" t="s">
        <v>252</v>
      </c>
      <c r="AM8" t="s">
        <v>253</v>
      </c>
      <c r="AN8" t="s">
        <v>254</v>
      </c>
      <c r="AO8" t="s">
        <v>255</v>
      </c>
      <c r="AP8" t="s">
        <v>256</v>
      </c>
      <c r="AQ8" t="s">
        <v>74</v>
      </c>
      <c r="AR8" t="s">
        <v>257</v>
      </c>
      <c r="AS8" t="s">
        <v>258</v>
      </c>
      <c r="AT8" t="s">
        <v>98</v>
      </c>
      <c r="AU8">
        <v>2018</v>
      </c>
      <c r="AV8">
        <v>37</v>
      </c>
      <c r="AW8">
        <v>3</v>
      </c>
      <c r="AX8" t="s">
        <v>74</v>
      </c>
      <c r="AY8" t="s">
        <v>74</v>
      </c>
      <c r="AZ8" t="s">
        <v>74</v>
      </c>
      <c r="BA8" t="s">
        <v>74</v>
      </c>
      <c r="BB8">
        <v>441</v>
      </c>
      <c r="BC8">
        <v>455</v>
      </c>
      <c r="BD8" t="s">
        <v>74</v>
      </c>
      <c r="BE8" t="s">
        <v>259</v>
      </c>
      <c r="BF8" t="str">
        <f>HYPERLINK("http://dx.doi.org/10.1007/s11631-017-0239-2","http://dx.doi.org/10.1007/s11631-017-0239-2")</f>
        <v>http://dx.doi.org/10.1007/s11631-017-0239-2</v>
      </c>
      <c r="BG8" t="s">
        <v>74</v>
      </c>
      <c r="BH8" t="s">
        <v>74</v>
      </c>
      <c r="BI8">
        <v>15</v>
      </c>
      <c r="BJ8" t="s">
        <v>260</v>
      </c>
      <c r="BK8" t="s">
        <v>261</v>
      </c>
      <c r="BL8" t="s">
        <v>260</v>
      </c>
      <c r="BM8" t="s">
        <v>262</v>
      </c>
      <c r="BN8" t="s">
        <v>74</v>
      </c>
      <c r="BO8" t="s">
        <v>74</v>
      </c>
      <c r="BP8" t="s">
        <v>74</v>
      </c>
      <c r="BQ8" t="s">
        <v>74</v>
      </c>
      <c r="BR8" t="s">
        <v>105</v>
      </c>
      <c r="BS8" t="s">
        <v>263</v>
      </c>
      <c r="BT8" t="str">
        <f>HYPERLINK("https%3A%2F%2Fwww.webofscience.com%2Fwos%2Fwoscc%2Ffull-record%2FWOS:000433000300009","View Full Record in Web of Science")</f>
        <v>View Full Record in Web of Science</v>
      </c>
    </row>
    <row r="9" spans="1:72" x14ac:dyDescent="0.15">
      <c r="A9" t="s">
        <v>72</v>
      </c>
      <c r="B9" t="s">
        <v>264</v>
      </c>
      <c r="C9" t="s">
        <v>74</v>
      </c>
      <c r="D9" t="s">
        <v>74</v>
      </c>
      <c r="E9" t="s">
        <v>74</v>
      </c>
      <c r="F9" t="s">
        <v>265</v>
      </c>
      <c r="G9" t="s">
        <v>74</v>
      </c>
      <c r="H9" t="s">
        <v>74</v>
      </c>
      <c r="I9" t="s">
        <v>266</v>
      </c>
      <c r="J9" t="s">
        <v>267</v>
      </c>
      <c r="K9" t="s">
        <v>74</v>
      </c>
      <c r="L9" t="s">
        <v>74</v>
      </c>
      <c r="M9" t="s">
        <v>78</v>
      </c>
      <c r="N9" t="s">
        <v>79</v>
      </c>
      <c r="O9" t="s">
        <v>74</v>
      </c>
      <c r="P9" t="s">
        <v>74</v>
      </c>
      <c r="Q9" t="s">
        <v>74</v>
      </c>
      <c r="R9" t="s">
        <v>74</v>
      </c>
      <c r="S9" t="s">
        <v>74</v>
      </c>
      <c r="T9" t="s">
        <v>268</v>
      </c>
      <c r="U9" t="s">
        <v>269</v>
      </c>
      <c r="V9" t="s">
        <v>270</v>
      </c>
      <c r="W9" t="s">
        <v>271</v>
      </c>
      <c r="X9" t="s">
        <v>272</v>
      </c>
      <c r="Y9" t="s">
        <v>273</v>
      </c>
      <c r="Z9" t="s">
        <v>274</v>
      </c>
      <c r="AA9" t="s">
        <v>275</v>
      </c>
      <c r="AB9" t="s">
        <v>276</v>
      </c>
      <c r="AC9" t="s">
        <v>74</v>
      </c>
      <c r="AD9" t="s">
        <v>74</v>
      </c>
      <c r="AE9" t="s">
        <v>74</v>
      </c>
      <c r="AF9" t="s">
        <v>74</v>
      </c>
      <c r="AG9">
        <v>68</v>
      </c>
      <c r="AH9">
        <v>32</v>
      </c>
      <c r="AI9">
        <v>35</v>
      </c>
      <c r="AJ9">
        <v>2</v>
      </c>
      <c r="AK9">
        <v>26</v>
      </c>
      <c r="AL9" t="s">
        <v>277</v>
      </c>
      <c r="AM9" t="s">
        <v>278</v>
      </c>
      <c r="AN9" t="s">
        <v>279</v>
      </c>
      <c r="AO9" t="s">
        <v>280</v>
      </c>
      <c r="AP9" t="s">
        <v>281</v>
      </c>
      <c r="AQ9" t="s">
        <v>74</v>
      </c>
      <c r="AR9" t="s">
        <v>282</v>
      </c>
      <c r="AS9" t="s">
        <v>283</v>
      </c>
      <c r="AT9" t="s">
        <v>98</v>
      </c>
      <c r="AU9">
        <v>2018</v>
      </c>
      <c r="AV9">
        <v>183</v>
      </c>
      <c r="AW9" t="s">
        <v>74</v>
      </c>
      <c r="AX9" t="s">
        <v>74</v>
      </c>
      <c r="AY9" t="s">
        <v>74</v>
      </c>
      <c r="AZ9" t="s">
        <v>74</v>
      </c>
      <c r="BA9" t="s">
        <v>74</v>
      </c>
      <c r="BB9">
        <v>11</v>
      </c>
      <c r="BC9">
        <v>19</v>
      </c>
      <c r="BD9" t="s">
        <v>74</v>
      </c>
      <c r="BE9" t="s">
        <v>284</v>
      </c>
      <c r="BF9" t="str">
        <f>HYPERLINK("http://dx.doi.org/10.1016/j.atmosenv.2018.03.063","http://dx.doi.org/10.1016/j.atmosenv.2018.03.063")</f>
        <v>http://dx.doi.org/10.1016/j.atmosenv.2018.03.063</v>
      </c>
      <c r="BG9" t="s">
        <v>74</v>
      </c>
      <c r="BH9" t="s">
        <v>74</v>
      </c>
      <c r="BI9">
        <v>9</v>
      </c>
      <c r="BJ9" t="s">
        <v>285</v>
      </c>
      <c r="BK9" t="s">
        <v>101</v>
      </c>
      <c r="BL9" t="s">
        <v>286</v>
      </c>
      <c r="BM9" t="s">
        <v>287</v>
      </c>
      <c r="BN9" t="s">
        <v>74</v>
      </c>
      <c r="BO9" t="s">
        <v>288</v>
      </c>
      <c r="BP9" t="s">
        <v>74</v>
      </c>
      <c r="BQ9" t="s">
        <v>74</v>
      </c>
      <c r="BR9" t="s">
        <v>105</v>
      </c>
      <c r="BS9" t="s">
        <v>289</v>
      </c>
      <c r="BT9" t="str">
        <f>HYPERLINK("https%3A%2F%2Fwww.webofscience.com%2Fwos%2Fwoscc%2Ffull-record%2FWOS:000432761600002","View Full Record in Web of Science")</f>
        <v>View Full Record in Web of Science</v>
      </c>
    </row>
    <row r="10" spans="1:72" x14ac:dyDescent="0.15">
      <c r="A10" t="s">
        <v>72</v>
      </c>
      <c r="B10" t="s">
        <v>290</v>
      </c>
      <c r="C10" t="s">
        <v>74</v>
      </c>
      <c r="D10" t="s">
        <v>74</v>
      </c>
      <c r="E10" t="s">
        <v>74</v>
      </c>
      <c r="F10" t="s">
        <v>291</v>
      </c>
      <c r="G10" t="s">
        <v>74</v>
      </c>
      <c r="H10" t="s">
        <v>74</v>
      </c>
      <c r="I10" t="s">
        <v>292</v>
      </c>
      <c r="J10" t="s">
        <v>293</v>
      </c>
      <c r="K10" t="s">
        <v>74</v>
      </c>
      <c r="L10" t="s">
        <v>74</v>
      </c>
      <c r="M10" t="s">
        <v>78</v>
      </c>
      <c r="N10" t="s">
        <v>79</v>
      </c>
      <c r="O10" t="s">
        <v>74</v>
      </c>
      <c r="P10" t="s">
        <v>74</v>
      </c>
      <c r="Q10" t="s">
        <v>74</v>
      </c>
      <c r="R10" t="s">
        <v>74</v>
      </c>
      <c r="S10" t="s">
        <v>74</v>
      </c>
      <c r="T10" t="s">
        <v>294</v>
      </c>
      <c r="U10" t="s">
        <v>295</v>
      </c>
      <c r="V10" t="s">
        <v>296</v>
      </c>
      <c r="W10" t="s">
        <v>297</v>
      </c>
      <c r="X10" t="s">
        <v>298</v>
      </c>
      <c r="Y10" t="s">
        <v>299</v>
      </c>
      <c r="Z10" t="s">
        <v>300</v>
      </c>
      <c r="AA10" t="s">
        <v>301</v>
      </c>
      <c r="AB10" t="s">
        <v>302</v>
      </c>
      <c r="AC10" t="s">
        <v>303</v>
      </c>
      <c r="AD10" t="s">
        <v>304</v>
      </c>
      <c r="AE10" t="s">
        <v>305</v>
      </c>
      <c r="AF10" t="s">
        <v>74</v>
      </c>
      <c r="AG10">
        <v>55</v>
      </c>
      <c r="AH10">
        <v>17</v>
      </c>
      <c r="AI10">
        <v>18</v>
      </c>
      <c r="AJ10">
        <v>2</v>
      </c>
      <c r="AK10">
        <v>27</v>
      </c>
      <c r="AL10" t="s">
        <v>306</v>
      </c>
      <c r="AM10" t="s">
        <v>307</v>
      </c>
      <c r="AN10" t="s">
        <v>308</v>
      </c>
      <c r="AO10" t="s">
        <v>309</v>
      </c>
      <c r="AP10" t="s">
        <v>310</v>
      </c>
      <c r="AQ10" t="s">
        <v>74</v>
      </c>
      <c r="AR10" t="s">
        <v>311</v>
      </c>
      <c r="AS10" t="s">
        <v>312</v>
      </c>
      <c r="AT10" t="s">
        <v>98</v>
      </c>
      <c r="AU10">
        <v>2018</v>
      </c>
      <c r="AV10">
        <v>29</v>
      </c>
      <c r="AW10" t="s">
        <v>74</v>
      </c>
      <c r="AX10" t="s">
        <v>74</v>
      </c>
      <c r="AY10" t="s">
        <v>74</v>
      </c>
      <c r="AZ10" t="s">
        <v>74</v>
      </c>
      <c r="BA10" t="s">
        <v>74</v>
      </c>
      <c r="BB10">
        <v>20</v>
      </c>
      <c r="BC10">
        <v>31</v>
      </c>
      <c r="BD10" t="s">
        <v>74</v>
      </c>
      <c r="BE10" t="s">
        <v>313</v>
      </c>
      <c r="BF10" t="str">
        <f>HYPERLINK("http://dx.doi.org/10.1016/j.baae.2018.02.003","http://dx.doi.org/10.1016/j.baae.2018.02.003")</f>
        <v>http://dx.doi.org/10.1016/j.baae.2018.02.003</v>
      </c>
      <c r="BG10" t="s">
        <v>74</v>
      </c>
      <c r="BH10" t="s">
        <v>74</v>
      </c>
      <c r="BI10">
        <v>12</v>
      </c>
      <c r="BJ10" t="s">
        <v>314</v>
      </c>
      <c r="BK10" t="s">
        <v>101</v>
      </c>
      <c r="BL10" t="s">
        <v>315</v>
      </c>
      <c r="BM10" t="s">
        <v>316</v>
      </c>
      <c r="BN10" t="s">
        <v>74</v>
      </c>
      <c r="BO10" t="s">
        <v>288</v>
      </c>
      <c r="BP10" t="s">
        <v>74</v>
      </c>
      <c r="BQ10" t="s">
        <v>74</v>
      </c>
      <c r="BR10" t="s">
        <v>105</v>
      </c>
      <c r="BS10" t="s">
        <v>317</v>
      </c>
      <c r="BT10" t="str">
        <f>HYPERLINK("https%3A%2F%2Fwww.webofscience.com%2Fwos%2Fwoscc%2Ffull-record%2FWOS:000432493500003","View Full Record in Web of Science")</f>
        <v>View Full Record in Web of Science</v>
      </c>
    </row>
    <row r="11" spans="1:72" x14ac:dyDescent="0.15">
      <c r="A11" t="s">
        <v>72</v>
      </c>
      <c r="B11" t="s">
        <v>318</v>
      </c>
      <c r="C11" t="s">
        <v>74</v>
      </c>
      <c r="D11" t="s">
        <v>74</v>
      </c>
      <c r="E11" t="s">
        <v>74</v>
      </c>
      <c r="F11" t="s">
        <v>319</v>
      </c>
      <c r="G11" t="s">
        <v>74</v>
      </c>
      <c r="H11" t="s">
        <v>74</v>
      </c>
      <c r="I11" t="s">
        <v>320</v>
      </c>
      <c r="J11" t="s">
        <v>321</v>
      </c>
      <c r="K11" t="s">
        <v>74</v>
      </c>
      <c r="L11" t="s">
        <v>74</v>
      </c>
      <c r="M11" t="s">
        <v>78</v>
      </c>
      <c r="N11" t="s">
        <v>79</v>
      </c>
      <c r="O11" t="s">
        <v>74</v>
      </c>
      <c r="P11" t="s">
        <v>74</v>
      </c>
      <c r="Q11" t="s">
        <v>74</v>
      </c>
      <c r="R11" t="s">
        <v>74</v>
      </c>
      <c r="S11" t="s">
        <v>74</v>
      </c>
      <c r="T11" t="s">
        <v>322</v>
      </c>
      <c r="U11" t="s">
        <v>323</v>
      </c>
      <c r="V11" t="s">
        <v>324</v>
      </c>
      <c r="W11" t="s">
        <v>325</v>
      </c>
      <c r="X11" t="s">
        <v>326</v>
      </c>
      <c r="Y11" t="s">
        <v>327</v>
      </c>
      <c r="Z11" t="s">
        <v>328</v>
      </c>
      <c r="AA11" t="s">
        <v>74</v>
      </c>
      <c r="AB11" t="s">
        <v>329</v>
      </c>
      <c r="AC11" t="s">
        <v>330</v>
      </c>
      <c r="AD11" t="s">
        <v>331</v>
      </c>
      <c r="AE11" t="s">
        <v>332</v>
      </c>
      <c r="AF11" t="s">
        <v>74</v>
      </c>
      <c r="AG11">
        <v>155</v>
      </c>
      <c r="AH11">
        <v>23</v>
      </c>
      <c r="AI11">
        <v>27</v>
      </c>
      <c r="AJ11">
        <v>3</v>
      </c>
      <c r="AK11">
        <v>32</v>
      </c>
      <c r="AL11" t="s">
        <v>277</v>
      </c>
      <c r="AM11" t="s">
        <v>278</v>
      </c>
      <c r="AN11" t="s">
        <v>279</v>
      </c>
      <c r="AO11" t="s">
        <v>333</v>
      </c>
      <c r="AP11" t="s">
        <v>334</v>
      </c>
      <c r="AQ11" t="s">
        <v>74</v>
      </c>
      <c r="AR11" t="s">
        <v>335</v>
      </c>
      <c r="AS11" t="s">
        <v>336</v>
      </c>
      <c r="AT11" t="s">
        <v>129</v>
      </c>
      <c r="AU11">
        <v>2018</v>
      </c>
      <c r="AV11">
        <v>189</v>
      </c>
      <c r="AW11" t="s">
        <v>74</v>
      </c>
      <c r="AX11" t="s">
        <v>74</v>
      </c>
      <c r="AY11" t="s">
        <v>74</v>
      </c>
      <c r="AZ11" t="s">
        <v>74</v>
      </c>
      <c r="BA11" t="s">
        <v>74</v>
      </c>
      <c r="BB11">
        <v>43</v>
      </c>
      <c r="BC11">
        <v>56</v>
      </c>
      <c r="BD11" t="s">
        <v>74</v>
      </c>
      <c r="BE11" t="s">
        <v>337</v>
      </c>
      <c r="BF11" t="str">
        <f>HYPERLINK("http://dx.doi.org/10.1016/j.quascirev.2018.04.002","http://dx.doi.org/10.1016/j.quascirev.2018.04.002")</f>
        <v>http://dx.doi.org/10.1016/j.quascirev.2018.04.002</v>
      </c>
      <c r="BG11" t="s">
        <v>74</v>
      </c>
      <c r="BH11" t="s">
        <v>74</v>
      </c>
      <c r="BI11">
        <v>14</v>
      </c>
      <c r="BJ11" t="s">
        <v>338</v>
      </c>
      <c r="BK11" t="s">
        <v>101</v>
      </c>
      <c r="BL11" t="s">
        <v>339</v>
      </c>
      <c r="BM11" t="s">
        <v>340</v>
      </c>
      <c r="BN11" t="s">
        <v>74</v>
      </c>
      <c r="BO11" t="s">
        <v>341</v>
      </c>
      <c r="BP11" t="s">
        <v>74</v>
      </c>
      <c r="BQ11" t="s">
        <v>74</v>
      </c>
      <c r="BR11" t="s">
        <v>105</v>
      </c>
      <c r="BS11" t="s">
        <v>342</v>
      </c>
      <c r="BT11" t="str">
        <f>HYPERLINK("https%3A%2F%2Fwww.webofscience.com%2Fwos%2Fwoscc%2Ffull-record%2FWOS:000432758500003","View Full Record in Web of Science")</f>
        <v>View Full Record in Web of Science</v>
      </c>
    </row>
    <row r="12" spans="1:72" x14ac:dyDescent="0.15">
      <c r="A12" t="s">
        <v>72</v>
      </c>
      <c r="B12" t="s">
        <v>343</v>
      </c>
      <c r="C12" t="s">
        <v>74</v>
      </c>
      <c r="D12" t="s">
        <v>74</v>
      </c>
      <c r="E12" t="s">
        <v>74</v>
      </c>
      <c r="F12" t="s">
        <v>344</v>
      </c>
      <c r="G12" t="s">
        <v>74</v>
      </c>
      <c r="H12" t="s">
        <v>74</v>
      </c>
      <c r="I12" t="s">
        <v>345</v>
      </c>
      <c r="J12" t="s">
        <v>346</v>
      </c>
      <c r="K12" t="s">
        <v>74</v>
      </c>
      <c r="L12" t="s">
        <v>74</v>
      </c>
      <c r="M12" t="s">
        <v>78</v>
      </c>
      <c r="N12" t="s">
        <v>79</v>
      </c>
      <c r="O12" t="s">
        <v>74</v>
      </c>
      <c r="P12" t="s">
        <v>74</v>
      </c>
      <c r="Q12" t="s">
        <v>74</v>
      </c>
      <c r="R12" t="s">
        <v>74</v>
      </c>
      <c r="S12" t="s">
        <v>74</v>
      </c>
      <c r="T12" t="s">
        <v>347</v>
      </c>
      <c r="U12" t="s">
        <v>348</v>
      </c>
      <c r="V12" t="s">
        <v>349</v>
      </c>
      <c r="W12" t="s">
        <v>350</v>
      </c>
      <c r="X12" t="s">
        <v>351</v>
      </c>
      <c r="Y12" t="s">
        <v>352</v>
      </c>
      <c r="Z12" t="s">
        <v>353</v>
      </c>
      <c r="AA12" t="s">
        <v>354</v>
      </c>
      <c r="AB12" t="s">
        <v>355</v>
      </c>
      <c r="AC12" t="s">
        <v>356</v>
      </c>
      <c r="AD12" t="s">
        <v>357</v>
      </c>
      <c r="AE12" t="s">
        <v>358</v>
      </c>
      <c r="AF12" t="s">
        <v>74</v>
      </c>
      <c r="AG12">
        <v>39</v>
      </c>
      <c r="AH12">
        <v>4</v>
      </c>
      <c r="AI12">
        <v>6</v>
      </c>
      <c r="AJ12">
        <v>0</v>
      </c>
      <c r="AK12">
        <v>19</v>
      </c>
      <c r="AL12" t="s">
        <v>91</v>
      </c>
      <c r="AM12" t="s">
        <v>92</v>
      </c>
      <c r="AN12" t="s">
        <v>93</v>
      </c>
      <c r="AO12" t="s">
        <v>359</v>
      </c>
      <c r="AP12" t="s">
        <v>360</v>
      </c>
      <c r="AQ12" t="s">
        <v>74</v>
      </c>
      <c r="AR12" t="s">
        <v>361</v>
      </c>
      <c r="AS12" t="s">
        <v>362</v>
      </c>
      <c r="AT12" t="s">
        <v>98</v>
      </c>
      <c r="AU12">
        <v>2018</v>
      </c>
      <c r="AV12">
        <v>37</v>
      </c>
      <c r="AW12">
        <v>6</v>
      </c>
      <c r="AX12" t="s">
        <v>74</v>
      </c>
      <c r="AY12" t="s">
        <v>74</v>
      </c>
      <c r="AZ12" t="s">
        <v>74</v>
      </c>
      <c r="BA12" t="s">
        <v>74</v>
      </c>
      <c r="BB12">
        <v>90</v>
      </c>
      <c r="BC12">
        <v>95</v>
      </c>
      <c r="BD12" t="s">
        <v>74</v>
      </c>
      <c r="BE12" t="s">
        <v>363</v>
      </c>
      <c r="BF12" t="str">
        <f>HYPERLINK("http://dx.doi.org/10.1007/s13131-018-1176-6","http://dx.doi.org/10.1007/s13131-018-1176-6")</f>
        <v>http://dx.doi.org/10.1007/s13131-018-1176-6</v>
      </c>
      <c r="BG12" t="s">
        <v>74</v>
      </c>
      <c r="BH12" t="s">
        <v>74</v>
      </c>
      <c r="BI12">
        <v>6</v>
      </c>
      <c r="BJ12" t="s">
        <v>364</v>
      </c>
      <c r="BK12" t="s">
        <v>101</v>
      </c>
      <c r="BL12" t="s">
        <v>364</v>
      </c>
      <c r="BM12" t="s">
        <v>365</v>
      </c>
      <c r="BN12" t="s">
        <v>74</v>
      </c>
      <c r="BO12" t="s">
        <v>74</v>
      </c>
      <c r="BP12" t="s">
        <v>74</v>
      </c>
      <c r="BQ12" t="s">
        <v>74</v>
      </c>
      <c r="BR12" t="s">
        <v>105</v>
      </c>
      <c r="BS12" t="s">
        <v>366</v>
      </c>
      <c r="BT12" t="str">
        <f>HYPERLINK("https%3A%2F%2Fwww.webofscience.com%2Fwos%2Fwoscc%2Ffull-record%2FWOS:000434813500012","View Full Record in Web of Science")</f>
        <v>View Full Record in Web of Science</v>
      </c>
    </row>
    <row r="13" spans="1:72" x14ac:dyDescent="0.15">
      <c r="A13" t="s">
        <v>72</v>
      </c>
      <c r="B13" t="s">
        <v>367</v>
      </c>
      <c r="C13" t="s">
        <v>74</v>
      </c>
      <c r="D13" t="s">
        <v>74</v>
      </c>
      <c r="E13" t="s">
        <v>74</v>
      </c>
      <c r="F13" t="s">
        <v>368</v>
      </c>
      <c r="G13" t="s">
        <v>74</v>
      </c>
      <c r="H13" t="s">
        <v>74</v>
      </c>
      <c r="I13" t="s">
        <v>369</v>
      </c>
      <c r="J13" t="s">
        <v>370</v>
      </c>
      <c r="K13" t="s">
        <v>74</v>
      </c>
      <c r="L13" t="s">
        <v>74</v>
      </c>
      <c r="M13" t="s">
        <v>78</v>
      </c>
      <c r="N13" t="s">
        <v>371</v>
      </c>
      <c r="O13" t="s">
        <v>74</v>
      </c>
      <c r="P13" t="s">
        <v>74</v>
      </c>
      <c r="Q13" t="s">
        <v>74</v>
      </c>
      <c r="R13" t="s">
        <v>74</v>
      </c>
      <c r="S13" t="s">
        <v>74</v>
      </c>
      <c r="T13" t="s">
        <v>74</v>
      </c>
      <c r="U13" t="s">
        <v>74</v>
      </c>
      <c r="V13" t="s">
        <v>74</v>
      </c>
      <c r="W13" t="s">
        <v>74</v>
      </c>
      <c r="X13" t="s">
        <v>74</v>
      </c>
      <c r="Y13" t="s">
        <v>74</v>
      </c>
      <c r="Z13" t="s">
        <v>74</v>
      </c>
      <c r="AA13" t="s">
        <v>74</v>
      </c>
      <c r="AB13" t="s">
        <v>74</v>
      </c>
      <c r="AC13" t="s">
        <v>74</v>
      </c>
      <c r="AD13" t="s">
        <v>74</v>
      </c>
      <c r="AE13" t="s">
        <v>74</v>
      </c>
      <c r="AF13" t="s">
        <v>74</v>
      </c>
      <c r="AG13">
        <v>0</v>
      </c>
      <c r="AH13">
        <v>3</v>
      </c>
      <c r="AI13">
        <v>3</v>
      </c>
      <c r="AJ13">
        <v>1</v>
      </c>
      <c r="AK13">
        <v>12</v>
      </c>
      <c r="AL13" t="s">
        <v>372</v>
      </c>
      <c r="AM13" t="s">
        <v>92</v>
      </c>
      <c r="AN13" t="s">
        <v>373</v>
      </c>
      <c r="AO13" t="s">
        <v>374</v>
      </c>
      <c r="AP13" t="s">
        <v>375</v>
      </c>
      <c r="AQ13" t="s">
        <v>74</v>
      </c>
      <c r="AR13" t="s">
        <v>376</v>
      </c>
      <c r="AS13" t="s">
        <v>377</v>
      </c>
      <c r="AT13" t="s">
        <v>98</v>
      </c>
      <c r="AU13">
        <v>2018</v>
      </c>
      <c r="AV13">
        <v>30</v>
      </c>
      <c r="AW13">
        <v>3</v>
      </c>
      <c r="AX13" t="s">
        <v>74</v>
      </c>
      <c r="AY13" t="s">
        <v>74</v>
      </c>
      <c r="AZ13" t="s">
        <v>74</v>
      </c>
      <c r="BA13" t="s">
        <v>74</v>
      </c>
      <c r="BB13">
        <v>147</v>
      </c>
      <c r="BC13">
        <v>147</v>
      </c>
      <c r="BD13" t="s">
        <v>74</v>
      </c>
      <c r="BE13" t="s">
        <v>378</v>
      </c>
      <c r="BF13" t="str">
        <f>HYPERLINK("http://dx.doi.org/10.1017/S0954102018000160","http://dx.doi.org/10.1017/S0954102018000160")</f>
        <v>http://dx.doi.org/10.1017/S0954102018000160</v>
      </c>
      <c r="BG13" t="s">
        <v>74</v>
      </c>
      <c r="BH13" t="s">
        <v>74</v>
      </c>
      <c r="BI13">
        <v>1</v>
      </c>
      <c r="BJ13" t="s">
        <v>379</v>
      </c>
      <c r="BK13" t="s">
        <v>101</v>
      </c>
      <c r="BL13" t="s">
        <v>380</v>
      </c>
      <c r="BM13" t="s">
        <v>381</v>
      </c>
      <c r="BN13" t="s">
        <v>74</v>
      </c>
      <c r="BO13" t="s">
        <v>162</v>
      </c>
      <c r="BP13" t="s">
        <v>74</v>
      </c>
      <c r="BQ13" t="s">
        <v>74</v>
      </c>
      <c r="BR13" t="s">
        <v>105</v>
      </c>
      <c r="BS13" t="s">
        <v>382</v>
      </c>
      <c r="BT13" t="str">
        <f>HYPERLINK("https%3A%2F%2Fwww.webofscience.com%2Fwos%2Fwoscc%2Ffull-record%2FWOS:000432226300001","View Full Record in Web of Science")</f>
        <v>View Full Record in Web of Science</v>
      </c>
    </row>
    <row r="14" spans="1:72" x14ac:dyDescent="0.15">
      <c r="A14" t="s">
        <v>72</v>
      </c>
      <c r="B14" t="s">
        <v>383</v>
      </c>
      <c r="C14" t="s">
        <v>74</v>
      </c>
      <c r="D14" t="s">
        <v>74</v>
      </c>
      <c r="E14" t="s">
        <v>74</v>
      </c>
      <c r="F14" t="s">
        <v>384</v>
      </c>
      <c r="G14" t="s">
        <v>74</v>
      </c>
      <c r="H14" t="s">
        <v>74</v>
      </c>
      <c r="I14" t="s">
        <v>385</v>
      </c>
      <c r="J14" t="s">
        <v>386</v>
      </c>
      <c r="K14" t="s">
        <v>74</v>
      </c>
      <c r="L14" t="s">
        <v>74</v>
      </c>
      <c r="M14" t="s">
        <v>78</v>
      </c>
      <c r="N14" t="s">
        <v>79</v>
      </c>
      <c r="O14" t="s">
        <v>74</v>
      </c>
      <c r="P14" t="s">
        <v>74</v>
      </c>
      <c r="Q14" t="s">
        <v>74</v>
      </c>
      <c r="R14" t="s">
        <v>74</v>
      </c>
      <c r="S14" t="s">
        <v>74</v>
      </c>
      <c r="T14" t="s">
        <v>387</v>
      </c>
      <c r="U14" t="s">
        <v>388</v>
      </c>
      <c r="V14" t="s">
        <v>389</v>
      </c>
      <c r="W14" t="s">
        <v>390</v>
      </c>
      <c r="X14" t="s">
        <v>74</v>
      </c>
      <c r="Y14" t="s">
        <v>391</v>
      </c>
      <c r="Z14" t="s">
        <v>392</v>
      </c>
      <c r="AA14" t="s">
        <v>393</v>
      </c>
      <c r="AB14" t="s">
        <v>74</v>
      </c>
      <c r="AC14" t="s">
        <v>394</v>
      </c>
      <c r="AD14" t="s">
        <v>395</v>
      </c>
      <c r="AE14" t="s">
        <v>396</v>
      </c>
      <c r="AF14" t="s">
        <v>74</v>
      </c>
      <c r="AG14">
        <v>36</v>
      </c>
      <c r="AH14">
        <v>4</v>
      </c>
      <c r="AI14">
        <v>4</v>
      </c>
      <c r="AJ14">
        <v>1</v>
      </c>
      <c r="AK14">
        <v>20</v>
      </c>
      <c r="AL14" t="s">
        <v>397</v>
      </c>
      <c r="AM14" t="s">
        <v>398</v>
      </c>
      <c r="AN14" t="s">
        <v>399</v>
      </c>
      <c r="AO14" t="s">
        <v>400</v>
      </c>
      <c r="AP14" t="s">
        <v>401</v>
      </c>
      <c r="AQ14" t="s">
        <v>74</v>
      </c>
      <c r="AR14" t="s">
        <v>402</v>
      </c>
      <c r="AS14" t="s">
        <v>403</v>
      </c>
      <c r="AT14" t="s">
        <v>98</v>
      </c>
      <c r="AU14">
        <v>2018</v>
      </c>
      <c r="AV14">
        <v>8</v>
      </c>
      <c r="AW14">
        <v>2</v>
      </c>
      <c r="AX14" t="s">
        <v>74</v>
      </c>
      <c r="AY14" t="s">
        <v>74</v>
      </c>
      <c r="AZ14" t="s">
        <v>74</v>
      </c>
      <c r="BA14" t="s">
        <v>74</v>
      </c>
      <c r="BB14">
        <v>329</v>
      </c>
      <c r="BC14">
        <v>337</v>
      </c>
      <c r="BD14" t="s">
        <v>74</v>
      </c>
      <c r="BE14" t="s">
        <v>404</v>
      </c>
      <c r="BF14" t="str">
        <f>HYPERLINK("http://dx.doi.org/10.1007/s13399-017-0281-7","http://dx.doi.org/10.1007/s13399-017-0281-7")</f>
        <v>http://dx.doi.org/10.1007/s13399-017-0281-7</v>
      </c>
      <c r="BG14" t="s">
        <v>74</v>
      </c>
      <c r="BH14" t="s">
        <v>74</v>
      </c>
      <c r="BI14">
        <v>9</v>
      </c>
      <c r="BJ14" t="s">
        <v>405</v>
      </c>
      <c r="BK14" t="s">
        <v>101</v>
      </c>
      <c r="BL14" t="s">
        <v>406</v>
      </c>
      <c r="BM14" t="s">
        <v>407</v>
      </c>
      <c r="BN14" t="s">
        <v>74</v>
      </c>
      <c r="BO14" t="s">
        <v>74</v>
      </c>
      <c r="BP14" t="s">
        <v>74</v>
      </c>
      <c r="BQ14" t="s">
        <v>74</v>
      </c>
      <c r="BR14" t="s">
        <v>105</v>
      </c>
      <c r="BS14" t="s">
        <v>408</v>
      </c>
      <c r="BT14" t="str">
        <f>HYPERLINK("https%3A%2F%2Fwww.webofscience.com%2Fwos%2Fwoscc%2Ffull-record%2FWOS:000432540300010","View Full Record in Web of Science")</f>
        <v>View Full Record in Web of Science</v>
      </c>
    </row>
    <row r="15" spans="1:72" x14ac:dyDescent="0.15">
      <c r="A15" t="s">
        <v>72</v>
      </c>
      <c r="B15" t="s">
        <v>409</v>
      </c>
      <c r="C15" t="s">
        <v>74</v>
      </c>
      <c r="D15" t="s">
        <v>74</v>
      </c>
      <c r="E15" t="s">
        <v>74</v>
      </c>
      <c r="F15" t="s">
        <v>410</v>
      </c>
      <c r="G15" t="s">
        <v>74</v>
      </c>
      <c r="H15" t="s">
        <v>74</v>
      </c>
      <c r="I15" t="s">
        <v>411</v>
      </c>
      <c r="J15" t="s">
        <v>412</v>
      </c>
      <c r="K15" t="s">
        <v>74</v>
      </c>
      <c r="L15" t="s">
        <v>74</v>
      </c>
      <c r="M15" t="s">
        <v>78</v>
      </c>
      <c r="N15" t="s">
        <v>79</v>
      </c>
      <c r="O15" t="s">
        <v>74</v>
      </c>
      <c r="P15" t="s">
        <v>74</v>
      </c>
      <c r="Q15" t="s">
        <v>74</v>
      </c>
      <c r="R15" t="s">
        <v>74</v>
      </c>
      <c r="S15" t="s">
        <v>74</v>
      </c>
      <c r="T15" t="s">
        <v>413</v>
      </c>
      <c r="U15" t="s">
        <v>414</v>
      </c>
      <c r="V15" t="s">
        <v>415</v>
      </c>
      <c r="W15" t="s">
        <v>416</v>
      </c>
      <c r="X15" t="s">
        <v>417</v>
      </c>
      <c r="Y15" t="s">
        <v>418</v>
      </c>
      <c r="Z15" t="s">
        <v>419</v>
      </c>
      <c r="AA15" t="s">
        <v>420</v>
      </c>
      <c r="AB15" t="s">
        <v>421</v>
      </c>
      <c r="AC15" t="s">
        <v>422</v>
      </c>
      <c r="AD15" t="s">
        <v>423</v>
      </c>
      <c r="AE15" t="s">
        <v>424</v>
      </c>
      <c r="AF15" t="s">
        <v>74</v>
      </c>
      <c r="AG15">
        <v>26</v>
      </c>
      <c r="AH15">
        <v>60</v>
      </c>
      <c r="AI15">
        <v>66</v>
      </c>
      <c r="AJ15">
        <v>5</v>
      </c>
      <c r="AK15">
        <v>86</v>
      </c>
      <c r="AL15" t="s">
        <v>425</v>
      </c>
      <c r="AM15" t="s">
        <v>278</v>
      </c>
      <c r="AN15" t="s">
        <v>426</v>
      </c>
      <c r="AO15" t="s">
        <v>427</v>
      </c>
      <c r="AP15" t="s">
        <v>428</v>
      </c>
      <c r="AQ15" t="s">
        <v>74</v>
      </c>
      <c r="AR15" t="s">
        <v>429</v>
      </c>
      <c r="AS15" t="s">
        <v>430</v>
      </c>
      <c r="AT15" t="s">
        <v>129</v>
      </c>
      <c r="AU15">
        <v>2018</v>
      </c>
      <c r="AV15">
        <v>189</v>
      </c>
      <c r="AW15" t="s">
        <v>74</v>
      </c>
      <c r="AX15" t="s">
        <v>74</v>
      </c>
      <c r="AY15" t="s">
        <v>74</v>
      </c>
      <c r="AZ15" t="s">
        <v>74</v>
      </c>
      <c r="BA15" t="s">
        <v>74</v>
      </c>
      <c r="BB15">
        <v>72</v>
      </c>
      <c r="BC15">
        <v>78</v>
      </c>
      <c r="BD15" t="s">
        <v>74</v>
      </c>
      <c r="BE15" t="s">
        <v>431</v>
      </c>
      <c r="BF15" t="str">
        <f>HYPERLINK("http://dx.doi.org/10.1016/j.carbpol.2018.02.013","http://dx.doi.org/10.1016/j.carbpol.2018.02.013")</f>
        <v>http://dx.doi.org/10.1016/j.carbpol.2018.02.013</v>
      </c>
      <c r="BG15" t="s">
        <v>74</v>
      </c>
      <c r="BH15" t="s">
        <v>74</v>
      </c>
      <c r="BI15">
        <v>7</v>
      </c>
      <c r="BJ15" t="s">
        <v>432</v>
      </c>
      <c r="BK15" t="s">
        <v>101</v>
      </c>
      <c r="BL15" t="s">
        <v>433</v>
      </c>
      <c r="BM15" t="s">
        <v>434</v>
      </c>
      <c r="BN15">
        <v>29580428</v>
      </c>
      <c r="BO15" t="s">
        <v>341</v>
      </c>
      <c r="BP15" t="s">
        <v>74</v>
      </c>
      <c r="BQ15" t="s">
        <v>74</v>
      </c>
      <c r="BR15" t="s">
        <v>105</v>
      </c>
      <c r="BS15" t="s">
        <v>435</v>
      </c>
      <c r="BT15" t="str">
        <f>HYPERLINK("https%3A%2F%2Fwww.webofscience.com%2Fwos%2Fwoscc%2Ffull-record%2FWOS:000428322000010","View Full Record in Web of Science")</f>
        <v>View Full Record in Web of Science</v>
      </c>
    </row>
    <row r="16" spans="1:72" x14ac:dyDescent="0.15">
      <c r="A16" t="s">
        <v>72</v>
      </c>
      <c r="B16" t="s">
        <v>436</v>
      </c>
      <c r="C16" t="s">
        <v>74</v>
      </c>
      <c r="D16" t="s">
        <v>74</v>
      </c>
      <c r="E16" t="s">
        <v>74</v>
      </c>
      <c r="F16" t="s">
        <v>437</v>
      </c>
      <c r="G16" t="s">
        <v>74</v>
      </c>
      <c r="H16" t="s">
        <v>74</v>
      </c>
      <c r="I16" t="s">
        <v>438</v>
      </c>
      <c r="J16" t="s">
        <v>439</v>
      </c>
      <c r="K16" t="s">
        <v>74</v>
      </c>
      <c r="L16" t="s">
        <v>74</v>
      </c>
      <c r="M16" t="s">
        <v>78</v>
      </c>
      <c r="N16" t="s">
        <v>79</v>
      </c>
      <c r="O16" t="s">
        <v>74</v>
      </c>
      <c r="P16" t="s">
        <v>74</v>
      </c>
      <c r="Q16" t="s">
        <v>74</v>
      </c>
      <c r="R16" t="s">
        <v>74</v>
      </c>
      <c r="S16" t="s">
        <v>74</v>
      </c>
      <c r="T16" t="s">
        <v>440</v>
      </c>
      <c r="U16" t="s">
        <v>441</v>
      </c>
      <c r="V16" t="s">
        <v>442</v>
      </c>
      <c r="W16" t="s">
        <v>443</v>
      </c>
      <c r="X16" t="s">
        <v>444</v>
      </c>
      <c r="Y16" t="s">
        <v>445</v>
      </c>
      <c r="Z16" t="s">
        <v>446</v>
      </c>
      <c r="AA16" t="s">
        <v>447</v>
      </c>
      <c r="AB16" t="s">
        <v>448</v>
      </c>
      <c r="AC16" t="s">
        <v>449</v>
      </c>
      <c r="AD16" t="s">
        <v>449</v>
      </c>
      <c r="AE16" t="s">
        <v>450</v>
      </c>
      <c r="AF16" t="s">
        <v>74</v>
      </c>
      <c r="AG16">
        <v>112</v>
      </c>
      <c r="AH16">
        <v>46</v>
      </c>
      <c r="AI16">
        <v>48</v>
      </c>
      <c r="AJ16">
        <v>1</v>
      </c>
      <c r="AK16">
        <v>71</v>
      </c>
      <c r="AL16" t="s">
        <v>451</v>
      </c>
      <c r="AM16" t="s">
        <v>452</v>
      </c>
      <c r="AN16" t="s">
        <v>453</v>
      </c>
      <c r="AO16" t="s">
        <v>454</v>
      </c>
      <c r="AP16" t="s">
        <v>455</v>
      </c>
      <c r="AQ16" t="s">
        <v>74</v>
      </c>
      <c r="AR16" t="s">
        <v>456</v>
      </c>
      <c r="AS16" t="s">
        <v>457</v>
      </c>
      <c r="AT16" t="s">
        <v>98</v>
      </c>
      <c r="AU16">
        <v>2018</v>
      </c>
      <c r="AV16">
        <v>89</v>
      </c>
      <c r="AW16" t="s">
        <v>74</v>
      </c>
      <c r="AX16" t="s">
        <v>74</v>
      </c>
      <c r="AY16" t="s">
        <v>74</v>
      </c>
      <c r="AZ16" t="s">
        <v>74</v>
      </c>
      <c r="BA16" t="s">
        <v>74</v>
      </c>
      <c r="BB16">
        <v>455</v>
      </c>
      <c r="BC16">
        <v>465</v>
      </c>
      <c r="BD16" t="s">
        <v>74</v>
      </c>
      <c r="BE16" t="s">
        <v>458</v>
      </c>
      <c r="BF16" t="str">
        <f>HYPERLINK("http://dx.doi.org/10.1016/j.ecolind.2018.02.030","http://dx.doi.org/10.1016/j.ecolind.2018.02.030")</f>
        <v>http://dx.doi.org/10.1016/j.ecolind.2018.02.030</v>
      </c>
      <c r="BG16" t="s">
        <v>74</v>
      </c>
      <c r="BH16" t="s">
        <v>74</v>
      </c>
      <c r="BI16">
        <v>11</v>
      </c>
      <c r="BJ16" t="s">
        <v>459</v>
      </c>
      <c r="BK16" t="s">
        <v>101</v>
      </c>
      <c r="BL16" t="s">
        <v>102</v>
      </c>
      <c r="BM16" t="s">
        <v>460</v>
      </c>
      <c r="BN16" t="s">
        <v>74</v>
      </c>
      <c r="BO16" t="s">
        <v>74</v>
      </c>
      <c r="BP16" t="s">
        <v>74</v>
      </c>
      <c r="BQ16" t="s">
        <v>74</v>
      </c>
      <c r="BR16" t="s">
        <v>105</v>
      </c>
      <c r="BS16" t="s">
        <v>461</v>
      </c>
      <c r="BT16" t="str">
        <f>HYPERLINK("https%3A%2F%2Fwww.webofscience.com%2Fwos%2Fwoscc%2Ffull-record%2FWOS:000430760900044","View Full Record in Web of Science")</f>
        <v>View Full Record in Web of Science</v>
      </c>
    </row>
    <row r="17" spans="1:72" x14ac:dyDescent="0.15">
      <c r="A17" t="s">
        <v>72</v>
      </c>
      <c r="B17" t="s">
        <v>462</v>
      </c>
      <c r="C17" t="s">
        <v>74</v>
      </c>
      <c r="D17" t="s">
        <v>74</v>
      </c>
      <c r="E17" t="s">
        <v>74</v>
      </c>
      <c r="F17" t="s">
        <v>463</v>
      </c>
      <c r="G17" t="s">
        <v>74</v>
      </c>
      <c r="H17" t="s">
        <v>74</v>
      </c>
      <c r="I17" t="s">
        <v>464</v>
      </c>
      <c r="J17" t="s">
        <v>465</v>
      </c>
      <c r="K17" t="s">
        <v>74</v>
      </c>
      <c r="L17" t="s">
        <v>74</v>
      </c>
      <c r="M17" t="s">
        <v>78</v>
      </c>
      <c r="N17" t="s">
        <v>466</v>
      </c>
      <c r="O17" t="s">
        <v>74</v>
      </c>
      <c r="P17" t="s">
        <v>74</v>
      </c>
      <c r="Q17" t="s">
        <v>74</v>
      </c>
      <c r="R17" t="s">
        <v>74</v>
      </c>
      <c r="S17" t="s">
        <v>74</v>
      </c>
      <c r="T17" t="s">
        <v>467</v>
      </c>
      <c r="U17" t="s">
        <v>468</v>
      </c>
      <c r="V17" t="s">
        <v>469</v>
      </c>
      <c r="W17" t="s">
        <v>470</v>
      </c>
      <c r="X17" t="s">
        <v>471</v>
      </c>
      <c r="Y17" t="s">
        <v>472</v>
      </c>
      <c r="Z17" t="s">
        <v>473</v>
      </c>
      <c r="AA17" t="s">
        <v>474</v>
      </c>
      <c r="AB17" t="s">
        <v>475</v>
      </c>
      <c r="AC17" t="s">
        <v>476</v>
      </c>
      <c r="AD17" t="s">
        <v>477</v>
      </c>
      <c r="AE17" t="s">
        <v>478</v>
      </c>
      <c r="AF17" t="s">
        <v>74</v>
      </c>
      <c r="AG17">
        <v>177</v>
      </c>
      <c r="AH17">
        <v>44</v>
      </c>
      <c r="AI17">
        <v>53</v>
      </c>
      <c r="AJ17">
        <v>23</v>
      </c>
      <c r="AK17">
        <v>371</v>
      </c>
      <c r="AL17" t="s">
        <v>179</v>
      </c>
      <c r="AM17" t="s">
        <v>180</v>
      </c>
      <c r="AN17" t="s">
        <v>181</v>
      </c>
      <c r="AO17" t="s">
        <v>479</v>
      </c>
      <c r="AP17" t="s">
        <v>74</v>
      </c>
      <c r="AQ17" t="s">
        <v>74</v>
      </c>
      <c r="AR17" t="s">
        <v>480</v>
      </c>
      <c r="AS17" t="s">
        <v>481</v>
      </c>
      <c r="AT17" t="s">
        <v>98</v>
      </c>
      <c r="AU17">
        <v>2018</v>
      </c>
      <c r="AV17">
        <v>8</v>
      </c>
      <c r="AW17">
        <v>12</v>
      </c>
      <c r="AX17" t="s">
        <v>74</v>
      </c>
      <c r="AY17" t="s">
        <v>74</v>
      </c>
      <c r="AZ17" t="s">
        <v>74</v>
      </c>
      <c r="BA17" t="s">
        <v>74</v>
      </c>
      <c r="BB17">
        <v>6354</v>
      </c>
      <c r="BC17">
        <v>6368</v>
      </c>
      <c r="BD17" t="s">
        <v>74</v>
      </c>
      <c r="BE17" t="s">
        <v>482</v>
      </c>
      <c r="BF17" t="str">
        <f>HYPERLINK("http://dx.doi.org/10.1002/ece3.4146","http://dx.doi.org/10.1002/ece3.4146")</f>
        <v>http://dx.doi.org/10.1002/ece3.4146</v>
      </c>
      <c r="BG17" t="s">
        <v>74</v>
      </c>
      <c r="BH17" t="s">
        <v>74</v>
      </c>
      <c r="BI17">
        <v>15</v>
      </c>
      <c r="BJ17" t="s">
        <v>483</v>
      </c>
      <c r="BK17" t="s">
        <v>484</v>
      </c>
      <c r="BL17" t="s">
        <v>485</v>
      </c>
      <c r="BM17" t="s">
        <v>486</v>
      </c>
      <c r="BN17">
        <v>29988420</v>
      </c>
      <c r="BO17" t="s">
        <v>487</v>
      </c>
      <c r="BP17" t="s">
        <v>74</v>
      </c>
      <c r="BQ17" t="s">
        <v>74</v>
      </c>
      <c r="BR17" t="s">
        <v>105</v>
      </c>
      <c r="BS17" t="s">
        <v>488</v>
      </c>
      <c r="BT17" t="str">
        <f>HYPERLINK("https%3A%2F%2Fwww.webofscience.com%2Fwos%2Fwoscc%2Ffull-record%2FWOS:000436799100032","View Full Record in Web of Science")</f>
        <v>View Full Record in Web of Science</v>
      </c>
    </row>
    <row r="18" spans="1:72" x14ac:dyDescent="0.15">
      <c r="A18" t="s">
        <v>72</v>
      </c>
      <c r="B18" t="s">
        <v>489</v>
      </c>
      <c r="C18" t="s">
        <v>74</v>
      </c>
      <c r="D18" t="s">
        <v>74</v>
      </c>
      <c r="E18" t="s">
        <v>74</v>
      </c>
      <c r="F18" t="s">
        <v>490</v>
      </c>
      <c r="G18" t="s">
        <v>74</v>
      </c>
      <c r="H18" t="s">
        <v>74</v>
      </c>
      <c r="I18" t="s">
        <v>491</v>
      </c>
      <c r="J18" t="s">
        <v>492</v>
      </c>
      <c r="K18" t="s">
        <v>74</v>
      </c>
      <c r="L18" t="s">
        <v>74</v>
      </c>
      <c r="M18" t="s">
        <v>78</v>
      </c>
      <c r="N18" t="s">
        <v>79</v>
      </c>
      <c r="O18" t="s">
        <v>74</v>
      </c>
      <c r="P18" t="s">
        <v>74</v>
      </c>
      <c r="Q18" t="s">
        <v>74</v>
      </c>
      <c r="R18" t="s">
        <v>74</v>
      </c>
      <c r="S18" t="s">
        <v>74</v>
      </c>
      <c r="T18" t="s">
        <v>74</v>
      </c>
      <c r="U18" t="s">
        <v>493</v>
      </c>
      <c r="V18" t="s">
        <v>494</v>
      </c>
      <c r="W18" t="s">
        <v>495</v>
      </c>
      <c r="X18" t="s">
        <v>496</v>
      </c>
      <c r="Y18" t="s">
        <v>497</v>
      </c>
      <c r="Z18" t="s">
        <v>498</v>
      </c>
      <c r="AA18" t="s">
        <v>499</v>
      </c>
      <c r="AB18" t="s">
        <v>500</v>
      </c>
      <c r="AC18" t="s">
        <v>501</v>
      </c>
      <c r="AD18" t="s">
        <v>502</v>
      </c>
      <c r="AE18" t="s">
        <v>503</v>
      </c>
      <c r="AF18" t="s">
        <v>74</v>
      </c>
      <c r="AG18">
        <v>51</v>
      </c>
      <c r="AH18">
        <v>136</v>
      </c>
      <c r="AI18">
        <v>139</v>
      </c>
      <c r="AJ18">
        <v>9</v>
      </c>
      <c r="AK18">
        <v>139</v>
      </c>
      <c r="AL18" t="s">
        <v>179</v>
      </c>
      <c r="AM18" t="s">
        <v>180</v>
      </c>
      <c r="AN18" t="s">
        <v>181</v>
      </c>
      <c r="AO18" t="s">
        <v>504</v>
      </c>
      <c r="AP18" t="s">
        <v>505</v>
      </c>
      <c r="AQ18" t="s">
        <v>74</v>
      </c>
      <c r="AR18" t="s">
        <v>506</v>
      </c>
      <c r="AS18" t="s">
        <v>507</v>
      </c>
      <c r="AT18" t="s">
        <v>98</v>
      </c>
      <c r="AU18">
        <v>2018</v>
      </c>
      <c r="AV18">
        <v>20</v>
      </c>
      <c r="AW18">
        <v>6</v>
      </c>
      <c r="AX18" t="s">
        <v>74</v>
      </c>
      <c r="AY18" t="s">
        <v>74</v>
      </c>
      <c r="AZ18" t="s">
        <v>508</v>
      </c>
      <c r="BA18" t="s">
        <v>74</v>
      </c>
      <c r="BB18">
        <v>2231</v>
      </c>
      <c r="BC18">
        <v>2240</v>
      </c>
      <c r="BD18" t="s">
        <v>74</v>
      </c>
      <c r="BE18" t="s">
        <v>509</v>
      </c>
      <c r="BF18" t="str">
        <f>HYPERLINK("http://dx.doi.org/10.1111/1462-2920.14265","http://dx.doi.org/10.1111/1462-2920.14265")</f>
        <v>http://dx.doi.org/10.1111/1462-2920.14265</v>
      </c>
      <c r="BG18" t="s">
        <v>74</v>
      </c>
      <c r="BH18" t="s">
        <v>74</v>
      </c>
      <c r="BI18">
        <v>10</v>
      </c>
      <c r="BJ18" t="s">
        <v>510</v>
      </c>
      <c r="BK18" t="s">
        <v>101</v>
      </c>
      <c r="BL18" t="s">
        <v>510</v>
      </c>
      <c r="BM18" t="s">
        <v>511</v>
      </c>
      <c r="BN18">
        <v>29727053</v>
      </c>
      <c r="BO18" t="s">
        <v>74</v>
      </c>
      <c r="BP18" t="s">
        <v>74</v>
      </c>
      <c r="BQ18" t="s">
        <v>74</v>
      </c>
      <c r="BR18" t="s">
        <v>105</v>
      </c>
      <c r="BS18" t="s">
        <v>512</v>
      </c>
      <c r="BT18" t="str">
        <f>HYPERLINK("https%3A%2F%2Fwww.webofscience.com%2Fwos%2Fwoscc%2Ffull-record%2FWOS:000441876900035","View Full Record in Web of Science")</f>
        <v>View Full Record in Web of Science</v>
      </c>
    </row>
    <row r="19" spans="1:72" x14ac:dyDescent="0.15">
      <c r="A19" t="s">
        <v>72</v>
      </c>
      <c r="B19" t="s">
        <v>513</v>
      </c>
      <c r="C19" t="s">
        <v>74</v>
      </c>
      <c r="D19" t="s">
        <v>74</v>
      </c>
      <c r="E19" t="s">
        <v>74</v>
      </c>
      <c r="F19" t="s">
        <v>514</v>
      </c>
      <c r="G19" t="s">
        <v>74</v>
      </c>
      <c r="H19" t="s">
        <v>74</v>
      </c>
      <c r="I19" t="s">
        <v>515</v>
      </c>
      <c r="J19" t="s">
        <v>516</v>
      </c>
      <c r="K19" t="s">
        <v>74</v>
      </c>
      <c r="L19" t="s">
        <v>74</v>
      </c>
      <c r="M19" t="s">
        <v>78</v>
      </c>
      <c r="N19" t="s">
        <v>466</v>
      </c>
      <c r="O19" t="s">
        <v>74</v>
      </c>
      <c r="P19" t="s">
        <v>74</v>
      </c>
      <c r="Q19" t="s">
        <v>74</v>
      </c>
      <c r="R19" t="s">
        <v>74</v>
      </c>
      <c r="S19" t="s">
        <v>74</v>
      </c>
      <c r="T19" t="s">
        <v>517</v>
      </c>
      <c r="U19" t="s">
        <v>518</v>
      </c>
      <c r="V19" t="s">
        <v>519</v>
      </c>
      <c r="W19" t="s">
        <v>520</v>
      </c>
      <c r="X19" t="s">
        <v>521</v>
      </c>
      <c r="Y19" t="s">
        <v>522</v>
      </c>
      <c r="Z19" t="s">
        <v>523</v>
      </c>
      <c r="AA19" t="s">
        <v>524</v>
      </c>
      <c r="AB19" t="s">
        <v>525</v>
      </c>
      <c r="AC19" t="s">
        <v>526</v>
      </c>
      <c r="AD19" t="s">
        <v>527</v>
      </c>
      <c r="AE19" t="s">
        <v>528</v>
      </c>
      <c r="AF19" t="s">
        <v>74</v>
      </c>
      <c r="AG19">
        <v>158</v>
      </c>
      <c r="AH19">
        <v>101</v>
      </c>
      <c r="AI19">
        <v>122</v>
      </c>
      <c r="AJ19">
        <v>6</v>
      </c>
      <c r="AK19">
        <v>17</v>
      </c>
      <c r="AL19" t="s">
        <v>179</v>
      </c>
      <c r="AM19" t="s">
        <v>180</v>
      </c>
      <c r="AN19" t="s">
        <v>181</v>
      </c>
      <c r="AO19" t="s">
        <v>529</v>
      </c>
      <c r="AP19" t="s">
        <v>530</v>
      </c>
      <c r="AQ19" t="s">
        <v>74</v>
      </c>
      <c r="AR19" t="s">
        <v>531</v>
      </c>
      <c r="AS19" t="s">
        <v>532</v>
      </c>
      <c r="AT19" t="s">
        <v>98</v>
      </c>
      <c r="AU19">
        <v>2018</v>
      </c>
      <c r="AV19">
        <v>24</v>
      </c>
      <c r="AW19">
        <v>6</v>
      </c>
      <c r="AX19" t="s">
        <v>74</v>
      </c>
      <c r="AY19" t="s">
        <v>74</v>
      </c>
      <c r="AZ19" t="s">
        <v>74</v>
      </c>
      <c r="BA19" t="s">
        <v>74</v>
      </c>
      <c r="BB19">
        <v>2239</v>
      </c>
      <c r="BC19">
        <v>2261</v>
      </c>
      <c r="BD19" t="s">
        <v>74</v>
      </c>
      <c r="BE19" t="s">
        <v>533</v>
      </c>
      <c r="BF19" t="str">
        <f>HYPERLINK("http://dx.doi.org/10.1111/gcb.14102","http://dx.doi.org/10.1111/gcb.14102")</f>
        <v>http://dx.doi.org/10.1111/gcb.14102</v>
      </c>
      <c r="BG19" t="s">
        <v>74</v>
      </c>
      <c r="BH19" t="s">
        <v>74</v>
      </c>
      <c r="BI19">
        <v>23</v>
      </c>
      <c r="BJ19" t="s">
        <v>534</v>
      </c>
      <c r="BK19" t="s">
        <v>101</v>
      </c>
      <c r="BL19" t="s">
        <v>102</v>
      </c>
      <c r="BM19" t="s">
        <v>535</v>
      </c>
      <c r="BN19" t="s">
        <v>74</v>
      </c>
      <c r="BO19" t="s">
        <v>536</v>
      </c>
      <c r="BP19" t="s">
        <v>74</v>
      </c>
      <c r="BQ19" t="s">
        <v>74</v>
      </c>
      <c r="BR19" t="s">
        <v>105</v>
      </c>
      <c r="BS19" t="s">
        <v>537</v>
      </c>
      <c r="BT19" t="str">
        <f>HYPERLINK("https%3A%2F%2Fwww.webofscience.com%2Fwos%2Fwoscc%2Ffull-record%2FWOS:000433717700004","View Full Record in Web of Science")</f>
        <v>View Full Record in Web of Science</v>
      </c>
    </row>
    <row r="20" spans="1:72" x14ac:dyDescent="0.15">
      <c r="A20" t="s">
        <v>72</v>
      </c>
      <c r="B20" t="s">
        <v>538</v>
      </c>
      <c r="C20" t="s">
        <v>74</v>
      </c>
      <c r="D20" t="s">
        <v>74</v>
      </c>
      <c r="E20" t="s">
        <v>74</v>
      </c>
      <c r="F20" t="s">
        <v>539</v>
      </c>
      <c r="G20" t="s">
        <v>74</v>
      </c>
      <c r="H20" t="s">
        <v>74</v>
      </c>
      <c r="I20" t="s">
        <v>540</v>
      </c>
      <c r="J20" t="s">
        <v>516</v>
      </c>
      <c r="K20" t="s">
        <v>74</v>
      </c>
      <c r="L20" t="s">
        <v>74</v>
      </c>
      <c r="M20" t="s">
        <v>78</v>
      </c>
      <c r="N20" t="s">
        <v>79</v>
      </c>
      <c r="O20" t="s">
        <v>74</v>
      </c>
      <c r="P20" t="s">
        <v>74</v>
      </c>
      <c r="Q20" t="s">
        <v>74</v>
      </c>
      <c r="R20" t="s">
        <v>74</v>
      </c>
      <c r="S20" t="s">
        <v>74</v>
      </c>
      <c r="T20" t="s">
        <v>541</v>
      </c>
      <c r="U20" t="s">
        <v>542</v>
      </c>
      <c r="V20" t="s">
        <v>543</v>
      </c>
      <c r="W20" t="s">
        <v>544</v>
      </c>
      <c r="X20" t="s">
        <v>545</v>
      </c>
      <c r="Y20" t="s">
        <v>546</v>
      </c>
      <c r="Z20" t="s">
        <v>547</v>
      </c>
      <c r="AA20" t="s">
        <v>548</v>
      </c>
      <c r="AB20" t="s">
        <v>549</v>
      </c>
      <c r="AC20" t="s">
        <v>550</v>
      </c>
      <c r="AD20" t="s">
        <v>551</v>
      </c>
      <c r="AE20" t="s">
        <v>552</v>
      </c>
      <c r="AF20" t="s">
        <v>74</v>
      </c>
      <c r="AG20">
        <v>203</v>
      </c>
      <c r="AH20">
        <v>226</v>
      </c>
      <c r="AI20">
        <v>232</v>
      </c>
      <c r="AJ20">
        <v>29</v>
      </c>
      <c r="AK20">
        <v>238</v>
      </c>
      <c r="AL20" t="s">
        <v>179</v>
      </c>
      <c r="AM20" t="s">
        <v>180</v>
      </c>
      <c r="AN20" t="s">
        <v>181</v>
      </c>
      <c r="AO20" t="s">
        <v>529</v>
      </c>
      <c r="AP20" t="s">
        <v>530</v>
      </c>
      <c r="AQ20" t="s">
        <v>74</v>
      </c>
      <c r="AR20" t="s">
        <v>531</v>
      </c>
      <c r="AS20" t="s">
        <v>532</v>
      </c>
      <c r="AT20" t="s">
        <v>98</v>
      </c>
      <c r="AU20">
        <v>2018</v>
      </c>
      <c r="AV20">
        <v>24</v>
      </c>
      <c r="AW20">
        <v>6</v>
      </c>
      <c r="AX20" t="s">
        <v>74</v>
      </c>
      <c r="AY20" t="s">
        <v>74</v>
      </c>
      <c r="AZ20" t="s">
        <v>74</v>
      </c>
      <c r="BA20" t="s">
        <v>74</v>
      </c>
      <c r="BB20">
        <v>2416</v>
      </c>
      <c r="BC20">
        <v>2433</v>
      </c>
      <c r="BD20" t="s">
        <v>74</v>
      </c>
      <c r="BE20" t="s">
        <v>553</v>
      </c>
      <c r="BF20" t="str">
        <f>HYPERLINK("http://dx.doi.org/10.1111/gcb.14108","http://dx.doi.org/10.1111/gcb.14108")</f>
        <v>http://dx.doi.org/10.1111/gcb.14108</v>
      </c>
      <c r="BG20" t="s">
        <v>74</v>
      </c>
      <c r="BH20" t="s">
        <v>74</v>
      </c>
      <c r="BI20">
        <v>18</v>
      </c>
      <c r="BJ20" t="s">
        <v>534</v>
      </c>
      <c r="BK20" t="s">
        <v>484</v>
      </c>
      <c r="BL20" t="s">
        <v>102</v>
      </c>
      <c r="BM20" t="s">
        <v>535</v>
      </c>
      <c r="BN20">
        <v>29623683</v>
      </c>
      <c r="BO20" t="s">
        <v>554</v>
      </c>
      <c r="BP20" t="s">
        <v>555</v>
      </c>
      <c r="BQ20" t="s">
        <v>556</v>
      </c>
      <c r="BR20" t="s">
        <v>105</v>
      </c>
      <c r="BS20" t="s">
        <v>557</v>
      </c>
      <c r="BT20" t="str">
        <f>HYPERLINK("https%3A%2F%2Fwww.webofscience.com%2Fwos%2Fwoscc%2Ffull-record%2FWOS:000433717700017","View Full Record in Web of Science")</f>
        <v>View Full Record in Web of Science</v>
      </c>
    </row>
    <row r="21" spans="1:72" x14ac:dyDescent="0.15">
      <c r="A21" t="s">
        <v>72</v>
      </c>
      <c r="B21" t="s">
        <v>558</v>
      </c>
      <c r="C21" t="s">
        <v>74</v>
      </c>
      <c r="D21" t="s">
        <v>74</v>
      </c>
      <c r="E21" t="s">
        <v>74</v>
      </c>
      <c r="F21" t="s">
        <v>559</v>
      </c>
      <c r="G21" t="s">
        <v>74</v>
      </c>
      <c r="H21" t="s">
        <v>74</v>
      </c>
      <c r="I21" t="s">
        <v>560</v>
      </c>
      <c r="J21" t="s">
        <v>561</v>
      </c>
      <c r="K21" t="s">
        <v>74</v>
      </c>
      <c r="L21" t="s">
        <v>74</v>
      </c>
      <c r="M21" t="s">
        <v>78</v>
      </c>
      <c r="N21" t="s">
        <v>79</v>
      </c>
      <c r="O21" t="s">
        <v>74</v>
      </c>
      <c r="P21" t="s">
        <v>74</v>
      </c>
      <c r="Q21" t="s">
        <v>74</v>
      </c>
      <c r="R21" t="s">
        <v>74</v>
      </c>
      <c r="S21" t="s">
        <v>74</v>
      </c>
      <c r="T21" t="s">
        <v>562</v>
      </c>
      <c r="U21" t="s">
        <v>563</v>
      </c>
      <c r="V21" t="s">
        <v>564</v>
      </c>
      <c r="W21" t="s">
        <v>565</v>
      </c>
      <c r="X21" t="s">
        <v>566</v>
      </c>
      <c r="Y21" t="s">
        <v>567</v>
      </c>
      <c r="Z21" t="s">
        <v>568</v>
      </c>
      <c r="AA21" t="s">
        <v>569</v>
      </c>
      <c r="AB21" t="s">
        <v>570</v>
      </c>
      <c r="AC21" t="s">
        <v>571</v>
      </c>
      <c r="AD21" t="s">
        <v>572</v>
      </c>
      <c r="AE21" t="s">
        <v>573</v>
      </c>
      <c r="AF21" t="s">
        <v>74</v>
      </c>
      <c r="AG21">
        <v>53</v>
      </c>
      <c r="AH21">
        <v>9</v>
      </c>
      <c r="AI21">
        <v>9</v>
      </c>
      <c r="AJ21">
        <v>0</v>
      </c>
      <c r="AK21">
        <v>6</v>
      </c>
      <c r="AL21" t="s">
        <v>574</v>
      </c>
      <c r="AM21" t="s">
        <v>575</v>
      </c>
      <c r="AN21" t="s">
        <v>576</v>
      </c>
      <c r="AO21" t="s">
        <v>577</v>
      </c>
      <c r="AP21" t="s">
        <v>578</v>
      </c>
      <c r="AQ21" t="s">
        <v>74</v>
      </c>
      <c r="AR21" t="s">
        <v>579</v>
      </c>
      <c r="AS21" t="s">
        <v>580</v>
      </c>
      <c r="AT21" t="s">
        <v>98</v>
      </c>
      <c r="AU21">
        <v>2018</v>
      </c>
      <c r="AV21">
        <v>123</v>
      </c>
      <c r="AW21">
        <v>6</v>
      </c>
      <c r="AX21" t="s">
        <v>74</v>
      </c>
      <c r="AY21" t="s">
        <v>74</v>
      </c>
      <c r="AZ21" t="s">
        <v>74</v>
      </c>
      <c r="BA21" t="s">
        <v>74</v>
      </c>
      <c r="BB21">
        <v>5019</v>
      </c>
      <c r="BC21">
        <v>5032</v>
      </c>
      <c r="BD21" t="s">
        <v>74</v>
      </c>
      <c r="BE21" t="s">
        <v>581</v>
      </c>
      <c r="BF21" t="str">
        <f>HYPERLINK("http://dx.doi.org/10.1029/2017JA024717","http://dx.doi.org/10.1029/2017JA024717")</f>
        <v>http://dx.doi.org/10.1029/2017JA024717</v>
      </c>
      <c r="BG21" t="s">
        <v>74</v>
      </c>
      <c r="BH21" t="s">
        <v>74</v>
      </c>
      <c r="BI21">
        <v>14</v>
      </c>
      <c r="BJ21" t="s">
        <v>582</v>
      </c>
      <c r="BK21" t="s">
        <v>101</v>
      </c>
      <c r="BL21" t="s">
        <v>582</v>
      </c>
      <c r="BM21" t="s">
        <v>583</v>
      </c>
      <c r="BN21" t="s">
        <v>74</v>
      </c>
      <c r="BO21" t="s">
        <v>584</v>
      </c>
      <c r="BP21" t="s">
        <v>74</v>
      </c>
      <c r="BQ21" t="s">
        <v>74</v>
      </c>
      <c r="BR21" t="s">
        <v>105</v>
      </c>
      <c r="BS21" t="s">
        <v>585</v>
      </c>
      <c r="BT21" t="str">
        <f>HYPERLINK("https%3A%2F%2Fwww.webofscience.com%2Fwos%2Fwoscc%2Ffull-record%2FWOS:000439803100036","View Full Record in Web of Science")</f>
        <v>View Full Record in Web of Science</v>
      </c>
    </row>
    <row r="22" spans="1:72" x14ac:dyDescent="0.15">
      <c r="A22" t="s">
        <v>72</v>
      </c>
      <c r="B22" t="s">
        <v>586</v>
      </c>
      <c r="C22" t="s">
        <v>74</v>
      </c>
      <c r="D22" t="s">
        <v>74</v>
      </c>
      <c r="E22" t="s">
        <v>74</v>
      </c>
      <c r="F22" t="s">
        <v>587</v>
      </c>
      <c r="G22" t="s">
        <v>74</v>
      </c>
      <c r="H22" t="s">
        <v>74</v>
      </c>
      <c r="I22" t="s">
        <v>588</v>
      </c>
      <c r="J22" t="s">
        <v>589</v>
      </c>
      <c r="K22" t="s">
        <v>74</v>
      </c>
      <c r="L22" t="s">
        <v>74</v>
      </c>
      <c r="M22" t="s">
        <v>590</v>
      </c>
      <c r="N22" t="s">
        <v>79</v>
      </c>
      <c r="O22" t="s">
        <v>74</v>
      </c>
      <c r="P22" t="s">
        <v>74</v>
      </c>
      <c r="Q22" t="s">
        <v>74</v>
      </c>
      <c r="R22" t="s">
        <v>74</v>
      </c>
      <c r="S22" t="s">
        <v>74</v>
      </c>
      <c r="T22" t="s">
        <v>591</v>
      </c>
      <c r="U22" t="s">
        <v>592</v>
      </c>
      <c r="V22" t="s">
        <v>593</v>
      </c>
      <c r="W22" t="s">
        <v>594</v>
      </c>
      <c r="X22" t="s">
        <v>595</v>
      </c>
      <c r="Y22" t="s">
        <v>596</v>
      </c>
      <c r="Z22" t="s">
        <v>597</v>
      </c>
      <c r="AA22" t="s">
        <v>598</v>
      </c>
      <c r="AB22" t="s">
        <v>599</v>
      </c>
      <c r="AC22" t="s">
        <v>74</v>
      </c>
      <c r="AD22" t="s">
        <v>74</v>
      </c>
      <c r="AE22" t="s">
        <v>74</v>
      </c>
      <c r="AF22" t="s">
        <v>74</v>
      </c>
      <c r="AG22">
        <v>19</v>
      </c>
      <c r="AH22">
        <v>2</v>
      </c>
      <c r="AI22">
        <v>2</v>
      </c>
      <c r="AJ22">
        <v>0</v>
      </c>
      <c r="AK22">
        <v>1</v>
      </c>
      <c r="AL22" t="s">
        <v>600</v>
      </c>
      <c r="AM22" t="s">
        <v>601</v>
      </c>
      <c r="AN22" t="s">
        <v>602</v>
      </c>
      <c r="AO22" t="s">
        <v>603</v>
      </c>
      <c r="AP22" t="s">
        <v>604</v>
      </c>
      <c r="AQ22" t="s">
        <v>74</v>
      </c>
      <c r="AR22" t="s">
        <v>605</v>
      </c>
      <c r="AS22" t="s">
        <v>606</v>
      </c>
      <c r="AT22" t="s">
        <v>98</v>
      </c>
      <c r="AU22">
        <v>2018</v>
      </c>
      <c r="AV22">
        <v>34</v>
      </c>
      <c r="AW22">
        <v>3</v>
      </c>
      <c r="AX22" t="s">
        <v>74</v>
      </c>
      <c r="AY22" t="s">
        <v>74</v>
      </c>
      <c r="AZ22" t="s">
        <v>74</v>
      </c>
      <c r="BA22" t="s">
        <v>74</v>
      </c>
      <c r="BB22">
        <v>545</v>
      </c>
      <c r="BC22">
        <v>552</v>
      </c>
      <c r="BD22" t="s">
        <v>74</v>
      </c>
      <c r="BE22" t="s">
        <v>607</v>
      </c>
      <c r="BF22" t="str">
        <f>HYPERLINK("http://dx.doi.org/10.7780/kjrs.2018.34.3.9","http://dx.doi.org/10.7780/kjrs.2018.34.3.9")</f>
        <v>http://dx.doi.org/10.7780/kjrs.2018.34.3.9</v>
      </c>
      <c r="BG22" t="s">
        <v>74</v>
      </c>
      <c r="BH22" t="s">
        <v>74</v>
      </c>
      <c r="BI22">
        <v>8</v>
      </c>
      <c r="BJ22" t="s">
        <v>608</v>
      </c>
      <c r="BK22" t="s">
        <v>261</v>
      </c>
      <c r="BL22" t="s">
        <v>608</v>
      </c>
      <c r="BM22" t="s">
        <v>609</v>
      </c>
      <c r="BN22" t="s">
        <v>74</v>
      </c>
      <c r="BO22" t="s">
        <v>74</v>
      </c>
      <c r="BP22" t="s">
        <v>74</v>
      </c>
      <c r="BQ22" t="s">
        <v>74</v>
      </c>
      <c r="BR22" t="s">
        <v>105</v>
      </c>
      <c r="BS22" t="s">
        <v>610</v>
      </c>
      <c r="BT22" t="str">
        <f>HYPERLINK("https%3A%2F%2Fwww.webofscience.com%2Fwos%2Fwoscc%2Ffull-record%2FWOS:000439202500009","View Full Record in Web of Science")</f>
        <v>View Full Record in Web of Science</v>
      </c>
    </row>
    <row r="23" spans="1:72" x14ac:dyDescent="0.15">
      <c r="A23" t="s">
        <v>72</v>
      </c>
      <c r="B23" t="s">
        <v>611</v>
      </c>
      <c r="C23" t="s">
        <v>74</v>
      </c>
      <c r="D23" t="s">
        <v>74</v>
      </c>
      <c r="E23" t="s">
        <v>74</v>
      </c>
      <c r="F23" t="s">
        <v>612</v>
      </c>
      <c r="G23" t="s">
        <v>74</v>
      </c>
      <c r="H23" t="s">
        <v>74</v>
      </c>
      <c r="I23" t="s">
        <v>613</v>
      </c>
      <c r="J23" t="s">
        <v>614</v>
      </c>
      <c r="K23" t="s">
        <v>74</v>
      </c>
      <c r="L23" t="s">
        <v>74</v>
      </c>
      <c r="M23" t="s">
        <v>78</v>
      </c>
      <c r="N23" t="s">
        <v>79</v>
      </c>
      <c r="O23" t="s">
        <v>74</v>
      </c>
      <c r="P23" t="s">
        <v>74</v>
      </c>
      <c r="Q23" t="s">
        <v>74</v>
      </c>
      <c r="R23" t="s">
        <v>74</v>
      </c>
      <c r="S23" t="s">
        <v>74</v>
      </c>
      <c r="T23" t="s">
        <v>615</v>
      </c>
      <c r="U23" t="s">
        <v>616</v>
      </c>
      <c r="V23" t="s">
        <v>617</v>
      </c>
      <c r="W23" t="s">
        <v>618</v>
      </c>
      <c r="X23" t="s">
        <v>619</v>
      </c>
      <c r="Y23" t="s">
        <v>620</v>
      </c>
      <c r="Z23" t="s">
        <v>621</v>
      </c>
      <c r="AA23" t="s">
        <v>622</v>
      </c>
      <c r="AB23" t="s">
        <v>623</v>
      </c>
      <c r="AC23" t="s">
        <v>624</v>
      </c>
      <c r="AD23" t="s">
        <v>625</v>
      </c>
      <c r="AE23" t="s">
        <v>626</v>
      </c>
      <c r="AF23" t="s">
        <v>74</v>
      </c>
      <c r="AG23">
        <v>71</v>
      </c>
      <c r="AH23">
        <v>31</v>
      </c>
      <c r="AI23">
        <v>34</v>
      </c>
      <c r="AJ23">
        <v>2</v>
      </c>
      <c r="AK23">
        <v>14</v>
      </c>
      <c r="AL23" t="s">
        <v>627</v>
      </c>
      <c r="AM23" t="s">
        <v>628</v>
      </c>
      <c r="AN23" t="s">
        <v>629</v>
      </c>
      <c r="AO23" t="s">
        <v>74</v>
      </c>
      <c r="AP23" t="s">
        <v>630</v>
      </c>
      <c r="AQ23" t="s">
        <v>74</v>
      </c>
      <c r="AR23" t="s">
        <v>614</v>
      </c>
      <c r="AS23" t="s">
        <v>631</v>
      </c>
      <c r="AT23" t="s">
        <v>98</v>
      </c>
      <c r="AU23">
        <v>2018</v>
      </c>
      <c r="AV23">
        <v>8</v>
      </c>
      <c r="AW23">
        <v>2</v>
      </c>
      <c r="AX23" t="s">
        <v>74</v>
      </c>
      <c r="AY23" t="s">
        <v>74</v>
      </c>
      <c r="AZ23" t="s">
        <v>74</v>
      </c>
      <c r="BA23" t="s">
        <v>74</v>
      </c>
      <c r="BB23" t="s">
        <v>74</v>
      </c>
      <c r="BC23" t="s">
        <v>74</v>
      </c>
      <c r="BD23">
        <v>19</v>
      </c>
      <c r="BE23" t="s">
        <v>632</v>
      </c>
      <c r="BF23" t="str">
        <f>HYPERLINK("http://dx.doi.org/10.3390/life8020019","http://dx.doi.org/10.3390/life8020019")</f>
        <v>http://dx.doi.org/10.3390/life8020019</v>
      </c>
      <c r="BG23" t="s">
        <v>74</v>
      </c>
      <c r="BH23" t="s">
        <v>74</v>
      </c>
      <c r="BI23">
        <v>15</v>
      </c>
      <c r="BJ23" t="s">
        <v>633</v>
      </c>
      <c r="BK23" t="s">
        <v>101</v>
      </c>
      <c r="BL23" t="s">
        <v>634</v>
      </c>
      <c r="BM23" t="s">
        <v>635</v>
      </c>
      <c r="BN23">
        <v>29865244</v>
      </c>
      <c r="BO23" t="s">
        <v>636</v>
      </c>
      <c r="BP23" t="s">
        <v>74</v>
      </c>
      <c r="BQ23" t="s">
        <v>74</v>
      </c>
      <c r="BR23" t="s">
        <v>105</v>
      </c>
      <c r="BS23" t="s">
        <v>637</v>
      </c>
      <c r="BT23" t="str">
        <f>HYPERLINK("https%3A%2F%2Fwww.webofscience.com%2Fwos%2Fwoscc%2Ffull-record%2FWOS:000436279100011","View Full Record in Web of Science")</f>
        <v>View Full Record in Web of Science</v>
      </c>
    </row>
    <row r="24" spans="1:72" x14ac:dyDescent="0.15">
      <c r="A24" t="s">
        <v>72</v>
      </c>
      <c r="B24" t="s">
        <v>638</v>
      </c>
      <c r="C24" t="s">
        <v>74</v>
      </c>
      <c r="D24" t="s">
        <v>74</v>
      </c>
      <c r="E24" t="s">
        <v>74</v>
      </c>
      <c r="F24" t="s">
        <v>639</v>
      </c>
      <c r="G24" t="s">
        <v>74</v>
      </c>
      <c r="H24" t="s">
        <v>74</v>
      </c>
      <c r="I24" t="s">
        <v>640</v>
      </c>
      <c r="J24" t="s">
        <v>614</v>
      </c>
      <c r="K24" t="s">
        <v>74</v>
      </c>
      <c r="L24" t="s">
        <v>74</v>
      </c>
      <c r="M24" t="s">
        <v>78</v>
      </c>
      <c r="N24" t="s">
        <v>79</v>
      </c>
      <c r="O24" t="s">
        <v>74</v>
      </c>
      <c r="P24" t="s">
        <v>74</v>
      </c>
      <c r="Q24" t="s">
        <v>74</v>
      </c>
      <c r="R24" t="s">
        <v>74</v>
      </c>
      <c r="S24" t="s">
        <v>74</v>
      </c>
      <c r="T24" t="s">
        <v>641</v>
      </c>
      <c r="U24" t="s">
        <v>642</v>
      </c>
      <c r="V24" t="s">
        <v>643</v>
      </c>
      <c r="W24" t="s">
        <v>644</v>
      </c>
      <c r="X24" t="s">
        <v>645</v>
      </c>
      <c r="Y24" t="s">
        <v>646</v>
      </c>
      <c r="Z24" t="s">
        <v>647</v>
      </c>
      <c r="AA24" t="s">
        <v>648</v>
      </c>
      <c r="AB24" t="s">
        <v>649</v>
      </c>
      <c r="AC24" t="s">
        <v>650</v>
      </c>
      <c r="AD24" t="s">
        <v>651</v>
      </c>
      <c r="AE24" t="s">
        <v>652</v>
      </c>
      <c r="AF24" t="s">
        <v>74</v>
      </c>
      <c r="AG24">
        <v>54</v>
      </c>
      <c r="AH24">
        <v>16</v>
      </c>
      <c r="AI24">
        <v>17</v>
      </c>
      <c r="AJ24">
        <v>1</v>
      </c>
      <c r="AK24">
        <v>9</v>
      </c>
      <c r="AL24" t="s">
        <v>627</v>
      </c>
      <c r="AM24" t="s">
        <v>628</v>
      </c>
      <c r="AN24" t="s">
        <v>629</v>
      </c>
      <c r="AO24" t="s">
        <v>74</v>
      </c>
      <c r="AP24" t="s">
        <v>630</v>
      </c>
      <c r="AQ24" t="s">
        <v>74</v>
      </c>
      <c r="AR24" t="s">
        <v>614</v>
      </c>
      <c r="AS24" t="s">
        <v>631</v>
      </c>
      <c r="AT24" t="s">
        <v>98</v>
      </c>
      <c r="AU24">
        <v>2018</v>
      </c>
      <c r="AV24">
        <v>8</v>
      </c>
      <c r="AW24">
        <v>2</v>
      </c>
      <c r="AX24" t="s">
        <v>74</v>
      </c>
      <c r="AY24" t="s">
        <v>74</v>
      </c>
      <c r="AZ24" t="s">
        <v>74</v>
      </c>
      <c r="BA24" t="s">
        <v>74</v>
      </c>
      <c r="BB24" t="s">
        <v>74</v>
      </c>
      <c r="BC24" t="s">
        <v>74</v>
      </c>
      <c r="BD24">
        <v>23</v>
      </c>
      <c r="BE24" t="s">
        <v>653</v>
      </c>
      <c r="BF24" t="str">
        <f>HYPERLINK("http://dx.doi.org/10.3390/life8020023","http://dx.doi.org/10.3390/life8020023")</f>
        <v>http://dx.doi.org/10.3390/life8020023</v>
      </c>
      <c r="BG24" t="s">
        <v>74</v>
      </c>
      <c r="BH24" t="s">
        <v>74</v>
      </c>
      <c r="BI24">
        <v>16</v>
      </c>
      <c r="BJ24" t="s">
        <v>633</v>
      </c>
      <c r="BK24" t="s">
        <v>101</v>
      </c>
      <c r="BL24" t="s">
        <v>634</v>
      </c>
      <c r="BM24" t="s">
        <v>635</v>
      </c>
      <c r="BN24">
        <v>29921763</v>
      </c>
      <c r="BO24" t="s">
        <v>654</v>
      </c>
      <c r="BP24" t="s">
        <v>74</v>
      </c>
      <c r="BQ24" t="s">
        <v>74</v>
      </c>
      <c r="BR24" t="s">
        <v>105</v>
      </c>
      <c r="BS24" t="s">
        <v>655</v>
      </c>
      <c r="BT24" t="str">
        <f>HYPERLINK("https%3A%2F%2Fwww.webofscience.com%2Fwos%2Fwoscc%2Ffull-record%2FWOS:000436279100015","View Full Record in Web of Science")</f>
        <v>View Full Record in Web of Science</v>
      </c>
    </row>
    <row r="25" spans="1:72" x14ac:dyDescent="0.15">
      <c r="A25" t="s">
        <v>72</v>
      </c>
      <c r="B25" t="s">
        <v>656</v>
      </c>
      <c r="C25" t="s">
        <v>74</v>
      </c>
      <c r="D25" t="s">
        <v>74</v>
      </c>
      <c r="E25" t="s">
        <v>74</v>
      </c>
      <c r="F25" t="s">
        <v>657</v>
      </c>
      <c r="G25" t="s">
        <v>74</v>
      </c>
      <c r="H25" t="s">
        <v>74</v>
      </c>
      <c r="I25" t="s">
        <v>658</v>
      </c>
      <c r="J25" t="s">
        <v>614</v>
      </c>
      <c r="K25" t="s">
        <v>74</v>
      </c>
      <c r="L25" t="s">
        <v>74</v>
      </c>
      <c r="M25" t="s">
        <v>78</v>
      </c>
      <c r="N25" t="s">
        <v>79</v>
      </c>
      <c r="O25" t="s">
        <v>74</v>
      </c>
      <c r="P25" t="s">
        <v>74</v>
      </c>
      <c r="Q25" t="s">
        <v>74</v>
      </c>
      <c r="R25" t="s">
        <v>74</v>
      </c>
      <c r="S25" t="s">
        <v>74</v>
      </c>
      <c r="T25" t="s">
        <v>659</v>
      </c>
      <c r="U25" t="s">
        <v>660</v>
      </c>
      <c r="V25" t="s">
        <v>661</v>
      </c>
      <c r="W25" t="s">
        <v>662</v>
      </c>
      <c r="X25" t="s">
        <v>663</v>
      </c>
      <c r="Y25" t="s">
        <v>664</v>
      </c>
      <c r="Z25" t="s">
        <v>665</v>
      </c>
      <c r="AA25" t="s">
        <v>666</v>
      </c>
      <c r="AB25" t="s">
        <v>667</v>
      </c>
      <c r="AC25" t="s">
        <v>668</v>
      </c>
      <c r="AD25" t="s">
        <v>669</v>
      </c>
      <c r="AE25" t="s">
        <v>670</v>
      </c>
      <c r="AF25" t="s">
        <v>74</v>
      </c>
      <c r="AG25">
        <v>35</v>
      </c>
      <c r="AH25">
        <v>14</v>
      </c>
      <c r="AI25">
        <v>14</v>
      </c>
      <c r="AJ25">
        <v>0</v>
      </c>
      <c r="AK25">
        <v>11</v>
      </c>
      <c r="AL25" t="s">
        <v>627</v>
      </c>
      <c r="AM25" t="s">
        <v>628</v>
      </c>
      <c r="AN25" t="s">
        <v>629</v>
      </c>
      <c r="AO25" t="s">
        <v>74</v>
      </c>
      <c r="AP25" t="s">
        <v>630</v>
      </c>
      <c r="AQ25" t="s">
        <v>74</v>
      </c>
      <c r="AR25" t="s">
        <v>614</v>
      </c>
      <c r="AS25" t="s">
        <v>631</v>
      </c>
      <c r="AT25" t="s">
        <v>98</v>
      </c>
      <c r="AU25">
        <v>2018</v>
      </c>
      <c r="AV25">
        <v>8</v>
      </c>
      <c r="AW25">
        <v>2</v>
      </c>
      <c r="AX25" t="s">
        <v>74</v>
      </c>
      <c r="AY25" t="s">
        <v>74</v>
      </c>
      <c r="AZ25" t="s">
        <v>74</v>
      </c>
      <c r="BA25" t="s">
        <v>74</v>
      </c>
      <c r="BB25" t="s">
        <v>74</v>
      </c>
      <c r="BC25" t="s">
        <v>74</v>
      </c>
      <c r="BD25">
        <v>9</v>
      </c>
      <c r="BE25" t="s">
        <v>671</v>
      </c>
      <c r="BF25" t="str">
        <f>HYPERLINK("http://dx.doi.org/10.3390/life8020009","http://dx.doi.org/10.3390/life8020009")</f>
        <v>http://dx.doi.org/10.3390/life8020009</v>
      </c>
      <c r="BG25" t="s">
        <v>74</v>
      </c>
      <c r="BH25" t="s">
        <v>74</v>
      </c>
      <c r="BI25">
        <v>15</v>
      </c>
      <c r="BJ25" t="s">
        <v>633</v>
      </c>
      <c r="BK25" t="s">
        <v>101</v>
      </c>
      <c r="BL25" t="s">
        <v>634</v>
      </c>
      <c r="BM25" t="s">
        <v>635</v>
      </c>
      <c r="BN25">
        <v>29734727</v>
      </c>
      <c r="BO25" t="s">
        <v>672</v>
      </c>
      <c r="BP25" t="s">
        <v>74</v>
      </c>
      <c r="BQ25" t="s">
        <v>74</v>
      </c>
      <c r="BR25" t="s">
        <v>105</v>
      </c>
      <c r="BS25" t="s">
        <v>673</v>
      </c>
      <c r="BT25" t="str">
        <f>HYPERLINK("https%3A%2F%2Fwww.webofscience.com%2Fwos%2Fwoscc%2Ffull-record%2FWOS:000436279100001","View Full Record in Web of Science")</f>
        <v>View Full Record in Web of Science</v>
      </c>
    </row>
    <row r="26" spans="1:72" x14ac:dyDescent="0.15">
      <c r="A26" t="s">
        <v>72</v>
      </c>
      <c r="B26" t="s">
        <v>674</v>
      </c>
      <c r="C26" t="s">
        <v>74</v>
      </c>
      <c r="D26" t="s">
        <v>74</v>
      </c>
      <c r="E26" t="s">
        <v>74</v>
      </c>
      <c r="F26" t="s">
        <v>675</v>
      </c>
      <c r="G26" t="s">
        <v>74</v>
      </c>
      <c r="H26" t="s">
        <v>74</v>
      </c>
      <c r="I26" t="s">
        <v>676</v>
      </c>
      <c r="J26" t="s">
        <v>677</v>
      </c>
      <c r="K26" t="s">
        <v>74</v>
      </c>
      <c r="L26" t="s">
        <v>74</v>
      </c>
      <c r="M26" t="s">
        <v>78</v>
      </c>
      <c r="N26" t="s">
        <v>79</v>
      </c>
      <c r="O26" t="s">
        <v>74</v>
      </c>
      <c r="P26" t="s">
        <v>74</v>
      </c>
      <c r="Q26" t="s">
        <v>74</v>
      </c>
      <c r="R26" t="s">
        <v>74</v>
      </c>
      <c r="S26" t="s">
        <v>74</v>
      </c>
      <c r="T26" t="s">
        <v>74</v>
      </c>
      <c r="U26" t="s">
        <v>678</v>
      </c>
      <c r="V26" t="s">
        <v>679</v>
      </c>
      <c r="W26" t="s">
        <v>680</v>
      </c>
      <c r="X26" t="s">
        <v>681</v>
      </c>
      <c r="Y26" t="s">
        <v>682</v>
      </c>
      <c r="Z26" t="s">
        <v>683</v>
      </c>
      <c r="AA26" t="s">
        <v>74</v>
      </c>
      <c r="AB26" t="s">
        <v>684</v>
      </c>
      <c r="AC26" t="s">
        <v>685</v>
      </c>
      <c r="AD26" t="s">
        <v>686</v>
      </c>
      <c r="AE26" t="s">
        <v>687</v>
      </c>
      <c r="AF26" t="s">
        <v>74</v>
      </c>
      <c r="AG26">
        <v>43</v>
      </c>
      <c r="AH26">
        <v>20</v>
      </c>
      <c r="AI26">
        <v>22</v>
      </c>
      <c r="AJ26">
        <v>6</v>
      </c>
      <c r="AK26">
        <v>41</v>
      </c>
      <c r="AL26" t="s">
        <v>179</v>
      </c>
      <c r="AM26" t="s">
        <v>180</v>
      </c>
      <c r="AN26" t="s">
        <v>181</v>
      </c>
      <c r="AO26" t="s">
        <v>74</v>
      </c>
      <c r="AP26" t="s">
        <v>688</v>
      </c>
      <c r="AQ26" t="s">
        <v>74</v>
      </c>
      <c r="AR26" t="s">
        <v>689</v>
      </c>
      <c r="AS26" t="s">
        <v>690</v>
      </c>
      <c r="AT26" t="s">
        <v>98</v>
      </c>
      <c r="AU26">
        <v>2018</v>
      </c>
      <c r="AV26">
        <v>3</v>
      </c>
      <c r="AW26">
        <v>3</v>
      </c>
      <c r="AX26" t="s">
        <v>74</v>
      </c>
      <c r="AY26" t="s">
        <v>74</v>
      </c>
      <c r="AZ26" t="s">
        <v>508</v>
      </c>
      <c r="BA26" t="s">
        <v>74</v>
      </c>
      <c r="BB26">
        <v>225</v>
      </c>
      <c r="BC26">
        <v>235</v>
      </c>
      <c r="BD26" t="s">
        <v>74</v>
      </c>
      <c r="BE26" t="s">
        <v>691</v>
      </c>
      <c r="BF26" t="str">
        <f>HYPERLINK("http://dx.doi.org/10.1002/lol2.10082","http://dx.doi.org/10.1002/lol2.10082")</f>
        <v>http://dx.doi.org/10.1002/lol2.10082</v>
      </c>
      <c r="BG26" t="s">
        <v>74</v>
      </c>
      <c r="BH26" t="s">
        <v>74</v>
      </c>
      <c r="BI26">
        <v>11</v>
      </c>
      <c r="BJ26" t="s">
        <v>692</v>
      </c>
      <c r="BK26" t="s">
        <v>101</v>
      </c>
      <c r="BL26" t="s">
        <v>693</v>
      </c>
      <c r="BM26" t="s">
        <v>694</v>
      </c>
      <c r="BN26">
        <v>30374456</v>
      </c>
      <c r="BO26" t="s">
        <v>695</v>
      </c>
      <c r="BP26" t="s">
        <v>74</v>
      </c>
      <c r="BQ26" t="s">
        <v>74</v>
      </c>
      <c r="BR26" t="s">
        <v>105</v>
      </c>
      <c r="BS26" t="s">
        <v>696</v>
      </c>
      <c r="BT26" t="str">
        <f>HYPERLINK("https%3A%2F%2Fwww.webofscience.com%2Fwos%2Fwoscc%2Ffull-record%2FWOS:000456696200017","View Full Record in Web of Science")</f>
        <v>View Full Record in Web of Science</v>
      </c>
    </row>
    <row r="27" spans="1:72" x14ac:dyDescent="0.15">
      <c r="A27" t="s">
        <v>72</v>
      </c>
      <c r="B27" t="s">
        <v>697</v>
      </c>
      <c r="C27" t="s">
        <v>74</v>
      </c>
      <c r="D27" t="s">
        <v>74</v>
      </c>
      <c r="E27" t="s">
        <v>74</v>
      </c>
      <c r="F27" t="s">
        <v>698</v>
      </c>
      <c r="G27" t="s">
        <v>74</v>
      </c>
      <c r="H27" t="s">
        <v>74</v>
      </c>
      <c r="I27" t="s">
        <v>699</v>
      </c>
      <c r="J27" t="s">
        <v>700</v>
      </c>
      <c r="K27" t="s">
        <v>74</v>
      </c>
      <c r="L27" t="s">
        <v>74</v>
      </c>
      <c r="M27" t="s">
        <v>78</v>
      </c>
      <c r="N27" t="s">
        <v>79</v>
      </c>
      <c r="O27" t="s">
        <v>74</v>
      </c>
      <c r="P27" t="s">
        <v>74</v>
      </c>
      <c r="Q27" t="s">
        <v>74</v>
      </c>
      <c r="R27" t="s">
        <v>74</v>
      </c>
      <c r="S27" t="s">
        <v>74</v>
      </c>
      <c r="T27" t="s">
        <v>701</v>
      </c>
      <c r="U27" t="s">
        <v>702</v>
      </c>
      <c r="V27" t="s">
        <v>703</v>
      </c>
      <c r="W27" t="s">
        <v>704</v>
      </c>
      <c r="X27" t="s">
        <v>705</v>
      </c>
      <c r="Y27" t="s">
        <v>706</v>
      </c>
      <c r="Z27" t="s">
        <v>707</v>
      </c>
      <c r="AA27" t="s">
        <v>708</v>
      </c>
      <c r="AB27" t="s">
        <v>709</v>
      </c>
      <c r="AC27" t="s">
        <v>710</v>
      </c>
      <c r="AD27" t="s">
        <v>711</v>
      </c>
      <c r="AE27" t="s">
        <v>712</v>
      </c>
      <c r="AF27" t="s">
        <v>74</v>
      </c>
      <c r="AG27">
        <v>85</v>
      </c>
      <c r="AH27">
        <v>38</v>
      </c>
      <c r="AI27">
        <v>39</v>
      </c>
      <c r="AJ27">
        <v>0</v>
      </c>
      <c r="AK27">
        <v>37</v>
      </c>
      <c r="AL27" t="s">
        <v>425</v>
      </c>
      <c r="AM27" t="s">
        <v>278</v>
      </c>
      <c r="AN27" t="s">
        <v>426</v>
      </c>
      <c r="AO27" t="s">
        <v>713</v>
      </c>
      <c r="AP27" t="s">
        <v>714</v>
      </c>
      <c r="AQ27" t="s">
        <v>74</v>
      </c>
      <c r="AR27" t="s">
        <v>715</v>
      </c>
      <c r="AS27" t="s">
        <v>716</v>
      </c>
      <c r="AT27" t="s">
        <v>98</v>
      </c>
      <c r="AU27">
        <v>2018</v>
      </c>
      <c r="AV27">
        <v>92</v>
      </c>
      <c r="AW27" t="s">
        <v>74</v>
      </c>
      <c r="AX27" t="s">
        <v>74</v>
      </c>
      <c r="AY27" t="s">
        <v>74</v>
      </c>
      <c r="AZ27" t="s">
        <v>74</v>
      </c>
      <c r="BA27" t="s">
        <v>74</v>
      </c>
      <c r="BB27">
        <v>61</v>
      </c>
      <c r="BC27">
        <v>72</v>
      </c>
      <c r="BD27" t="s">
        <v>74</v>
      </c>
      <c r="BE27" t="s">
        <v>717</v>
      </c>
      <c r="BF27" t="str">
        <f>HYPERLINK("http://dx.doi.org/10.1016/j.marpol.2018.02.017","http://dx.doi.org/10.1016/j.marpol.2018.02.017")</f>
        <v>http://dx.doi.org/10.1016/j.marpol.2018.02.017</v>
      </c>
      <c r="BG27" t="s">
        <v>74</v>
      </c>
      <c r="BH27" t="s">
        <v>74</v>
      </c>
      <c r="BI27">
        <v>12</v>
      </c>
      <c r="BJ27" t="s">
        <v>718</v>
      </c>
      <c r="BK27" t="s">
        <v>719</v>
      </c>
      <c r="BL27" t="s">
        <v>720</v>
      </c>
      <c r="BM27" t="s">
        <v>721</v>
      </c>
      <c r="BN27" t="s">
        <v>74</v>
      </c>
      <c r="BO27" t="s">
        <v>74</v>
      </c>
      <c r="BP27" t="s">
        <v>74</v>
      </c>
      <c r="BQ27" t="s">
        <v>74</v>
      </c>
      <c r="BR27" t="s">
        <v>105</v>
      </c>
      <c r="BS27" t="s">
        <v>722</v>
      </c>
      <c r="BT27" t="str">
        <f>HYPERLINK("https%3A%2F%2Fwww.webofscience.com%2Fwos%2Fwoscc%2Ffull-record%2FWOS:000430765100008","View Full Record in Web of Science")</f>
        <v>View Full Record in Web of Science</v>
      </c>
    </row>
    <row r="28" spans="1:72" x14ac:dyDescent="0.15">
      <c r="A28" t="s">
        <v>72</v>
      </c>
      <c r="B28" t="s">
        <v>723</v>
      </c>
      <c r="C28" t="s">
        <v>74</v>
      </c>
      <c r="D28" t="s">
        <v>74</v>
      </c>
      <c r="E28" t="s">
        <v>74</v>
      </c>
      <c r="F28" t="s">
        <v>724</v>
      </c>
      <c r="G28" t="s">
        <v>74</v>
      </c>
      <c r="H28" t="s">
        <v>74</v>
      </c>
      <c r="I28" t="s">
        <v>725</v>
      </c>
      <c r="J28" t="s">
        <v>726</v>
      </c>
      <c r="K28" t="s">
        <v>74</v>
      </c>
      <c r="L28" t="s">
        <v>74</v>
      </c>
      <c r="M28" t="s">
        <v>78</v>
      </c>
      <c r="N28" t="s">
        <v>79</v>
      </c>
      <c r="O28" t="s">
        <v>74</v>
      </c>
      <c r="P28" t="s">
        <v>74</v>
      </c>
      <c r="Q28" t="s">
        <v>74</v>
      </c>
      <c r="R28" t="s">
        <v>74</v>
      </c>
      <c r="S28" t="s">
        <v>74</v>
      </c>
      <c r="T28" t="s">
        <v>727</v>
      </c>
      <c r="U28" t="s">
        <v>728</v>
      </c>
      <c r="V28" t="s">
        <v>729</v>
      </c>
      <c r="W28" t="s">
        <v>730</v>
      </c>
      <c r="X28" t="s">
        <v>731</v>
      </c>
      <c r="Y28" t="s">
        <v>732</v>
      </c>
      <c r="Z28" t="s">
        <v>733</v>
      </c>
      <c r="AA28" t="s">
        <v>74</v>
      </c>
      <c r="AB28" t="s">
        <v>734</v>
      </c>
      <c r="AC28" t="s">
        <v>735</v>
      </c>
      <c r="AD28" t="s">
        <v>735</v>
      </c>
      <c r="AE28" t="s">
        <v>736</v>
      </c>
      <c r="AF28" t="s">
        <v>74</v>
      </c>
      <c r="AG28">
        <v>63</v>
      </c>
      <c r="AH28">
        <v>10</v>
      </c>
      <c r="AI28">
        <v>12</v>
      </c>
      <c r="AJ28">
        <v>3</v>
      </c>
      <c r="AK28">
        <v>27</v>
      </c>
      <c r="AL28" t="s">
        <v>277</v>
      </c>
      <c r="AM28" t="s">
        <v>278</v>
      </c>
      <c r="AN28" t="s">
        <v>279</v>
      </c>
      <c r="AO28" t="s">
        <v>737</v>
      </c>
      <c r="AP28" t="s">
        <v>74</v>
      </c>
      <c r="AQ28" t="s">
        <v>74</v>
      </c>
      <c r="AR28" t="s">
        <v>738</v>
      </c>
      <c r="AS28" t="s">
        <v>739</v>
      </c>
      <c r="AT28" t="s">
        <v>129</v>
      </c>
      <c r="AU28">
        <v>2018</v>
      </c>
      <c r="AV28">
        <v>157</v>
      </c>
      <c r="AW28" t="s">
        <v>74</v>
      </c>
      <c r="AX28" t="s">
        <v>74</v>
      </c>
      <c r="AY28" t="s">
        <v>74</v>
      </c>
      <c r="AZ28" t="s">
        <v>74</v>
      </c>
      <c r="BA28" t="s">
        <v>74</v>
      </c>
      <c r="BB28">
        <v>251</v>
      </c>
      <c r="BC28">
        <v>261</v>
      </c>
      <c r="BD28" t="s">
        <v>74</v>
      </c>
      <c r="BE28" t="s">
        <v>740</v>
      </c>
      <c r="BF28" t="str">
        <f>HYPERLINK("http://dx.doi.org/10.1016/j.oceaneng.2018.03.037","http://dx.doi.org/10.1016/j.oceaneng.2018.03.037")</f>
        <v>http://dx.doi.org/10.1016/j.oceaneng.2018.03.037</v>
      </c>
      <c r="BG28" t="s">
        <v>74</v>
      </c>
      <c r="BH28" t="s">
        <v>74</v>
      </c>
      <c r="BI28">
        <v>11</v>
      </c>
      <c r="BJ28" t="s">
        <v>741</v>
      </c>
      <c r="BK28" t="s">
        <v>101</v>
      </c>
      <c r="BL28" t="s">
        <v>742</v>
      </c>
      <c r="BM28" t="s">
        <v>743</v>
      </c>
      <c r="BN28" t="s">
        <v>74</v>
      </c>
      <c r="BO28" t="s">
        <v>74</v>
      </c>
      <c r="BP28" t="s">
        <v>74</v>
      </c>
      <c r="BQ28" t="s">
        <v>74</v>
      </c>
      <c r="BR28" t="s">
        <v>105</v>
      </c>
      <c r="BS28" t="s">
        <v>744</v>
      </c>
      <c r="BT28" t="str">
        <f>HYPERLINK("https%3A%2F%2Fwww.webofscience.com%2Fwos%2Fwoscc%2Ffull-record%2FWOS:000432507400021","View Full Record in Web of Science")</f>
        <v>View Full Record in Web of Science</v>
      </c>
    </row>
    <row r="29" spans="1:72" x14ac:dyDescent="0.15">
      <c r="A29" t="s">
        <v>72</v>
      </c>
      <c r="B29" t="s">
        <v>745</v>
      </c>
      <c r="C29" t="s">
        <v>74</v>
      </c>
      <c r="D29" t="s">
        <v>74</v>
      </c>
      <c r="E29" t="s">
        <v>74</v>
      </c>
      <c r="F29" t="s">
        <v>746</v>
      </c>
      <c r="G29" t="s">
        <v>74</v>
      </c>
      <c r="H29" t="s">
        <v>74</v>
      </c>
      <c r="I29" t="s">
        <v>747</v>
      </c>
      <c r="J29" t="s">
        <v>748</v>
      </c>
      <c r="K29" t="s">
        <v>74</v>
      </c>
      <c r="L29" t="s">
        <v>74</v>
      </c>
      <c r="M29" t="s">
        <v>78</v>
      </c>
      <c r="N29" t="s">
        <v>371</v>
      </c>
      <c r="O29" t="s">
        <v>74</v>
      </c>
      <c r="P29" t="s">
        <v>74</v>
      </c>
      <c r="Q29" t="s">
        <v>74</v>
      </c>
      <c r="R29" t="s">
        <v>74</v>
      </c>
      <c r="S29" t="s">
        <v>74</v>
      </c>
      <c r="T29" t="s">
        <v>74</v>
      </c>
      <c r="U29" t="s">
        <v>74</v>
      </c>
      <c r="V29" t="s">
        <v>74</v>
      </c>
      <c r="W29" t="s">
        <v>749</v>
      </c>
      <c r="X29" t="s">
        <v>750</v>
      </c>
      <c r="Y29" t="s">
        <v>751</v>
      </c>
      <c r="Z29" t="s">
        <v>752</v>
      </c>
      <c r="AA29" t="s">
        <v>753</v>
      </c>
      <c r="AB29" t="s">
        <v>754</v>
      </c>
      <c r="AC29" t="s">
        <v>755</v>
      </c>
      <c r="AD29" t="s">
        <v>756</v>
      </c>
      <c r="AE29" t="s">
        <v>757</v>
      </c>
      <c r="AF29" t="s">
        <v>74</v>
      </c>
      <c r="AG29">
        <v>8</v>
      </c>
      <c r="AH29">
        <v>0</v>
      </c>
      <c r="AI29">
        <v>0</v>
      </c>
      <c r="AJ29">
        <v>0</v>
      </c>
      <c r="AK29">
        <v>3</v>
      </c>
      <c r="AL29" t="s">
        <v>758</v>
      </c>
      <c r="AM29" t="s">
        <v>759</v>
      </c>
      <c r="AN29" t="s">
        <v>760</v>
      </c>
      <c r="AO29" t="s">
        <v>761</v>
      </c>
      <c r="AP29" t="s">
        <v>74</v>
      </c>
      <c r="AQ29" t="s">
        <v>74</v>
      </c>
      <c r="AR29" t="s">
        <v>748</v>
      </c>
      <c r="AS29" t="s">
        <v>364</v>
      </c>
      <c r="AT29" t="s">
        <v>98</v>
      </c>
      <c r="AU29">
        <v>2018</v>
      </c>
      <c r="AV29">
        <v>31</v>
      </c>
      <c r="AW29">
        <v>2</v>
      </c>
      <c r="AX29" t="s">
        <v>74</v>
      </c>
      <c r="AY29" t="s">
        <v>74</v>
      </c>
      <c r="AZ29" t="s">
        <v>508</v>
      </c>
      <c r="BA29" t="s">
        <v>74</v>
      </c>
      <c r="BB29">
        <v>11</v>
      </c>
      <c r="BC29">
        <v>15</v>
      </c>
      <c r="BD29" t="s">
        <v>74</v>
      </c>
      <c r="BE29" t="s">
        <v>762</v>
      </c>
      <c r="BF29" t="str">
        <f>HYPERLINK("http://dx.doi.org/10.5670/oceanog.2018.212","http://dx.doi.org/10.5670/oceanog.2018.212")</f>
        <v>http://dx.doi.org/10.5670/oceanog.2018.212</v>
      </c>
      <c r="BG29" t="s">
        <v>74</v>
      </c>
      <c r="BH29" t="s">
        <v>74</v>
      </c>
      <c r="BI29">
        <v>5</v>
      </c>
      <c r="BJ29" t="s">
        <v>364</v>
      </c>
      <c r="BK29" t="s">
        <v>484</v>
      </c>
      <c r="BL29" t="s">
        <v>364</v>
      </c>
      <c r="BM29" t="s">
        <v>763</v>
      </c>
      <c r="BN29" t="s">
        <v>74</v>
      </c>
      <c r="BO29" t="s">
        <v>764</v>
      </c>
      <c r="BP29" t="s">
        <v>74</v>
      </c>
      <c r="BQ29" t="s">
        <v>74</v>
      </c>
      <c r="BR29" t="s">
        <v>105</v>
      </c>
      <c r="BS29" t="s">
        <v>765</v>
      </c>
      <c r="BT29" t="str">
        <f>HYPERLINK("https%3A%2F%2Fwww.webofscience.com%2Fwos%2Fwoscc%2Ffull-record%2FWOS:000452824700003","View Full Record in Web of Science")</f>
        <v>View Full Record in Web of Science</v>
      </c>
    </row>
    <row r="30" spans="1:72" x14ac:dyDescent="0.15">
      <c r="A30" t="s">
        <v>72</v>
      </c>
      <c r="B30" t="s">
        <v>766</v>
      </c>
      <c r="C30" t="s">
        <v>74</v>
      </c>
      <c r="D30" t="s">
        <v>74</v>
      </c>
      <c r="E30" t="s">
        <v>74</v>
      </c>
      <c r="F30" t="s">
        <v>767</v>
      </c>
      <c r="G30" t="s">
        <v>74</v>
      </c>
      <c r="H30" t="s">
        <v>74</v>
      </c>
      <c r="I30" t="s">
        <v>768</v>
      </c>
      <c r="J30" t="s">
        <v>748</v>
      </c>
      <c r="K30" t="s">
        <v>74</v>
      </c>
      <c r="L30" t="s">
        <v>74</v>
      </c>
      <c r="M30" t="s">
        <v>78</v>
      </c>
      <c r="N30" t="s">
        <v>79</v>
      </c>
      <c r="O30" t="s">
        <v>74</v>
      </c>
      <c r="P30" t="s">
        <v>74</v>
      </c>
      <c r="Q30" t="s">
        <v>74</v>
      </c>
      <c r="R30" t="s">
        <v>74</v>
      </c>
      <c r="S30" t="s">
        <v>74</v>
      </c>
      <c r="T30" t="s">
        <v>74</v>
      </c>
      <c r="U30" t="s">
        <v>769</v>
      </c>
      <c r="V30" t="s">
        <v>770</v>
      </c>
      <c r="W30" t="s">
        <v>771</v>
      </c>
      <c r="X30" t="s">
        <v>772</v>
      </c>
      <c r="Y30" t="s">
        <v>773</v>
      </c>
      <c r="Z30" t="s">
        <v>774</v>
      </c>
      <c r="AA30" t="s">
        <v>775</v>
      </c>
      <c r="AB30" t="s">
        <v>776</v>
      </c>
      <c r="AC30" t="s">
        <v>777</v>
      </c>
      <c r="AD30" t="s">
        <v>778</v>
      </c>
      <c r="AE30" t="s">
        <v>779</v>
      </c>
      <c r="AF30" t="s">
        <v>74</v>
      </c>
      <c r="AG30">
        <v>58</v>
      </c>
      <c r="AH30">
        <v>350</v>
      </c>
      <c r="AI30">
        <v>370</v>
      </c>
      <c r="AJ30">
        <v>23</v>
      </c>
      <c r="AK30">
        <v>100</v>
      </c>
      <c r="AL30" t="s">
        <v>758</v>
      </c>
      <c r="AM30" t="s">
        <v>759</v>
      </c>
      <c r="AN30" t="s">
        <v>760</v>
      </c>
      <c r="AO30" t="s">
        <v>761</v>
      </c>
      <c r="AP30" t="s">
        <v>74</v>
      </c>
      <c r="AQ30" t="s">
        <v>74</v>
      </c>
      <c r="AR30" t="s">
        <v>748</v>
      </c>
      <c r="AS30" t="s">
        <v>364</v>
      </c>
      <c r="AT30" t="s">
        <v>98</v>
      </c>
      <c r="AU30">
        <v>2018</v>
      </c>
      <c r="AV30">
        <v>31</v>
      </c>
      <c r="AW30">
        <v>2</v>
      </c>
      <c r="AX30" t="s">
        <v>74</v>
      </c>
      <c r="AY30" t="s">
        <v>74</v>
      </c>
      <c r="AZ30" t="s">
        <v>508</v>
      </c>
      <c r="BA30" t="s">
        <v>74</v>
      </c>
      <c r="BB30">
        <v>162</v>
      </c>
      <c r="BC30">
        <v>173</v>
      </c>
      <c r="BD30" t="s">
        <v>74</v>
      </c>
      <c r="BE30" t="s">
        <v>780</v>
      </c>
      <c r="BF30" t="str">
        <f>HYPERLINK("http://dx.doi.org/10.5670/oceanog.2018.205","http://dx.doi.org/10.5670/oceanog.2018.205")</f>
        <v>http://dx.doi.org/10.5670/oceanog.2018.205</v>
      </c>
      <c r="BG30" t="s">
        <v>74</v>
      </c>
      <c r="BH30" t="s">
        <v>74</v>
      </c>
      <c r="BI30">
        <v>12</v>
      </c>
      <c r="BJ30" t="s">
        <v>364</v>
      </c>
      <c r="BK30" t="s">
        <v>101</v>
      </c>
      <c r="BL30" t="s">
        <v>364</v>
      </c>
      <c r="BM30" t="s">
        <v>763</v>
      </c>
      <c r="BN30" t="s">
        <v>74</v>
      </c>
      <c r="BO30" t="s">
        <v>781</v>
      </c>
      <c r="BP30" t="s">
        <v>555</v>
      </c>
      <c r="BQ30" t="s">
        <v>556</v>
      </c>
      <c r="BR30" t="s">
        <v>105</v>
      </c>
      <c r="BS30" t="s">
        <v>782</v>
      </c>
      <c r="BT30" t="str">
        <f>HYPERLINK("https%3A%2F%2Fwww.webofscience.com%2Fwos%2Fwoscc%2Ffull-record%2FWOS:000452824700023","View Full Record in Web of Science")</f>
        <v>View Full Record in Web of Science</v>
      </c>
    </row>
    <row r="31" spans="1:72" x14ac:dyDescent="0.15">
      <c r="A31" t="s">
        <v>72</v>
      </c>
      <c r="B31" t="s">
        <v>783</v>
      </c>
      <c r="C31" t="s">
        <v>74</v>
      </c>
      <c r="D31" t="s">
        <v>74</v>
      </c>
      <c r="E31" t="s">
        <v>74</v>
      </c>
      <c r="F31" t="s">
        <v>784</v>
      </c>
      <c r="G31" t="s">
        <v>74</v>
      </c>
      <c r="H31" t="s">
        <v>74</v>
      </c>
      <c r="I31" t="s">
        <v>785</v>
      </c>
      <c r="J31" t="s">
        <v>786</v>
      </c>
      <c r="K31" t="s">
        <v>74</v>
      </c>
      <c r="L31" t="s">
        <v>74</v>
      </c>
      <c r="M31" t="s">
        <v>78</v>
      </c>
      <c r="N31" t="s">
        <v>79</v>
      </c>
      <c r="O31" t="s">
        <v>74</v>
      </c>
      <c r="P31" t="s">
        <v>74</v>
      </c>
      <c r="Q31" t="s">
        <v>74</v>
      </c>
      <c r="R31" t="s">
        <v>74</v>
      </c>
      <c r="S31" t="s">
        <v>74</v>
      </c>
      <c r="T31" t="s">
        <v>787</v>
      </c>
      <c r="U31" t="s">
        <v>788</v>
      </c>
      <c r="V31" t="s">
        <v>789</v>
      </c>
      <c r="W31" t="s">
        <v>790</v>
      </c>
      <c r="X31" t="s">
        <v>791</v>
      </c>
      <c r="Y31" t="s">
        <v>792</v>
      </c>
      <c r="Z31" t="s">
        <v>793</v>
      </c>
      <c r="AA31" t="s">
        <v>794</v>
      </c>
      <c r="AB31" t="s">
        <v>795</v>
      </c>
      <c r="AC31" t="s">
        <v>796</v>
      </c>
      <c r="AD31" t="s">
        <v>796</v>
      </c>
      <c r="AE31" t="s">
        <v>797</v>
      </c>
      <c r="AF31" t="s">
        <v>74</v>
      </c>
      <c r="AG31">
        <v>78</v>
      </c>
      <c r="AH31">
        <v>14</v>
      </c>
      <c r="AI31">
        <v>14</v>
      </c>
      <c r="AJ31">
        <v>1</v>
      </c>
      <c r="AK31">
        <v>45</v>
      </c>
      <c r="AL31" t="s">
        <v>451</v>
      </c>
      <c r="AM31" t="s">
        <v>452</v>
      </c>
      <c r="AN31" t="s">
        <v>453</v>
      </c>
      <c r="AO31" t="s">
        <v>798</v>
      </c>
      <c r="AP31" t="s">
        <v>799</v>
      </c>
      <c r="AQ31" t="s">
        <v>74</v>
      </c>
      <c r="AR31" t="s">
        <v>800</v>
      </c>
      <c r="AS31" t="s">
        <v>801</v>
      </c>
      <c r="AT31" t="s">
        <v>98</v>
      </c>
      <c r="AU31">
        <v>2018</v>
      </c>
      <c r="AV31">
        <v>16</v>
      </c>
      <c r="AW31" t="s">
        <v>74</v>
      </c>
      <c r="AX31" t="s">
        <v>74</v>
      </c>
      <c r="AY31" t="s">
        <v>74</v>
      </c>
      <c r="AZ31" t="s">
        <v>74</v>
      </c>
      <c r="BA31" t="s">
        <v>74</v>
      </c>
      <c r="BB31">
        <v>10</v>
      </c>
      <c r="BC31">
        <v>22</v>
      </c>
      <c r="BD31" t="s">
        <v>74</v>
      </c>
      <c r="BE31" t="s">
        <v>802</v>
      </c>
      <c r="BF31" t="str">
        <f>HYPERLINK("http://dx.doi.org/10.1016/j.polar.2018.03.002","http://dx.doi.org/10.1016/j.polar.2018.03.002")</f>
        <v>http://dx.doi.org/10.1016/j.polar.2018.03.002</v>
      </c>
      <c r="BG31" t="s">
        <v>74</v>
      </c>
      <c r="BH31" t="s">
        <v>74</v>
      </c>
      <c r="BI31">
        <v>13</v>
      </c>
      <c r="BJ31" t="s">
        <v>803</v>
      </c>
      <c r="BK31" t="s">
        <v>101</v>
      </c>
      <c r="BL31" t="s">
        <v>804</v>
      </c>
      <c r="BM31" t="s">
        <v>805</v>
      </c>
      <c r="BN31" t="s">
        <v>74</v>
      </c>
      <c r="BO31" t="s">
        <v>341</v>
      </c>
      <c r="BP31" t="s">
        <v>74</v>
      </c>
      <c r="BQ31" t="s">
        <v>74</v>
      </c>
      <c r="BR31" t="s">
        <v>105</v>
      </c>
      <c r="BS31" t="s">
        <v>806</v>
      </c>
      <c r="BT31" t="str">
        <f>HYPERLINK("https%3A%2F%2Fwww.webofscience.com%2Fwos%2Fwoscc%2Ffull-record%2FWOS:000432370700002","View Full Record in Web of Science")</f>
        <v>View Full Record in Web of Science</v>
      </c>
    </row>
    <row r="32" spans="1:72" x14ac:dyDescent="0.15">
      <c r="A32" t="s">
        <v>72</v>
      </c>
      <c r="B32" t="s">
        <v>807</v>
      </c>
      <c r="C32" t="s">
        <v>74</v>
      </c>
      <c r="D32" t="s">
        <v>74</v>
      </c>
      <c r="E32" t="s">
        <v>74</v>
      </c>
      <c r="F32" t="s">
        <v>808</v>
      </c>
      <c r="G32" t="s">
        <v>74</v>
      </c>
      <c r="H32" t="s">
        <v>74</v>
      </c>
      <c r="I32" t="s">
        <v>809</v>
      </c>
      <c r="J32" t="s">
        <v>810</v>
      </c>
      <c r="K32" t="s">
        <v>74</v>
      </c>
      <c r="L32" t="s">
        <v>74</v>
      </c>
      <c r="M32" t="s">
        <v>78</v>
      </c>
      <c r="N32" t="s">
        <v>79</v>
      </c>
      <c r="O32" t="s">
        <v>74</v>
      </c>
      <c r="P32" t="s">
        <v>74</v>
      </c>
      <c r="Q32" t="s">
        <v>74</v>
      </c>
      <c r="R32" t="s">
        <v>74</v>
      </c>
      <c r="S32" t="s">
        <v>74</v>
      </c>
      <c r="T32" t="s">
        <v>811</v>
      </c>
      <c r="U32" t="s">
        <v>812</v>
      </c>
      <c r="V32" t="s">
        <v>813</v>
      </c>
      <c r="W32" t="s">
        <v>814</v>
      </c>
      <c r="X32" t="s">
        <v>815</v>
      </c>
      <c r="Y32" t="s">
        <v>816</v>
      </c>
      <c r="Z32" t="s">
        <v>817</v>
      </c>
      <c r="AA32" t="s">
        <v>818</v>
      </c>
      <c r="AB32" t="s">
        <v>819</v>
      </c>
      <c r="AC32" t="s">
        <v>820</v>
      </c>
      <c r="AD32" t="s">
        <v>821</v>
      </c>
      <c r="AE32" t="s">
        <v>822</v>
      </c>
      <c r="AF32" t="s">
        <v>74</v>
      </c>
      <c r="AG32">
        <v>54</v>
      </c>
      <c r="AH32">
        <v>13</v>
      </c>
      <c r="AI32">
        <v>13</v>
      </c>
      <c r="AJ32">
        <v>0</v>
      </c>
      <c r="AK32">
        <v>18</v>
      </c>
      <c r="AL32" t="s">
        <v>627</v>
      </c>
      <c r="AM32" t="s">
        <v>628</v>
      </c>
      <c r="AN32" t="s">
        <v>629</v>
      </c>
      <c r="AO32" t="s">
        <v>74</v>
      </c>
      <c r="AP32" t="s">
        <v>823</v>
      </c>
      <c r="AQ32" t="s">
        <v>74</v>
      </c>
      <c r="AR32" t="s">
        <v>824</v>
      </c>
      <c r="AS32" t="s">
        <v>825</v>
      </c>
      <c r="AT32" t="s">
        <v>98</v>
      </c>
      <c r="AU32">
        <v>2018</v>
      </c>
      <c r="AV32">
        <v>10</v>
      </c>
      <c r="AW32">
        <v>6</v>
      </c>
      <c r="AX32" t="s">
        <v>74</v>
      </c>
      <c r="AY32" t="s">
        <v>74</v>
      </c>
      <c r="AZ32" t="s">
        <v>74</v>
      </c>
      <c r="BA32" t="s">
        <v>74</v>
      </c>
      <c r="BB32" t="s">
        <v>74</v>
      </c>
      <c r="BC32" t="s">
        <v>74</v>
      </c>
      <c r="BD32">
        <v>956</v>
      </c>
      <c r="BE32" t="s">
        <v>826</v>
      </c>
      <c r="BF32" t="str">
        <f>HYPERLINK("http://dx.doi.org/10.3390/rs10060956","http://dx.doi.org/10.3390/rs10060956")</f>
        <v>http://dx.doi.org/10.3390/rs10060956</v>
      </c>
      <c r="BG32" t="s">
        <v>74</v>
      </c>
      <c r="BH32" t="s">
        <v>74</v>
      </c>
      <c r="BI32">
        <v>12</v>
      </c>
      <c r="BJ32" t="s">
        <v>827</v>
      </c>
      <c r="BK32" t="s">
        <v>101</v>
      </c>
      <c r="BL32" t="s">
        <v>828</v>
      </c>
      <c r="BM32" t="s">
        <v>829</v>
      </c>
      <c r="BN32" t="s">
        <v>74</v>
      </c>
      <c r="BO32" t="s">
        <v>830</v>
      </c>
      <c r="BP32" t="s">
        <v>74</v>
      </c>
      <c r="BQ32" t="s">
        <v>74</v>
      </c>
      <c r="BR32" t="s">
        <v>105</v>
      </c>
      <c r="BS32" t="s">
        <v>831</v>
      </c>
      <c r="BT32" t="str">
        <f>HYPERLINK("https%3A%2F%2Fwww.webofscience.com%2Fwos%2Fwoscc%2Ffull-record%2FWOS:000436561800150","View Full Record in Web of Science")</f>
        <v>View Full Record in Web of Science</v>
      </c>
    </row>
    <row r="33" spans="1:72" x14ac:dyDescent="0.15">
      <c r="A33" t="s">
        <v>72</v>
      </c>
      <c r="B33" t="s">
        <v>832</v>
      </c>
      <c r="C33" t="s">
        <v>74</v>
      </c>
      <c r="D33" t="s">
        <v>74</v>
      </c>
      <c r="E33" t="s">
        <v>74</v>
      </c>
      <c r="F33" t="s">
        <v>833</v>
      </c>
      <c r="G33" t="s">
        <v>74</v>
      </c>
      <c r="H33" t="s">
        <v>74</v>
      </c>
      <c r="I33" t="s">
        <v>834</v>
      </c>
      <c r="J33" t="s">
        <v>810</v>
      </c>
      <c r="K33" t="s">
        <v>74</v>
      </c>
      <c r="L33" t="s">
        <v>74</v>
      </c>
      <c r="M33" t="s">
        <v>78</v>
      </c>
      <c r="N33" t="s">
        <v>79</v>
      </c>
      <c r="O33" t="s">
        <v>74</v>
      </c>
      <c r="P33" t="s">
        <v>74</v>
      </c>
      <c r="Q33" t="s">
        <v>74</v>
      </c>
      <c r="R33" t="s">
        <v>74</v>
      </c>
      <c r="S33" t="s">
        <v>74</v>
      </c>
      <c r="T33" t="s">
        <v>835</v>
      </c>
      <c r="U33" t="s">
        <v>836</v>
      </c>
      <c r="V33" t="s">
        <v>837</v>
      </c>
      <c r="W33" t="s">
        <v>838</v>
      </c>
      <c r="X33" t="s">
        <v>839</v>
      </c>
      <c r="Y33" t="s">
        <v>840</v>
      </c>
      <c r="Z33" t="s">
        <v>841</v>
      </c>
      <c r="AA33" t="s">
        <v>842</v>
      </c>
      <c r="AB33" t="s">
        <v>843</v>
      </c>
      <c r="AC33" t="s">
        <v>844</v>
      </c>
      <c r="AD33" t="s">
        <v>845</v>
      </c>
      <c r="AE33" t="s">
        <v>846</v>
      </c>
      <c r="AF33" t="s">
        <v>74</v>
      </c>
      <c r="AG33">
        <v>49</v>
      </c>
      <c r="AH33">
        <v>43</v>
      </c>
      <c r="AI33">
        <v>43</v>
      </c>
      <c r="AJ33">
        <v>0</v>
      </c>
      <c r="AK33">
        <v>9</v>
      </c>
      <c r="AL33" t="s">
        <v>627</v>
      </c>
      <c r="AM33" t="s">
        <v>628</v>
      </c>
      <c r="AN33" t="s">
        <v>629</v>
      </c>
      <c r="AO33" t="s">
        <v>74</v>
      </c>
      <c r="AP33" t="s">
        <v>823</v>
      </c>
      <c r="AQ33" t="s">
        <v>74</v>
      </c>
      <c r="AR33" t="s">
        <v>824</v>
      </c>
      <c r="AS33" t="s">
        <v>825</v>
      </c>
      <c r="AT33" t="s">
        <v>98</v>
      </c>
      <c r="AU33">
        <v>2018</v>
      </c>
      <c r="AV33">
        <v>10</v>
      </c>
      <c r="AW33">
        <v>6</v>
      </c>
      <c r="AX33" t="s">
        <v>74</v>
      </c>
      <c r="AY33" t="s">
        <v>74</v>
      </c>
      <c r="AZ33" t="s">
        <v>74</v>
      </c>
      <c r="BA33" t="s">
        <v>74</v>
      </c>
      <c r="BB33" t="s">
        <v>74</v>
      </c>
      <c r="BC33" t="s">
        <v>74</v>
      </c>
      <c r="BD33">
        <v>892</v>
      </c>
      <c r="BE33" t="s">
        <v>847</v>
      </c>
      <c r="BF33" t="str">
        <f>HYPERLINK("http://dx.doi.org/10.3390/rs10060892","http://dx.doi.org/10.3390/rs10060892")</f>
        <v>http://dx.doi.org/10.3390/rs10060892</v>
      </c>
      <c r="BG33" t="s">
        <v>74</v>
      </c>
      <c r="BH33" t="s">
        <v>74</v>
      </c>
      <c r="BI33">
        <v>25</v>
      </c>
      <c r="BJ33" t="s">
        <v>827</v>
      </c>
      <c r="BK33" t="s">
        <v>101</v>
      </c>
      <c r="BL33" t="s">
        <v>828</v>
      </c>
      <c r="BM33" t="s">
        <v>829</v>
      </c>
      <c r="BN33" t="s">
        <v>74</v>
      </c>
      <c r="BO33" t="s">
        <v>133</v>
      </c>
      <c r="BP33" t="s">
        <v>74</v>
      </c>
      <c r="BQ33" t="s">
        <v>74</v>
      </c>
      <c r="BR33" t="s">
        <v>105</v>
      </c>
      <c r="BS33" t="s">
        <v>848</v>
      </c>
      <c r="BT33" t="str">
        <f>HYPERLINK("https%3A%2F%2Fwww.webofscience.com%2Fwos%2Fwoscc%2Ffull-record%2FWOS:000436561800086","View Full Record in Web of Science")</f>
        <v>View Full Record in Web of Science</v>
      </c>
    </row>
    <row r="34" spans="1:72" x14ac:dyDescent="0.15">
      <c r="A34" t="s">
        <v>72</v>
      </c>
      <c r="B34" t="s">
        <v>849</v>
      </c>
      <c r="C34" t="s">
        <v>74</v>
      </c>
      <c r="D34" t="s">
        <v>74</v>
      </c>
      <c r="E34" t="s">
        <v>74</v>
      </c>
      <c r="F34" t="s">
        <v>850</v>
      </c>
      <c r="G34" t="s">
        <v>74</v>
      </c>
      <c r="H34" t="s">
        <v>74</v>
      </c>
      <c r="I34" t="s">
        <v>851</v>
      </c>
      <c r="J34" t="s">
        <v>852</v>
      </c>
      <c r="K34" t="s">
        <v>74</v>
      </c>
      <c r="L34" t="s">
        <v>74</v>
      </c>
      <c r="M34" t="s">
        <v>78</v>
      </c>
      <c r="N34" t="s">
        <v>79</v>
      </c>
      <c r="O34" t="s">
        <v>74</v>
      </c>
      <c r="P34" t="s">
        <v>74</v>
      </c>
      <c r="Q34" t="s">
        <v>74</v>
      </c>
      <c r="R34" t="s">
        <v>74</v>
      </c>
      <c r="S34" t="s">
        <v>74</v>
      </c>
      <c r="T34" t="s">
        <v>853</v>
      </c>
      <c r="U34" t="s">
        <v>854</v>
      </c>
      <c r="V34" t="s">
        <v>855</v>
      </c>
      <c r="W34" t="s">
        <v>856</v>
      </c>
      <c r="X34" t="s">
        <v>857</v>
      </c>
      <c r="Y34" t="s">
        <v>858</v>
      </c>
      <c r="Z34" t="s">
        <v>859</v>
      </c>
      <c r="AA34" t="s">
        <v>860</v>
      </c>
      <c r="AB34" t="s">
        <v>861</v>
      </c>
      <c r="AC34" t="s">
        <v>862</v>
      </c>
      <c r="AD34" t="s">
        <v>863</v>
      </c>
      <c r="AE34" t="s">
        <v>864</v>
      </c>
      <c r="AF34" t="s">
        <v>74</v>
      </c>
      <c r="AG34">
        <v>39</v>
      </c>
      <c r="AH34">
        <v>39</v>
      </c>
      <c r="AI34">
        <v>44</v>
      </c>
      <c r="AJ34">
        <v>5</v>
      </c>
      <c r="AK34">
        <v>29</v>
      </c>
      <c r="AL34" t="s">
        <v>865</v>
      </c>
      <c r="AM34" t="s">
        <v>92</v>
      </c>
      <c r="AN34" t="s">
        <v>866</v>
      </c>
      <c r="AO34" t="s">
        <v>867</v>
      </c>
      <c r="AP34" t="s">
        <v>868</v>
      </c>
      <c r="AQ34" t="s">
        <v>74</v>
      </c>
      <c r="AR34" t="s">
        <v>869</v>
      </c>
      <c r="AS34" t="s">
        <v>870</v>
      </c>
      <c r="AT34" t="s">
        <v>129</v>
      </c>
      <c r="AU34">
        <v>2018</v>
      </c>
      <c r="AV34">
        <v>210</v>
      </c>
      <c r="AW34" t="s">
        <v>74</v>
      </c>
      <c r="AX34" t="s">
        <v>74</v>
      </c>
      <c r="AY34" t="s">
        <v>74</v>
      </c>
      <c r="AZ34" t="s">
        <v>74</v>
      </c>
      <c r="BA34" t="s">
        <v>74</v>
      </c>
      <c r="BB34">
        <v>297</v>
      </c>
      <c r="BC34">
        <v>306</v>
      </c>
      <c r="BD34" t="s">
        <v>74</v>
      </c>
      <c r="BE34" t="s">
        <v>871</v>
      </c>
      <c r="BF34" t="str">
        <f>HYPERLINK("http://dx.doi.org/10.1016/j.rse.2018.03.025","http://dx.doi.org/10.1016/j.rse.2018.03.025")</f>
        <v>http://dx.doi.org/10.1016/j.rse.2018.03.025</v>
      </c>
      <c r="BG34" t="s">
        <v>74</v>
      </c>
      <c r="BH34" t="s">
        <v>74</v>
      </c>
      <c r="BI34">
        <v>10</v>
      </c>
      <c r="BJ34" t="s">
        <v>872</v>
      </c>
      <c r="BK34" t="s">
        <v>101</v>
      </c>
      <c r="BL34" t="s">
        <v>873</v>
      </c>
      <c r="BM34" t="s">
        <v>874</v>
      </c>
      <c r="BN34" t="s">
        <v>74</v>
      </c>
      <c r="BO34" t="s">
        <v>74</v>
      </c>
      <c r="BP34" t="s">
        <v>74</v>
      </c>
      <c r="BQ34" t="s">
        <v>74</v>
      </c>
      <c r="BR34" t="s">
        <v>105</v>
      </c>
      <c r="BS34" t="s">
        <v>875</v>
      </c>
      <c r="BT34" t="str">
        <f>HYPERLINK("https%3A%2F%2Fwww.webofscience.com%2Fwos%2Fwoscc%2Ffull-record%2FWOS:000431164300022","View Full Record in Web of Science")</f>
        <v>View Full Record in Web of Science</v>
      </c>
    </row>
    <row r="35" spans="1:72" x14ac:dyDescent="0.15">
      <c r="A35" t="s">
        <v>72</v>
      </c>
      <c r="B35" t="s">
        <v>876</v>
      </c>
      <c r="C35" t="s">
        <v>74</v>
      </c>
      <c r="D35" t="s">
        <v>74</v>
      </c>
      <c r="E35" t="s">
        <v>74</v>
      </c>
      <c r="F35" t="s">
        <v>877</v>
      </c>
      <c r="G35" t="s">
        <v>74</v>
      </c>
      <c r="H35" t="s">
        <v>74</v>
      </c>
      <c r="I35" t="s">
        <v>878</v>
      </c>
      <c r="J35" t="s">
        <v>879</v>
      </c>
      <c r="K35" t="s">
        <v>74</v>
      </c>
      <c r="L35" t="s">
        <v>74</v>
      </c>
      <c r="M35" t="s">
        <v>78</v>
      </c>
      <c r="N35" t="s">
        <v>466</v>
      </c>
      <c r="O35" t="s">
        <v>74</v>
      </c>
      <c r="P35" t="s">
        <v>74</v>
      </c>
      <c r="Q35" t="s">
        <v>74</v>
      </c>
      <c r="R35" t="s">
        <v>74</v>
      </c>
      <c r="S35" t="s">
        <v>74</v>
      </c>
      <c r="T35" t="s">
        <v>74</v>
      </c>
      <c r="U35" t="s">
        <v>880</v>
      </c>
      <c r="V35" t="s">
        <v>881</v>
      </c>
      <c r="W35" t="s">
        <v>882</v>
      </c>
      <c r="X35" t="s">
        <v>883</v>
      </c>
      <c r="Y35" t="s">
        <v>884</v>
      </c>
      <c r="Z35" t="s">
        <v>885</v>
      </c>
      <c r="AA35" t="s">
        <v>886</v>
      </c>
      <c r="AB35" t="s">
        <v>887</v>
      </c>
      <c r="AC35" t="s">
        <v>888</v>
      </c>
      <c r="AD35" t="s">
        <v>889</v>
      </c>
      <c r="AE35" t="s">
        <v>890</v>
      </c>
      <c r="AF35" t="s">
        <v>74</v>
      </c>
      <c r="AG35">
        <v>341</v>
      </c>
      <c r="AH35">
        <v>56</v>
      </c>
      <c r="AI35">
        <v>58</v>
      </c>
      <c r="AJ35">
        <v>4</v>
      </c>
      <c r="AK35">
        <v>59</v>
      </c>
      <c r="AL35" t="s">
        <v>574</v>
      </c>
      <c r="AM35" t="s">
        <v>575</v>
      </c>
      <c r="AN35" t="s">
        <v>576</v>
      </c>
      <c r="AO35" t="s">
        <v>891</v>
      </c>
      <c r="AP35" t="s">
        <v>892</v>
      </c>
      <c r="AQ35" t="s">
        <v>74</v>
      </c>
      <c r="AR35" t="s">
        <v>893</v>
      </c>
      <c r="AS35" t="s">
        <v>894</v>
      </c>
      <c r="AT35" t="s">
        <v>98</v>
      </c>
      <c r="AU35">
        <v>2018</v>
      </c>
      <c r="AV35">
        <v>56</v>
      </c>
      <c r="AW35">
        <v>2</v>
      </c>
      <c r="AX35" t="s">
        <v>74</v>
      </c>
      <c r="AY35" t="s">
        <v>74</v>
      </c>
      <c r="AZ35" t="s">
        <v>74</v>
      </c>
      <c r="BA35" t="s">
        <v>74</v>
      </c>
      <c r="BB35">
        <v>361</v>
      </c>
      <c r="BC35">
        <v>408</v>
      </c>
      <c r="BD35" t="s">
        <v>74</v>
      </c>
      <c r="BE35" t="s">
        <v>895</v>
      </c>
      <c r="BF35" t="str">
        <f>HYPERLINK("http://dx.doi.org/10.1029/2018RG000600","http://dx.doi.org/10.1029/2018RG000600")</f>
        <v>http://dx.doi.org/10.1029/2018RG000600</v>
      </c>
      <c r="BG35" t="s">
        <v>74</v>
      </c>
      <c r="BH35" t="s">
        <v>74</v>
      </c>
      <c r="BI35">
        <v>48</v>
      </c>
      <c r="BJ35" t="s">
        <v>260</v>
      </c>
      <c r="BK35" t="s">
        <v>101</v>
      </c>
      <c r="BL35" t="s">
        <v>260</v>
      </c>
      <c r="BM35" t="s">
        <v>896</v>
      </c>
      <c r="BN35" t="s">
        <v>74</v>
      </c>
      <c r="BO35" t="s">
        <v>162</v>
      </c>
      <c r="BP35" t="s">
        <v>74</v>
      </c>
      <c r="BQ35" t="s">
        <v>74</v>
      </c>
      <c r="BR35" t="s">
        <v>105</v>
      </c>
      <c r="BS35" t="s">
        <v>897</v>
      </c>
      <c r="BT35" t="str">
        <f>HYPERLINK("https%3A%2F%2Fwww.webofscience.com%2Fwos%2Fwoscc%2Ffull-record%2FWOS:000439873600003","View Full Record in Web of Science")</f>
        <v>View Full Record in Web of Science</v>
      </c>
    </row>
    <row r="36" spans="1:72" x14ac:dyDescent="0.15">
      <c r="A36" t="s">
        <v>72</v>
      </c>
      <c r="B36" t="s">
        <v>898</v>
      </c>
      <c r="C36" t="s">
        <v>74</v>
      </c>
      <c r="D36" t="s">
        <v>74</v>
      </c>
      <c r="E36" t="s">
        <v>74</v>
      </c>
      <c r="F36" t="s">
        <v>899</v>
      </c>
      <c r="G36" t="s">
        <v>74</v>
      </c>
      <c r="H36" t="s">
        <v>74</v>
      </c>
      <c r="I36" t="s">
        <v>900</v>
      </c>
      <c r="J36" t="s">
        <v>901</v>
      </c>
      <c r="K36" t="s">
        <v>74</v>
      </c>
      <c r="L36" t="s">
        <v>74</v>
      </c>
      <c r="M36" t="s">
        <v>78</v>
      </c>
      <c r="N36" t="s">
        <v>79</v>
      </c>
      <c r="O36" t="s">
        <v>74</v>
      </c>
      <c r="P36" t="s">
        <v>74</v>
      </c>
      <c r="Q36" t="s">
        <v>74</v>
      </c>
      <c r="R36" t="s">
        <v>74</v>
      </c>
      <c r="S36" t="s">
        <v>74</v>
      </c>
      <c r="T36" t="s">
        <v>902</v>
      </c>
      <c r="U36" t="s">
        <v>903</v>
      </c>
      <c r="V36" t="s">
        <v>904</v>
      </c>
      <c r="W36" t="s">
        <v>905</v>
      </c>
      <c r="X36" t="s">
        <v>906</v>
      </c>
      <c r="Y36" t="s">
        <v>907</v>
      </c>
      <c r="Z36" t="s">
        <v>908</v>
      </c>
      <c r="AA36" t="s">
        <v>909</v>
      </c>
      <c r="AB36" t="s">
        <v>910</v>
      </c>
      <c r="AC36" t="s">
        <v>911</v>
      </c>
      <c r="AD36" t="s">
        <v>912</v>
      </c>
      <c r="AE36" t="s">
        <v>913</v>
      </c>
      <c r="AF36" t="s">
        <v>74</v>
      </c>
      <c r="AG36">
        <v>100</v>
      </c>
      <c r="AH36">
        <v>26</v>
      </c>
      <c r="AI36">
        <v>27</v>
      </c>
      <c r="AJ36">
        <v>0</v>
      </c>
      <c r="AK36">
        <v>41</v>
      </c>
      <c r="AL36" t="s">
        <v>914</v>
      </c>
      <c r="AM36" t="s">
        <v>452</v>
      </c>
      <c r="AN36" t="s">
        <v>915</v>
      </c>
      <c r="AO36" t="s">
        <v>916</v>
      </c>
      <c r="AP36" t="s">
        <v>917</v>
      </c>
      <c r="AQ36" t="s">
        <v>74</v>
      </c>
      <c r="AR36" t="s">
        <v>918</v>
      </c>
      <c r="AS36" t="s">
        <v>919</v>
      </c>
      <c r="AT36" t="s">
        <v>129</v>
      </c>
      <c r="AU36">
        <v>2018</v>
      </c>
      <c r="AV36">
        <v>626</v>
      </c>
      <c r="AW36" t="s">
        <v>74</v>
      </c>
      <c r="AX36" t="s">
        <v>74</v>
      </c>
      <c r="AY36" t="s">
        <v>74</v>
      </c>
      <c r="AZ36" t="s">
        <v>74</v>
      </c>
      <c r="BA36" t="s">
        <v>74</v>
      </c>
      <c r="BB36">
        <v>384</v>
      </c>
      <c r="BC36">
        <v>398</v>
      </c>
      <c r="BD36" t="s">
        <v>74</v>
      </c>
      <c r="BE36" t="s">
        <v>920</v>
      </c>
      <c r="BF36" t="str">
        <f>HYPERLINK("http://dx.doi.org/10.1016/j.scitotenv.2018.01.009","http://dx.doi.org/10.1016/j.scitotenv.2018.01.009")</f>
        <v>http://dx.doi.org/10.1016/j.scitotenv.2018.01.009</v>
      </c>
      <c r="BG36" t="s">
        <v>74</v>
      </c>
      <c r="BH36" t="s">
        <v>74</v>
      </c>
      <c r="BI36">
        <v>15</v>
      </c>
      <c r="BJ36" t="s">
        <v>921</v>
      </c>
      <c r="BK36" t="s">
        <v>484</v>
      </c>
      <c r="BL36" t="s">
        <v>315</v>
      </c>
      <c r="BM36" t="s">
        <v>922</v>
      </c>
      <c r="BN36">
        <v>29353784</v>
      </c>
      <c r="BO36" t="s">
        <v>104</v>
      </c>
      <c r="BP36" t="s">
        <v>74</v>
      </c>
      <c r="BQ36" t="s">
        <v>74</v>
      </c>
      <c r="BR36" t="s">
        <v>105</v>
      </c>
      <c r="BS36" t="s">
        <v>923</v>
      </c>
      <c r="BT36" t="str">
        <f>HYPERLINK("https%3A%2F%2Fwww.webofscience.com%2Fwos%2Fwoscc%2Ffull-record%2FWOS:000428194000039","View Full Record in Web of Science")</f>
        <v>View Full Record in Web of Science</v>
      </c>
    </row>
    <row r="37" spans="1:72" x14ac:dyDescent="0.15">
      <c r="A37" t="s">
        <v>72</v>
      </c>
      <c r="B37" t="s">
        <v>924</v>
      </c>
      <c r="C37" t="s">
        <v>74</v>
      </c>
      <c r="D37" t="s">
        <v>74</v>
      </c>
      <c r="E37" t="s">
        <v>74</v>
      </c>
      <c r="F37" t="s">
        <v>925</v>
      </c>
      <c r="G37" t="s">
        <v>74</v>
      </c>
      <c r="H37" t="s">
        <v>74</v>
      </c>
      <c r="I37" t="s">
        <v>926</v>
      </c>
      <c r="J37" t="s">
        <v>927</v>
      </c>
      <c r="K37" t="s">
        <v>74</v>
      </c>
      <c r="L37" t="s">
        <v>74</v>
      </c>
      <c r="M37" t="s">
        <v>78</v>
      </c>
      <c r="N37" t="s">
        <v>79</v>
      </c>
      <c r="O37" t="s">
        <v>74</v>
      </c>
      <c r="P37" t="s">
        <v>74</v>
      </c>
      <c r="Q37" t="s">
        <v>74</v>
      </c>
      <c r="R37" t="s">
        <v>74</v>
      </c>
      <c r="S37" t="s">
        <v>74</v>
      </c>
      <c r="T37" t="s">
        <v>928</v>
      </c>
      <c r="U37" t="s">
        <v>929</v>
      </c>
      <c r="V37" t="s">
        <v>930</v>
      </c>
      <c r="W37" t="s">
        <v>931</v>
      </c>
      <c r="X37" t="s">
        <v>932</v>
      </c>
      <c r="Y37" t="s">
        <v>933</v>
      </c>
      <c r="Z37" t="s">
        <v>934</v>
      </c>
      <c r="AA37" t="s">
        <v>935</v>
      </c>
      <c r="AB37" t="s">
        <v>936</v>
      </c>
      <c r="AC37" t="s">
        <v>937</v>
      </c>
      <c r="AD37" t="s">
        <v>938</v>
      </c>
      <c r="AE37" t="s">
        <v>939</v>
      </c>
      <c r="AF37" t="s">
        <v>74</v>
      </c>
      <c r="AG37">
        <v>65</v>
      </c>
      <c r="AH37">
        <v>10</v>
      </c>
      <c r="AI37">
        <v>12</v>
      </c>
      <c r="AJ37">
        <v>2</v>
      </c>
      <c r="AK37">
        <v>25</v>
      </c>
      <c r="AL37" t="s">
        <v>914</v>
      </c>
      <c r="AM37" t="s">
        <v>452</v>
      </c>
      <c r="AN37" t="s">
        <v>915</v>
      </c>
      <c r="AO37" t="s">
        <v>940</v>
      </c>
      <c r="AP37" t="s">
        <v>941</v>
      </c>
      <c r="AQ37" t="s">
        <v>74</v>
      </c>
      <c r="AR37" t="s">
        <v>942</v>
      </c>
      <c r="AS37" t="s">
        <v>943</v>
      </c>
      <c r="AT37" t="s">
        <v>129</v>
      </c>
      <c r="AU37">
        <v>2018</v>
      </c>
      <c r="AV37">
        <v>491</v>
      </c>
      <c r="AW37" t="s">
        <v>74</v>
      </c>
      <c r="AX37" t="s">
        <v>74</v>
      </c>
      <c r="AY37" t="s">
        <v>74</v>
      </c>
      <c r="AZ37" t="s">
        <v>74</v>
      </c>
      <c r="BA37" t="s">
        <v>74</v>
      </c>
      <c r="BB37">
        <v>48</v>
      </c>
      <c r="BC37">
        <v>57</v>
      </c>
      <c r="BD37" t="s">
        <v>74</v>
      </c>
      <c r="BE37" t="s">
        <v>944</v>
      </c>
      <c r="BF37" t="str">
        <f>HYPERLINK("http://dx.doi.org/10.1016/j.epsl.2018.03.036","http://dx.doi.org/10.1016/j.epsl.2018.03.036")</f>
        <v>http://dx.doi.org/10.1016/j.epsl.2018.03.036</v>
      </c>
      <c r="BG37" t="s">
        <v>74</v>
      </c>
      <c r="BH37" t="s">
        <v>74</v>
      </c>
      <c r="BI37">
        <v>10</v>
      </c>
      <c r="BJ37" t="s">
        <v>260</v>
      </c>
      <c r="BK37" t="s">
        <v>101</v>
      </c>
      <c r="BL37" t="s">
        <v>260</v>
      </c>
      <c r="BM37" t="s">
        <v>945</v>
      </c>
      <c r="BN37" t="s">
        <v>74</v>
      </c>
      <c r="BO37" t="s">
        <v>946</v>
      </c>
      <c r="BP37" t="s">
        <v>74</v>
      </c>
      <c r="BQ37" t="s">
        <v>74</v>
      </c>
      <c r="BR37" t="s">
        <v>105</v>
      </c>
      <c r="BS37" t="s">
        <v>947</v>
      </c>
      <c r="BT37" t="str">
        <f>HYPERLINK("https%3A%2F%2Fwww.webofscience.com%2Fwos%2Fwoscc%2Ffull-record%2FWOS:000432499200006","View Full Record in Web of Science")</f>
        <v>View Full Record in Web of Science</v>
      </c>
    </row>
    <row r="38" spans="1:72" x14ac:dyDescent="0.15">
      <c r="A38" t="s">
        <v>72</v>
      </c>
      <c r="B38" t="s">
        <v>948</v>
      </c>
      <c r="C38" t="s">
        <v>74</v>
      </c>
      <c r="D38" t="s">
        <v>74</v>
      </c>
      <c r="E38" t="s">
        <v>74</v>
      </c>
      <c r="F38" t="s">
        <v>949</v>
      </c>
      <c r="G38" t="s">
        <v>74</v>
      </c>
      <c r="H38" t="s">
        <v>74</v>
      </c>
      <c r="I38" t="s">
        <v>950</v>
      </c>
      <c r="J38" t="s">
        <v>786</v>
      </c>
      <c r="K38" t="s">
        <v>74</v>
      </c>
      <c r="L38" t="s">
        <v>74</v>
      </c>
      <c r="M38" t="s">
        <v>78</v>
      </c>
      <c r="N38" t="s">
        <v>79</v>
      </c>
      <c r="O38" t="s">
        <v>74</v>
      </c>
      <c r="P38" t="s">
        <v>74</v>
      </c>
      <c r="Q38" t="s">
        <v>74</v>
      </c>
      <c r="R38" t="s">
        <v>74</v>
      </c>
      <c r="S38" t="s">
        <v>74</v>
      </c>
      <c r="T38" t="s">
        <v>951</v>
      </c>
      <c r="U38" t="s">
        <v>952</v>
      </c>
      <c r="V38" t="s">
        <v>953</v>
      </c>
      <c r="W38" t="s">
        <v>954</v>
      </c>
      <c r="X38" t="s">
        <v>955</v>
      </c>
      <c r="Y38" t="s">
        <v>956</v>
      </c>
      <c r="Z38" t="s">
        <v>957</v>
      </c>
      <c r="AA38" t="s">
        <v>958</v>
      </c>
      <c r="AB38" t="s">
        <v>959</v>
      </c>
      <c r="AC38" t="s">
        <v>960</v>
      </c>
      <c r="AD38" t="s">
        <v>961</v>
      </c>
      <c r="AE38" t="s">
        <v>962</v>
      </c>
      <c r="AF38" t="s">
        <v>74</v>
      </c>
      <c r="AG38">
        <v>187</v>
      </c>
      <c r="AH38">
        <v>67</v>
      </c>
      <c r="AI38">
        <v>69</v>
      </c>
      <c r="AJ38">
        <v>1</v>
      </c>
      <c r="AK38">
        <v>39</v>
      </c>
      <c r="AL38" t="s">
        <v>451</v>
      </c>
      <c r="AM38" t="s">
        <v>452</v>
      </c>
      <c r="AN38" t="s">
        <v>453</v>
      </c>
      <c r="AO38" t="s">
        <v>798</v>
      </c>
      <c r="AP38" t="s">
        <v>799</v>
      </c>
      <c r="AQ38" t="s">
        <v>74</v>
      </c>
      <c r="AR38" t="s">
        <v>800</v>
      </c>
      <c r="AS38" t="s">
        <v>801</v>
      </c>
      <c r="AT38" t="s">
        <v>98</v>
      </c>
      <c r="AU38">
        <v>2018</v>
      </c>
      <c r="AV38">
        <v>16</v>
      </c>
      <c r="AW38" t="s">
        <v>74</v>
      </c>
      <c r="AX38" t="s">
        <v>74</v>
      </c>
      <c r="AY38" t="s">
        <v>74</v>
      </c>
      <c r="AZ38" t="s">
        <v>74</v>
      </c>
      <c r="BA38" t="s">
        <v>74</v>
      </c>
      <c r="BB38">
        <v>23</v>
      </c>
      <c r="BC38">
        <v>46</v>
      </c>
      <c r="BD38" t="s">
        <v>74</v>
      </c>
      <c r="BE38" t="s">
        <v>963</v>
      </c>
      <c r="BF38" t="str">
        <f>HYPERLINK("http://dx.doi.org/10.1016/j.polar.2018.02.004","http://dx.doi.org/10.1016/j.polar.2018.02.004")</f>
        <v>http://dx.doi.org/10.1016/j.polar.2018.02.004</v>
      </c>
      <c r="BG38" t="s">
        <v>74</v>
      </c>
      <c r="BH38" t="s">
        <v>74</v>
      </c>
      <c r="BI38">
        <v>24</v>
      </c>
      <c r="BJ38" t="s">
        <v>803</v>
      </c>
      <c r="BK38" t="s">
        <v>101</v>
      </c>
      <c r="BL38" t="s">
        <v>804</v>
      </c>
      <c r="BM38" t="s">
        <v>805</v>
      </c>
      <c r="BN38" t="s">
        <v>74</v>
      </c>
      <c r="BO38" t="s">
        <v>74</v>
      </c>
      <c r="BP38" t="s">
        <v>74</v>
      </c>
      <c r="BQ38" t="s">
        <v>74</v>
      </c>
      <c r="BR38" t="s">
        <v>105</v>
      </c>
      <c r="BS38" t="s">
        <v>964</v>
      </c>
      <c r="BT38" t="str">
        <f>HYPERLINK("https%3A%2F%2Fwww.webofscience.com%2Fwos%2Fwoscc%2Ffull-record%2FWOS:000432370700003","View Full Record in Web of Science")</f>
        <v>View Full Record in Web of Science</v>
      </c>
    </row>
    <row r="39" spans="1:72" x14ac:dyDescent="0.15">
      <c r="A39" t="s">
        <v>72</v>
      </c>
      <c r="B39" t="s">
        <v>965</v>
      </c>
      <c r="C39" t="s">
        <v>74</v>
      </c>
      <c r="D39" t="s">
        <v>74</v>
      </c>
      <c r="E39" t="s">
        <v>74</v>
      </c>
      <c r="F39" t="s">
        <v>966</v>
      </c>
      <c r="G39" t="s">
        <v>74</v>
      </c>
      <c r="H39" t="s">
        <v>74</v>
      </c>
      <c r="I39" t="s">
        <v>967</v>
      </c>
      <c r="J39" t="s">
        <v>786</v>
      </c>
      <c r="K39" t="s">
        <v>74</v>
      </c>
      <c r="L39" t="s">
        <v>74</v>
      </c>
      <c r="M39" t="s">
        <v>78</v>
      </c>
      <c r="N39" t="s">
        <v>79</v>
      </c>
      <c r="O39" t="s">
        <v>74</v>
      </c>
      <c r="P39" t="s">
        <v>74</v>
      </c>
      <c r="Q39" t="s">
        <v>74</v>
      </c>
      <c r="R39" t="s">
        <v>74</v>
      </c>
      <c r="S39" t="s">
        <v>74</v>
      </c>
      <c r="T39" t="s">
        <v>968</v>
      </c>
      <c r="U39" t="s">
        <v>969</v>
      </c>
      <c r="V39" t="s">
        <v>970</v>
      </c>
      <c r="W39" t="s">
        <v>971</v>
      </c>
      <c r="X39" t="s">
        <v>972</v>
      </c>
      <c r="Y39" t="s">
        <v>973</v>
      </c>
      <c r="Z39" t="s">
        <v>974</v>
      </c>
      <c r="AA39" t="s">
        <v>74</v>
      </c>
      <c r="AB39" t="s">
        <v>975</v>
      </c>
      <c r="AC39" t="s">
        <v>976</v>
      </c>
      <c r="AD39" t="s">
        <v>977</v>
      </c>
      <c r="AE39" t="s">
        <v>978</v>
      </c>
      <c r="AF39" t="s">
        <v>74</v>
      </c>
      <c r="AG39">
        <v>40</v>
      </c>
      <c r="AH39">
        <v>12</v>
      </c>
      <c r="AI39">
        <v>13</v>
      </c>
      <c r="AJ39">
        <v>0</v>
      </c>
      <c r="AK39">
        <v>21</v>
      </c>
      <c r="AL39" t="s">
        <v>914</v>
      </c>
      <c r="AM39" t="s">
        <v>452</v>
      </c>
      <c r="AN39" t="s">
        <v>915</v>
      </c>
      <c r="AO39" t="s">
        <v>798</v>
      </c>
      <c r="AP39" t="s">
        <v>799</v>
      </c>
      <c r="AQ39" t="s">
        <v>74</v>
      </c>
      <c r="AR39" t="s">
        <v>800</v>
      </c>
      <c r="AS39" t="s">
        <v>801</v>
      </c>
      <c r="AT39" t="s">
        <v>98</v>
      </c>
      <c r="AU39">
        <v>2018</v>
      </c>
      <c r="AV39">
        <v>16</v>
      </c>
      <c r="AW39" t="s">
        <v>74</v>
      </c>
      <c r="AX39" t="s">
        <v>74</v>
      </c>
      <c r="AY39" t="s">
        <v>74</v>
      </c>
      <c r="AZ39" t="s">
        <v>74</v>
      </c>
      <c r="BA39" t="s">
        <v>74</v>
      </c>
      <c r="BB39">
        <v>47</v>
      </c>
      <c r="BC39">
        <v>58</v>
      </c>
      <c r="BD39" t="s">
        <v>74</v>
      </c>
      <c r="BE39" t="s">
        <v>979</v>
      </c>
      <c r="BF39" t="str">
        <f>HYPERLINK("http://dx.doi.org/10.1016/j.polar.2018.02.003","http://dx.doi.org/10.1016/j.polar.2018.02.003")</f>
        <v>http://dx.doi.org/10.1016/j.polar.2018.02.003</v>
      </c>
      <c r="BG39" t="s">
        <v>74</v>
      </c>
      <c r="BH39" t="s">
        <v>74</v>
      </c>
      <c r="BI39">
        <v>12</v>
      </c>
      <c r="BJ39" t="s">
        <v>803</v>
      </c>
      <c r="BK39" t="s">
        <v>101</v>
      </c>
      <c r="BL39" t="s">
        <v>804</v>
      </c>
      <c r="BM39" t="s">
        <v>805</v>
      </c>
      <c r="BN39" t="s">
        <v>74</v>
      </c>
      <c r="BO39" t="s">
        <v>980</v>
      </c>
      <c r="BP39" t="s">
        <v>74</v>
      </c>
      <c r="BQ39" t="s">
        <v>74</v>
      </c>
      <c r="BR39" t="s">
        <v>105</v>
      </c>
      <c r="BS39" t="s">
        <v>981</v>
      </c>
      <c r="BT39" t="str">
        <f>HYPERLINK("https%3A%2F%2Fwww.webofscience.com%2Fwos%2Fwoscc%2Ffull-record%2FWOS:000432370700004","View Full Record in Web of Science")</f>
        <v>View Full Record in Web of Science</v>
      </c>
    </row>
    <row r="40" spans="1:72" x14ac:dyDescent="0.15">
      <c r="A40" t="s">
        <v>72</v>
      </c>
      <c r="B40" t="s">
        <v>982</v>
      </c>
      <c r="C40" t="s">
        <v>74</v>
      </c>
      <c r="D40" t="s">
        <v>74</v>
      </c>
      <c r="E40" t="s">
        <v>74</v>
      </c>
      <c r="F40" t="s">
        <v>983</v>
      </c>
      <c r="G40" t="s">
        <v>74</v>
      </c>
      <c r="H40" t="s">
        <v>74</v>
      </c>
      <c r="I40" t="s">
        <v>984</v>
      </c>
      <c r="J40" t="s">
        <v>786</v>
      </c>
      <c r="K40" t="s">
        <v>74</v>
      </c>
      <c r="L40" t="s">
        <v>74</v>
      </c>
      <c r="M40" t="s">
        <v>78</v>
      </c>
      <c r="N40" t="s">
        <v>79</v>
      </c>
      <c r="O40" t="s">
        <v>74</v>
      </c>
      <c r="P40" t="s">
        <v>74</v>
      </c>
      <c r="Q40" t="s">
        <v>74</v>
      </c>
      <c r="R40" t="s">
        <v>74</v>
      </c>
      <c r="S40" t="s">
        <v>74</v>
      </c>
      <c r="T40" t="s">
        <v>985</v>
      </c>
      <c r="U40" t="s">
        <v>986</v>
      </c>
      <c r="V40" t="s">
        <v>987</v>
      </c>
      <c r="W40" t="s">
        <v>988</v>
      </c>
      <c r="X40" t="s">
        <v>989</v>
      </c>
      <c r="Y40" t="s">
        <v>990</v>
      </c>
      <c r="Z40" t="s">
        <v>991</v>
      </c>
      <c r="AA40" t="s">
        <v>992</v>
      </c>
      <c r="AB40" t="s">
        <v>993</v>
      </c>
      <c r="AC40" t="s">
        <v>74</v>
      </c>
      <c r="AD40" t="s">
        <v>74</v>
      </c>
      <c r="AE40" t="s">
        <v>74</v>
      </c>
      <c r="AF40" t="s">
        <v>74</v>
      </c>
      <c r="AG40">
        <v>29</v>
      </c>
      <c r="AH40">
        <v>0</v>
      </c>
      <c r="AI40">
        <v>1</v>
      </c>
      <c r="AJ40">
        <v>0</v>
      </c>
      <c r="AK40">
        <v>7</v>
      </c>
      <c r="AL40" t="s">
        <v>914</v>
      </c>
      <c r="AM40" t="s">
        <v>452</v>
      </c>
      <c r="AN40" t="s">
        <v>915</v>
      </c>
      <c r="AO40" t="s">
        <v>798</v>
      </c>
      <c r="AP40" t="s">
        <v>799</v>
      </c>
      <c r="AQ40" t="s">
        <v>74</v>
      </c>
      <c r="AR40" t="s">
        <v>800</v>
      </c>
      <c r="AS40" t="s">
        <v>801</v>
      </c>
      <c r="AT40" t="s">
        <v>98</v>
      </c>
      <c r="AU40">
        <v>2018</v>
      </c>
      <c r="AV40">
        <v>16</v>
      </c>
      <c r="AW40" t="s">
        <v>74</v>
      </c>
      <c r="AX40" t="s">
        <v>74</v>
      </c>
      <c r="AY40" t="s">
        <v>74</v>
      </c>
      <c r="AZ40" t="s">
        <v>74</v>
      </c>
      <c r="BA40" t="s">
        <v>74</v>
      </c>
      <c r="BB40">
        <v>68</v>
      </c>
      <c r="BC40">
        <v>77</v>
      </c>
      <c r="BD40" t="s">
        <v>74</v>
      </c>
      <c r="BE40" t="s">
        <v>994</v>
      </c>
      <c r="BF40" t="str">
        <f>HYPERLINK("http://dx.doi.org/10.1016/j.polar.2018.02.005","http://dx.doi.org/10.1016/j.polar.2018.02.005")</f>
        <v>http://dx.doi.org/10.1016/j.polar.2018.02.005</v>
      </c>
      <c r="BG40" t="s">
        <v>74</v>
      </c>
      <c r="BH40" t="s">
        <v>74</v>
      </c>
      <c r="BI40">
        <v>10</v>
      </c>
      <c r="BJ40" t="s">
        <v>803</v>
      </c>
      <c r="BK40" t="s">
        <v>101</v>
      </c>
      <c r="BL40" t="s">
        <v>804</v>
      </c>
      <c r="BM40" t="s">
        <v>805</v>
      </c>
      <c r="BN40" t="s">
        <v>74</v>
      </c>
      <c r="BO40" t="s">
        <v>341</v>
      </c>
      <c r="BP40" t="s">
        <v>74</v>
      </c>
      <c r="BQ40" t="s">
        <v>74</v>
      </c>
      <c r="BR40" t="s">
        <v>105</v>
      </c>
      <c r="BS40" t="s">
        <v>995</v>
      </c>
      <c r="BT40" t="str">
        <f>HYPERLINK("https%3A%2F%2Fwww.webofscience.com%2Fwos%2Fwoscc%2Ffull-record%2FWOS:000432370700006","View Full Record in Web of Science")</f>
        <v>View Full Record in Web of Science</v>
      </c>
    </row>
    <row r="41" spans="1:72" x14ac:dyDescent="0.15">
      <c r="A41" t="s">
        <v>72</v>
      </c>
      <c r="B41" t="s">
        <v>996</v>
      </c>
      <c r="C41" t="s">
        <v>74</v>
      </c>
      <c r="D41" t="s">
        <v>74</v>
      </c>
      <c r="E41" t="s">
        <v>74</v>
      </c>
      <c r="F41" t="s">
        <v>997</v>
      </c>
      <c r="G41" t="s">
        <v>74</v>
      </c>
      <c r="H41" t="s">
        <v>74</v>
      </c>
      <c r="I41" t="s">
        <v>998</v>
      </c>
      <c r="J41" t="s">
        <v>370</v>
      </c>
      <c r="K41" t="s">
        <v>74</v>
      </c>
      <c r="L41" t="s">
        <v>74</v>
      </c>
      <c r="M41" t="s">
        <v>78</v>
      </c>
      <c r="N41" t="s">
        <v>999</v>
      </c>
      <c r="O41" t="s">
        <v>74</v>
      </c>
      <c r="P41" t="s">
        <v>74</v>
      </c>
      <c r="Q41" t="s">
        <v>74</v>
      </c>
      <c r="R41" t="s">
        <v>74</v>
      </c>
      <c r="S41" t="s">
        <v>74</v>
      </c>
      <c r="T41" t="s">
        <v>1000</v>
      </c>
      <c r="U41" t="s">
        <v>74</v>
      </c>
      <c r="V41" t="s">
        <v>74</v>
      </c>
      <c r="W41" t="s">
        <v>74</v>
      </c>
      <c r="X41" t="s">
        <v>74</v>
      </c>
      <c r="Y41" t="s">
        <v>74</v>
      </c>
      <c r="Z41" t="s">
        <v>74</v>
      </c>
      <c r="AA41" t="s">
        <v>1001</v>
      </c>
      <c r="AB41" t="s">
        <v>1002</v>
      </c>
      <c r="AC41" t="s">
        <v>74</v>
      </c>
      <c r="AD41" t="s">
        <v>74</v>
      </c>
      <c r="AE41" t="s">
        <v>74</v>
      </c>
      <c r="AF41" t="s">
        <v>74</v>
      </c>
      <c r="AG41">
        <v>1</v>
      </c>
      <c r="AH41">
        <v>0</v>
      </c>
      <c r="AI41">
        <v>0</v>
      </c>
      <c r="AJ41">
        <v>0</v>
      </c>
      <c r="AK41">
        <v>5</v>
      </c>
      <c r="AL41" t="s">
        <v>372</v>
      </c>
      <c r="AM41" t="s">
        <v>92</v>
      </c>
      <c r="AN41" t="s">
        <v>373</v>
      </c>
      <c r="AO41" t="s">
        <v>374</v>
      </c>
      <c r="AP41" t="s">
        <v>375</v>
      </c>
      <c r="AQ41" t="s">
        <v>74</v>
      </c>
      <c r="AR41" t="s">
        <v>376</v>
      </c>
      <c r="AS41" t="s">
        <v>377</v>
      </c>
      <c r="AT41" t="s">
        <v>98</v>
      </c>
      <c r="AU41">
        <v>2018</v>
      </c>
      <c r="AV41">
        <v>30</v>
      </c>
      <c r="AW41">
        <v>3</v>
      </c>
      <c r="AX41" t="s">
        <v>74</v>
      </c>
      <c r="AY41" t="s">
        <v>74</v>
      </c>
      <c r="AZ41" t="s">
        <v>74</v>
      </c>
      <c r="BA41" t="s">
        <v>74</v>
      </c>
      <c r="BB41">
        <v>149</v>
      </c>
      <c r="BC41">
        <v>149</v>
      </c>
      <c r="BD41" t="s">
        <v>74</v>
      </c>
      <c r="BE41" t="s">
        <v>1003</v>
      </c>
      <c r="BF41" t="str">
        <f>HYPERLINK("http://dx.doi.org/10.1017/S0954102018000111","http://dx.doi.org/10.1017/S0954102018000111")</f>
        <v>http://dx.doi.org/10.1017/S0954102018000111</v>
      </c>
      <c r="BG41" t="s">
        <v>74</v>
      </c>
      <c r="BH41" t="s">
        <v>74</v>
      </c>
      <c r="BI41">
        <v>1</v>
      </c>
      <c r="BJ41" t="s">
        <v>379</v>
      </c>
      <c r="BK41" t="s">
        <v>101</v>
      </c>
      <c r="BL41" t="s">
        <v>380</v>
      </c>
      <c r="BM41" t="s">
        <v>381</v>
      </c>
      <c r="BN41" t="s">
        <v>74</v>
      </c>
      <c r="BO41" t="s">
        <v>162</v>
      </c>
      <c r="BP41" t="s">
        <v>74</v>
      </c>
      <c r="BQ41" t="s">
        <v>74</v>
      </c>
      <c r="BR41" t="s">
        <v>105</v>
      </c>
      <c r="BS41" t="s">
        <v>1004</v>
      </c>
      <c r="BT41" t="str">
        <f>HYPERLINK("https%3A%2F%2Fwww.webofscience.com%2Fwos%2Fwoscc%2Ffull-record%2FWOS:000432226300002","View Full Record in Web of Science")</f>
        <v>View Full Record in Web of Science</v>
      </c>
    </row>
    <row r="42" spans="1:72" x14ac:dyDescent="0.15">
      <c r="A42" t="s">
        <v>72</v>
      </c>
      <c r="B42" t="s">
        <v>1005</v>
      </c>
      <c r="C42" t="s">
        <v>74</v>
      </c>
      <c r="D42" t="s">
        <v>74</v>
      </c>
      <c r="E42" t="s">
        <v>74</v>
      </c>
      <c r="F42" t="s">
        <v>1006</v>
      </c>
      <c r="G42" t="s">
        <v>74</v>
      </c>
      <c r="H42" t="s">
        <v>74</v>
      </c>
      <c r="I42" t="s">
        <v>1007</v>
      </c>
      <c r="J42" t="s">
        <v>370</v>
      </c>
      <c r="K42" t="s">
        <v>74</v>
      </c>
      <c r="L42" t="s">
        <v>74</v>
      </c>
      <c r="M42" t="s">
        <v>78</v>
      </c>
      <c r="N42" t="s">
        <v>79</v>
      </c>
      <c r="O42" t="s">
        <v>74</v>
      </c>
      <c r="P42" t="s">
        <v>74</v>
      </c>
      <c r="Q42" t="s">
        <v>74</v>
      </c>
      <c r="R42" t="s">
        <v>74</v>
      </c>
      <c r="S42" t="s">
        <v>74</v>
      </c>
      <c r="T42" t="s">
        <v>1008</v>
      </c>
      <c r="U42" t="s">
        <v>1009</v>
      </c>
      <c r="V42" t="s">
        <v>1010</v>
      </c>
      <c r="W42" t="s">
        <v>1011</v>
      </c>
      <c r="X42" t="s">
        <v>1012</v>
      </c>
      <c r="Y42" t="s">
        <v>1013</v>
      </c>
      <c r="Z42" t="s">
        <v>1014</v>
      </c>
      <c r="AA42" t="s">
        <v>1015</v>
      </c>
      <c r="AB42" t="s">
        <v>1016</v>
      </c>
      <c r="AC42" t="s">
        <v>1017</v>
      </c>
      <c r="AD42" t="s">
        <v>1018</v>
      </c>
      <c r="AE42" t="s">
        <v>1019</v>
      </c>
      <c r="AF42" t="s">
        <v>74</v>
      </c>
      <c r="AG42">
        <v>27</v>
      </c>
      <c r="AH42">
        <v>12</v>
      </c>
      <c r="AI42">
        <v>13</v>
      </c>
      <c r="AJ42">
        <v>1</v>
      </c>
      <c r="AK42">
        <v>10</v>
      </c>
      <c r="AL42" t="s">
        <v>372</v>
      </c>
      <c r="AM42" t="s">
        <v>92</v>
      </c>
      <c r="AN42" t="s">
        <v>373</v>
      </c>
      <c r="AO42" t="s">
        <v>374</v>
      </c>
      <c r="AP42" t="s">
        <v>375</v>
      </c>
      <c r="AQ42" t="s">
        <v>74</v>
      </c>
      <c r="AR42" t="s">
        <v>376</v>
      </c>
      <c r="AS42" t="s">
        <v>377</v>
      </c>
      <c r="AT42" t="s">
        <v>98</v>
      </c>
      <c r="AU42">
        <v>2018</v>
      </c>
      <c r="AV42">
        <v>30</v>
      </c>
      <c r="AW42">
        <v>3</v>
      </c>
      <c r="AX42" t="s">
        <v>74</v>
      </c>
      <c r="AY42" t="s">
        <v>74</v>
      </c>
      <c r="AZ42" t="s">
        <v>74</v>
      </c>
      <c r="BA42" t="s">
        <v>74</v>
      </c>
      <c r="BB42">
        <v>151</v>
      </c>
      <c r="BC42">
        <v>159</v>
      </c>
      <c r="BD42" t="s">
        <v>74</v>
      </c>
      <c r="BE42" t="s">
        <v>1020</v>
      </c>
      <c r="BF42" t="str">
        <f>HYPERLINK("http://dx.doi.org/10.1017/S0954102017000530","http://dx.doi.org/10.1017/S0954102017000530")</f>
        <v>http://dx.doi.org/10.1017/S0954102017000530</v>
      </c>
      <c r="BG42" t="s">
        <v>74</v>
      </c>
      <c r="BH42" t="s">
        <v>74</v>
      </c>
      <c r="BI42">
        <v>9</v>
      </c>
      <c r="BJ42" t="s">
        <v>379</v>
      </c>
      <c r="BK42" t="s">
        <v>101</v>
      </c>
      <c r="BL42" t="s">
        <v>380</v>
      </c>
      <c r="BM42" t="s">
        <v>381</v>
      </c>
      <c r="BN42" t="s">
        <v>74</v>
      </c>
      <c r="BO42" t="s">
        <v>74</v>
      </c>
      <c r="BP42" t="s">
        <v>74</v>
      </c>
      <c r="BQ42" t="s">
        <v>74</v>
      </c>
      <c r="BR42" t="s">
        <v>105</v>
      </c>
      <c r="BS42" t="s">
        <v>1021</v>
      </c>
      <c r="BT42" t="str">
        <f>HYPERLINK("https%3A%2F%2Fwww.webofscience.com%2Fwos%2Fwoscc%2Ffull-record%2FWOS:000432226300003","View Full Record in Web of Science")</f>
        <v>View Full Record in Web of Science</v>
      </c>
    </row>
    <row r="43" spans="1:72" x14ac:dyDescent="0.15">
      <c r="A43" t="s">
        <v>72</v>
      </c>
      <c r="B43" t="s">
        <v>1022</v>
      </c>
      <c r="C43" t="s">
        <v>74</v>
      </c>
      <c r="D43" t="s">
        <v>74</v>
      </c>
      <c r="E43" t="s">
        <v>74</v>
      </c>
      <c r="F43" t="s">
        <v>1023</v>
      </c>
      <c r="G43" t="s">
        <v>74</v>
      </c>
      <c r="H43" t="s">
        <v>74</v>
      </c>
      <c r="I43" t="s">
        <v>1024</v>
      </c>
      <c r="J43" t="s">
        <v>370</v>
      </c>
      <c r="K43" t="s">
        <v>74</v>
      </c>
      <c r="L43" t="s">
        <v>74</v>
      </c>
      <c r="M43" t="s">
        <v>78</v>
      </c>
      <c r="N43" t="s">
        <v>79</v>
      </c>
      <c r="O43" t="s">
        <v>74</v>
      </c>
      <c r="P43" t="s">
        <v>74</v>
      </c>
      <c r="Q43" t="s">
        <v>74</v>
      </c>
      <c r="R43" t="s">
        <v>74</v>
      </c>
      <c r="S43" t="s">
        <v>74</v>
      </c>
      <c r="T43" t="s">
        <v>1025</v>
      </c>
      <c r="U43" t="s">
        <v>1026</v>
      </c>
      <c r="V43" t="s">
        <v>1027</v>
      </c>
      <c r="W43" t="s">
        <v>1028</v>
      </c>
      <c r="X43" t="s">
        <v>1029</v>
      </c>
      <c r="Y43" t="s">
        <v>1030</v>
      </c>
      <c r="Z43" t="s">
        <v>1031</v>
      </c>
      <c r="AA43" t="s">
        <v>1032</v>
      </c>
      <c r="AB43" t="s">
        <v>74</v>
      </c>
      <c r="AC43" t="s">
        <v>1033</v>
      </c>
      <c r="AD43" t="s">
        <v>1034</v>
      </c>
      <c r="AE43" t="s">
        <v>1035</v>
      </c>
      <c r="AF43" t="s">
        <v>74</v>
      </c>
      <c r="AG43">
        <v>36</v>
      </c>
      <c r="AH43">
        <v>9</v>
      </c>
      <c r="AI43">
        <v>10</v>
      </c>
      <c r="AJ43">
        <v>1</v>
      </c>
      <c r="AK43">
        <v>8</v>
      </c>
      <c r="AL43" t="s">
        <v>372</v>
      </c>
      <c r="AM43" t="s">
        <v>92</v>
      </c>
      <c r="AN43" t="s">
        <v>373</v>
      </c>
      <c r="AO43" t="s">
        <v>374</v>
      </c>
      <c r="AP43" t="s">
        <v>375</v>
      </c>
      <c r="AQ43" t="s">
        <v>74</v>
      </c>
      <c r="AR43" t="s">
        <v>376</v>
      </c>
      <c r="AS43" t="s">
        <v>377</v>
      </c>
      <c r="AT43" t="s">
        <v>98</v>
      </c>
      <c r="AU43">
        <v>2018</v>
      </c>
      <c r="AV43">
        <v>30</v>
      </c>
      <c r="AW43">
        <v>3</v>
      </c>
      <c r="AX43" t="s">
        <v>74</v>
      </c>
      <c r="AY43" t="s">
        <v>74</v>
      </c>
      <c r="AZ43" t="s">
        <v>74</v>
      </c>
      <c r="BA43" t="s">
        <v>74</v>
      </c>
      <c r="BB43">
        <v>160</v>
      </c>
      <c r="BC43">
        <v>169</v>
      </c>
      <c r="BD43" t="s">
        <v>74</v>
      </c>
      <c r="BE43" t="s">
        <v>1036</v>
      </c>
      <c r="BF43" t="str">
        <f>HYPERLINK("http://dx.doi.org/10.1017/S0954102017000566","http://dx.doi.org/10.1017/S0954102017000566")</f>
        <v>http://dx.doi.org/10.1017/S0954102017000566</v>
      </c>
      <c r="BG43" t="s">
        <v>74</v>
      </c>
      <c r="BH43" t="s">
        <v>74</v>
      </c>
      <c r="BI43">
        <v>10</v>
      </c>
      <c r="BJ43" t="s">
        <v>379</v>
      </c>
      <c r="BK43" t="s">
        <v>101</v>
      </c>
      <c r="BL43" t="s">
        <v>380</v>
      </c>
      <c r="BM43" t="s">
        <v>381</v>
      </c>
      <c r="BN43" t="s">
        <v>74</v>
      </c>
      <c r="BO43" t="s">
        <v>74</v>
      </c>
      <c r="BP43" t="s">
        <v>74</v>
      </c>
      <c r="BQ43" t="s">
        <v>74</v>
      </c>
      <c r="BR43" t="s">
        <v>105</v>
      </c>
      <c r="BS43" t="s">
        <v>1037</v>
      </c>
      <c r="BT43" t="str">
        <f>HYPERLINK("https%3A%2F%2Fwww.webofscience.com%2Fwos%2Fwoscc%2Ffull-record%2FWOS:000432226300004","View Full Record in Web of Science")</f>
        <v>View Full Record in Web of Science</v>
      </c>
    </row>
    <row r="44" spans="1:72" x14ac:dyDescent="0.15">
      <c r="A44" t="s">
        <v>72</v>
      </c>
      <c r="B44" t="s">
        <v>1038</v>
      </c>
      <c r="C44" t="s">
        <v>74</v>
      </c>
      <c r="D44" t="s">
        <v>74</v>
      </c>
      <c r="E44" t="s">
        <v>74</v>
      </c>
      <c r="F44" t="s">
        <v>1039</v>
      </c>
      <c r="G44" t="s">
        <v>74</v>
      </c>
      <c r="H44" t="s">
        <v>74</v>
      </c>
      <c r="I44" t="s">
        <v>1040</v>
      </c>
      <c r="J44" t="s">
        <v>370</v>
      </c>
      <c r="K44" t="s">
        <v>74</v>
      </c>
      <c r="L44" t="s">
        <v>74</v>
      </c>
      <c r="M44" t="s">
        <v>78</v>
      </c>
      <c r="N44" t="s">
        <v>79</v>
      </c>
      <c r="O44" t="s">
        <v>74</v>
      </c>
      <c r="P44" t="s">
        <v>74</v>
      </c>
      <c r="Q44" t="s">
        <v>74</v>
      </c>
      <c r="R44" t="s">
        <v>74</v>
      </c>
      <c r="S44" t="s">
        <v>74</v>
      </c>
      <c r="T44" t="s">
        <v>1041</v>
      </c>
      <c r="U44" t="s">
        <v>1042</v>
      </c>
      <c r="V44" t="s">
        <v>1043</v>
      </c>
      <c r="W44" t="s">
        <v>1044</v>
      </c>
      <c r="X44" t="s">
        <v>1045</v>
      </c>
      <c r="Y44" t="s">
        <v>1046</v>
      </c>
      <c r="Z44" t="s">
        <v>1047</v>
      </c>
      <c r="AA44" t="s">
        <v>1048</v>
      </c>
      <c r="AB44" t="s">
        <v>1049</v>
      </c>
      <c r="AC44" t="s">
        <v>1050</v>
      </c>
      <c r="AD44" t="s">
        <v>1051</v>
      </c>
      <c r="AE44" t="s">
        <v>1052</v>
      </c>
      <c r="AF44" t="s">
        <v>74</v>
      </c>
      <c r="AG44">
        <v>38</v>
      </c>
      <c r="AH44">
        <v>14</v>
      </c>
      <c r="AI44">
        <v>15</v>
      </c>
      <c r="AJ44">
        <v>1</v>
      </c>
      <c r="AK44">
        <v>18</v>
      </c>
      <c r="AL44" t="s">
        <v>372</v>
      </c>
      <c r="AM44" t="s">
        <v>92</v>
      </c>
      <c r="AN44" t="s">
        <v>373</v>
      </c>
      <c r="AO44" t="s">
        <v>374</v>
      </c>
      <c r="AP44" t="s">
        <v>375</v>
      </c>
      <c r="AQ44" t="s">
        <v>74</v>
      </c>
      <c r="AR44" t="s">
        <v>376</v>
      </c>
      <c r="AS44" t="s">
        <v>377</v>
      </c>
      <c r="AT44" t="s">
        <v>98</v>
      </c>
      <c r="AU44">
        <v>2018</v>
      </c>
      <c r="AV44">
        <v>30</v>
      </c>
      <c r="AW44">
        <v>3</v>
      </c>
      <c r="AX44" t="s">
        <v>74</v>
      </c>
      <c r="AY44" t="s">
        <v>74</v>
      </c>
      <c r="AZ44" t="s">
        <v>74</v>
      </c>
      <c r="BA44" t="s">
        <v>74</v>
      </c>
      <c r="BB44">
        <v>170</v>
      </c>
      <c r="BC44">
        <v>182</v>
      </c>
      <c r="BD44" t="s">
        <v>74</v>
      </c>
      <c r="BE44" t="s">
        <v>1053</v>
      </c>
      <c r="BF44" t="str">
        <f>HYPERLINK("http://dx.doi.org/10.1017/S0954102018000019","http://dx.doi.org/10.1017/S0954102018000019")</f>
        <v>http://dx.doi.org/10.1017/S0954102018000019</v>
      </c>
      <c r="BG44" t="s">
        <v>74</v>
      </c>
      <c r="BH44" t="s">
        <v>74</v>
      </c>
      <c r="BI44">
        <v>13</v>
      </c>
      <c r="BJ44" t="s">
        <v>379</v>
      </c>
      <c r="BK44" t="s">
        <v>101</v>
      </c>
      <c r="BL44" t="s">
        <v>380</v>
      </c>
      <c r="BM44" t="s">
        <v>381</v>
      </c>
      <c r="BN44" t="s">
        <v>74</v>
      </c>
      <c r="BO44" t="s">
        <v>162</v>
      </c>
      <c r="BP44" t="s">
        <v>74</v>
      </c>
      <c r="BQ44" t="s">
        <v>74</v>
      </c>
      <c r="BR44" t="s">
        <v>105</v>
      </c>
      <c r="BS44" t="s">
        <v>1054</v>
      </c>
      <c r="BT44" t="str">
        <f>HYPERLINK("https%3A%2F%2Fwww.webofscience.com%2Fwos%2Fwoscc%2Ffull-record%2FWOS:000432226300005","View Full Record in Web of Science")</f>
        <v>View Full Record in Web of Science</v>
      </c>
    </row>
    <row r="45" spans="1:72" x14ac:dyDescent="0.15">
      <c r="A45" t="s">
        <v>72</v>
      </c>
      <c r="B45" t="s">
        <v>1055</v>
      </c>
      <c r="C45" t="s">
        <v>74</v>
      </c>
      <c r="D45" t="s">
        <v>74</v>
      </c>
      <c r="E45" t="s">
        <v>74</v>
      </c>
      <c r="F45" t="s">
        <v>1056</v>
      </c>
      <c r="G45" t="s">
        <v>74</v>
      </c>
      <c r="H45" t="s">
        <v>74</v>
      </c>
      <c r="I45" t="s">
        <v>1057</v>
      </c>
      <c r="J45" t="s">
        <v>370</v>
      </c>
      <c r="K45" t="s">
        <v>74</v>
      </c>
      <c r="L45" t="s">
        <v>74</v>
      </c>
      <c r="M45" t="s">
        <v>78</v>
      </c>
      <c r="N45" t="s">
        <v>79</v>
      </c>
      <c r="O45" t="s">
        <v>74</v>
      </c>
      <c r="P45" t="s">
        <v>74</v>
      </c>
      <c r="Q45" t="s">
        <v>74</v>
      </c>
      <c r="R45" t="s">
        <v>74</v>
      </c>
      <c r="S45" t="s">
        <v>74</v>
      </c>
      <c r="T45" t="s">
        <v>1058</v>
      </c>
      <c r="U45" t="s">
        <v>1059</v>
      </c>
      <c r="V45" t="s">
        <v>1060</v>
      </c>
      <c r="W45" t="s">
        <v>1061</v>
      </c>
      <c r="X45" t="s">
        <v>1062</v>
      </c>
      <c r="Y45" t="s">
        <v>1063</v>
      </c>
      <c r="Z45" t="s">
        <v>1064</v>
      </c>
      <c r="AA45" t="s">
        <v>74</v>
      </c>
      <c r="AB45" t="s">
        <v>74</v>
      </c>
      <c r="AC45" t="s">
        <v>1065</v>
      </c>
      <c r="AD45" t="s">
        <v>1065</v>
      </c>
      <c r="AE45" t="s">
        <v>1066</v>
      </c>
      <c r="AF45" t="s">
        <v>74</v>
      </c>
      <c r="AG45">
        <v>55</v>
      </c>
      <c r="AH45">
        <v>5</v>
      </c>
      <c r="AI45">
        <v>5</v>
      </c>
      <c r="AJ45">
        <v>0</v>
      </c>
      <c r="AK45">
        <v>18</v>
      </c>
      <c r="AL45" t="s">
        <v>372</v>
      </c>
      <c r="AM45" t="s">
        <v>92</v>
      </c>
      <c r="AN45" t="s">
        <v>373</v>
      </c>
      <c r="AO45" t="s">
        <v>374</v>
      </c>
      <c r="AP45" t="s">
        <v>375</v>
      </c>
      <c r="AQ45" t="s">
        <v>74</v>
      </c>
      <c r="AR45" t="s">
        <v>376</v>
      </c>
      <c r="AS45" t="s">
        <v>377</v>
      </c>
      <c r="AT45" t="s">
        <v>98</v>
      </c>
      <c r="AU45">
        <v>2018</v>
      </c>
      <c r="AV45">
        <v>30</v>
      </c>
      <c r="AW45">
        <v>3</v>
      </c>
      <c r="AX45" t="s">
        <v>74</v>
      </c>
      <c r="AY45" t="s">
        <v>74</v>
      </c>
      <c r="AZ45" t="s">
        <v>74</v>
      </c>
      <c r="BA45" t="s">
        <v>74</v>
      </c>
      <c r="BB45">
        <v>183</v>
      </c>
      <c r="BC45">
        <v>195</v>
      </c>
      <c r="BD45" t="s">
        <v>74</v>
      </c>
      <c r="BE45" t="s">
        <v>1067</v>
      </c>
      <c r="BF45" t="str">
        <f>HYPERLINK("http://dx.doi.org/10.1017/S0954102018000056","http://dx.doi.org/10.1017/S0954102018000056")</f>
        <v>http://dx.doi.org/10.1017/S0954102018000056</v>
      </c>
      <c r="BG45" t="s">
        <v>74</v>
      </c>
      <c r="BH45" t="s">
        <v>74</v>
      </c>
      <c r="BI45">
        <v>13</v>
      </c>
      <c r="BJ45" t="s">
        <v>379</v>
      </c>
      <c r="BK45" t="s">
        <v>101</v>
      </c>
      <c r="BL45" t="s">
        <v>380</v>
      </c>
      <c r="BM45" t="s">
        <v>381</v>
      </c>
      <c r="BN45" t="s">
        <v>74</v>
      </c>
      <c r="BO45" t="s">
        <v>74</v>
      </c>
      <c r="BP45" t="s">
        <v>74</v>
      </c>
      <c r="BQ45" t="s">
        <v>74</v>
      </c>
      <c r="BR45" t="s">
        <v>105</v>
      </c>
      <c r="BS45" t="s">
        <v>1068</v>
      </c>
      <c r="BT45" t="str">
        <f>HYPERLINK("https%3A%2F%2Fwww.webofscience.com%2Fwos%2Fwoscc%2Ffull-record%2FWOS:000432226300006","View Full Record in Web of Science")</f>
        <v>View Full Record in Web of Science</v>
      </c>
    </row>
    <row r="46" spans="1:72" x14ac:dyDescent="0.15">
      <c r="A46" t="s">
        <v>72</v>
      </c>
      <c r="B46" t="s">
        <v>1069</v>
      </c>
      <c r="C46" t="s">
        <v>74</v>
      </c>
      <c r="D46" t="s">
        <v>74</v>
      </c>
      <c r="E46" t="s">
        <v>74</v>
      </c>
      <c r="F46" t="s">
        <v>1070</v>
      </c>
      <c r="G46" t="s">
        <v>74</v>
      </c>
      <c r="H46" t="s">
        <v>74</v>
      </c>
      <c r="I46" t="s">
        <v>1071</v>
      </c>
      <c r="J46" t="s">
        <v>370</v>
      </c>
      <c r="K46" t="s">
        <v>74</v>
      </c>
      <c r="L46" t="s">
        <v>74</v>
      </c>
      <c r="M46" t="s">
        <v>78</v>
      </c>
      <c r="N46" t="s">
        <v>79</v>
      </c>
      <c r="O46" t="s">
        <v>74</v>
      </c>
      <c r="P46" t="s">
        <v>74</v>
      </c>
      <c r="Q46" t="s">
        <v>74</v>
      </c>
      <c r="R46" t="s">
        <v>74</v>
      </c>
      <c r="S46" t="s">
        <v>74</v>
      </c>
      <c r="T46" t="s">
        <v>1072</v>
      </c>
      <c r="U46" t="s">
        <v>1073</v>
      </c>
      <c r="V46" t="s">
        <v>1074</v>
      </c>
      <c r="W46" t="s">
        <v>1075</v>
      </c>
      <c r="X46" t="s">
        <v>1076</v>
      </c>
      <c r="Y46" t="s">
        <v>1077</v>
      </c>
      <c r="Z46" t="s">
        <v>1078</v>
      </c>
      <c r="AA46" t="s">
        <v>1079</v>
      </c>
      <c r="AB46" t="s">
        <v>1080</v>
      </c>
      <c r="AC46" t="s">
        <v>1081</v>
      </c>
      <c r="AD46" t="s">
        <v>1082</v>
      </c>
      <c r="AE46" t="s">
        <v>1083</v>
      </c>
      <c r="AF46" t="s">
        <v>74</v>
      </c>
      <c r="AG46">
        <v>21</v>
      </c>
      <c r="AH46">
        <v>3</v>
      </c>
      <c r="AI46">
        <v>3</v>
      </c>
      <c r="AJ46">
        <v>0</v>
      </c>
      <c r="AK46">
        <v>12</v>
      </c>
      <c r="AL46" t="s">
        <v>372</v>
      </c>
      <c r="AM46" t="s">
        <v>92</v>
      </c>
      <c r="AN46" t="s">
        <v>373</v>
      </c>
      <c r="AO46" t="s">
        <v>374</v>
      </c>
      <c r="AP46" t="s">
        <v>375</v>
      </c>
      <c r="AQ46" t="s">
        <v>74</v>
      </c>
      <c r="AR46" t="s">
        <v>376</v>
      </c>
      <c r="AS46" t="s">
        <v>377</v>
      </c>
      <c r="AT46" t="s">
        <v>98</v>
      </c>
      <c r="AU46">
        <v>2018</v>
      </c>
      <c r="AV46">
        <v>30</v>
      </c>
      <c r="AW46">
        <v>3</v>
      </c>
      <c r="AX46" t="s">
        <v>74</v>
      </c>
      <c r="AY46" t="s">
        <v>74</v>
      </c>
      <c r="AZ46" t="s">
        <v>74</v>
      </c>
      <c r="BA46" t="s">
        <v>74</v>
      </c>
      <c r="BB46">
        <v>197</v>
      </c>
      <c r="BC46">
        <v>203</v>
      </c>
      <c r="BD46" t="s">
        <v>74</v>
      </c>
      <c r="BE46" t="s">
        <v>1084</v>
      </c>
      <c r="BF46" t="str">
        <f>HYPERLINK("http://dx.doi.org/10.1017/S0954102018000068","http://dx.doi.org/10.1017/S0954102018000068")</f>
        <v>http://dx.doi.org/10.1017/S0954102018000068</v>
      </c>
      <c r="BG46" t="s">
        <v>74</v>
      </c>
      <c r="BH46" t="s">
        <v>74</v>
      </c>
      <c r="BI46">
        <v>7</v>
      </c>
      <c r="BJ46" t="s">
        <v>379</v>
      </c>
      <c r="BK46" t="s">
        <v>101</v>
      </c>
      <c r="BL46" t="s">
        <v>380</v>
      </c>
      <c r="BM46" t="s">
        <v>381</v>
      </c>
      <c r="BN46" t="s">
        <v>74</v>
      </c>
      <c r="BO46" t="s">
        <v>1085</v>
      </c>
      <c r="BP46" t="s">
        <v>74</v>
      </c>
      <c r="BQ46" t="s">
        <v>74</v>
      </c>
      <c r="BR46" t="s">
        <v>105</v>
      </c>
      <c r="BS46" t="s">
        <v>1086</v>
      </c>
      <c r="BT46" t="str">
        <f>HYPERLINK("https%3A%2F%2Fwww.webofscience.com%2Fwos%2Fwoscc%2Ffull-record%2FWOS:000432226300007","View Full Record in Web of Science")</f>
        <v>View Full Record in Web of Science</v>
      </c>
    </row>
    <row r="47" spans="1:72" x14ac:dyDescent="0.15">
      <c r="A47" t="s">
        <v>72</v>
      </c>
      <c r="B47" t="s">
        <v>1087</v>
      </c>
      <c r="C47" t="s">
        <v>74</v>
      </c>
      <c r="D47" t="s">
        <v>74</v>
      </c>
      <c r="E47" t="s">
        <v>74</v>
      </c>
      <c r="F47" t="s">
        <v>1088</v>
      </c>
      <c r="G47" t="s">
        <v>74</v>
      </c>
      <c r="H47" t="s">
        <v>74</v>
      </c>
      <c r="I47" t="s">
        <v>1089</v>
      </c>
      <c r="J47" t="s">
        <v>1090</v>
      </c>
      <c r="K47" t="s">
        <v>74</v>
      </c>
      <c r="L47" t="s">
        <v>74</v>
      </c>
      <c r="M47" t="s">
        <v>78</v>
      </c>
      <c r="N47" t="s">
        <v>79</v>
      </c>
      <c r="O47" t="s">
        <v>74</v>
      </c>
      <c r="P47" t="s">
        <v>74</v>
      </c>
      <c r="Q47" t="s">
        <v>74</v>
      </c>
      <c r="R47" t="s">
        <v>74</v>
      </c>
      <c r="S47" t="s">
        <v>74</v>
      </c>
      <c r="T47" t="s">
        <v>1091</v>
      </c>
      <c r="U47" t="s">
        <v>1092</v>
      </c>
      <c r="V47" t="s">
        <v>1093</v>
      </c>
      <c r="W47" t="s">
        <v>1094</v>
      </c>
      <c r="X47" t="s">
        <v>1095</v>
      </c>
      <c r="Y47" t="s">
        <v>1096</v>
      </c>
      <c r="Z47" t="s">
        <v>1097</v>
      </c>
      <c r="AA47" t="s">
        <v>1098</v>
      </c>
      <c r="AB47" t="s">
        <v>1099</v>
      </c>
      <c r="AC47" t="s">
        <v>1100</v>
      </c>
      <c r="AD47" t="s">
        <v>1101</v>
      </c>
      <c r="AE47" t="s">
        <v>1102</v>
      </c>
      <c r="AF47" t="s">
        <v>74</v>
      </c>
      <c r="AG47">
        <v>50</v>
      </c>
      <c r="AH47">
        <v>9</v>
      </c>
      <c r="AI47">
        <v>9</v>
      </c>
      <c r="AJ47">
        <v>0</v>
      </c>
      <c r="AK47">
        <v>16</v>
      </c>
      <c r="AL47" t="s">
        <v>91</v>
      </c>
      <c r="AM47" t="s">
        <v>92</v>
      </c>
      <c r="AN47" t="s">
        <v>93</v>
      </c>
      <c r="AO47" t="s">
        <v>1103</v>
      </c>
      <c r="AP47" t="s">
        <v>1104</v>
      </c>
      <c r="AQ47" t="s">
        <v>74</v>
      </c>
      <c r="AR47" t="s">
        <v>1105</v>
      </c>
      <c r="AS47" t="s">
        <v>1106</v>
      </c>
      <c r="AT47" t="s">
        <v>98</v>
      </c>
      <c r="AU47">
        <v>2018</v>
      </c>
      <c r="AV47">
        <v>92</v>
      </c>
      <c r="AW47">
        <v>2</v>
      </c>
      <c r="AX47" t="s">
        <v>74</v>
      </c>
      <c r="AY47" t="s">
        <v>74</v>
      </c>
      <c r="AZ47" t="s">
        <v>74</v>
      </c>
      <c r="BA47" t="s">
        <v>74</v>
      </c>
      <c r="BB47">
        <v>1113</v>
      </c>
      <c r="BC47">
        <v>1136</v>
      </c>
      <c r="BD47" t="s">
        <v>74</v>
      </c>
      <c r="BE47" t="s">
        <v>1107</v>
      </c>
      <c r="BF47" t="str">
        <f>HYPERLINK("http://dx.doi.org/10.1007/s11069-018-3243-x","http://dx.doi.org/10.1007/s11069-018-3243-x")</f>
        <v>http://dx.doi.org/10.1007/s11069-018-3243-x</v>
      </c>
      <c r="BG47" t="s">
        <v>74</v>
      </c>
      <c r="BH47" t="s">
        <v>74</v>
      </c>
      <c r="BI47">
        <v>24</v>
      </c>
      <c r="BJ47" t="s">
        <v>1108</v>
      </c>
      <c r="BK47" t="s">
        <v>101</v>
      </c>
      <c r="BL47" t="s">
        <v>1109</v>
      </c>
      <c r="BM47" t="s">
        <v>1110</v>
      </c>
      <c r="BN47" t="s">
        <v>74</v>
      </c>
      <c r="BO47" t="s">
        <v>1111</v>
      </c>
      <c r="BP47" t="s">
        <v>74</v>
      </c>
      <c r="BQ47" t="s">
        <v>74</v>
      </c>
      <c r="BR47" t="s">
        <v>105</v>
      </c>
      <c r="BS47" t="s">
        <v>1112</v>
      </c>
      <c r="BT47" t="str">
        <f>HYPERLINK("https%3A%2F%2Fwww.webofscience.com%2Fwos%2Fwoscc%2Ffull-record%2FWOS:000432329700026","View Full Record in Web of Science")</f>
        <v>View Full Record in Web of Science</v>
      </c>
    </row>
    <row r="48" spans="1:72" x14ac:dyDescent="0.15">
      <c r="A48" t="s">
        <v>72</v>
      </c>
      <c r="B48" t="s">
        <v>1113</v>
      </c>
      <c r="C48" t="s">
        <v>74</v>
      </c>
      <c r="D48" t="s">
        <v>74</v>
      </c>
      <c r="E48" t="s">
        <v>74</v>
      </c>
      <c r="F48" t="s">
        <v>1114</v>
      </c>
      <c r="G48" t="s">
        <v>74</v>
      </c>
      <c r="H48" t="s">
        <v>74</v>
      </c>
      <c r="I48" t="s">
        <v>1115</v>
      </c>
      <c r="J48" t="s">
        <v>1116</v>
      </c>
      <c r="K48" t="s">
        <v>74</v>
      </c>
      <c r="L48" t="s">
        <v>74</v>
      </c>
      <c r="M48" t="s">
        <v>78</v>
      </c>
      <c r="N48" t="s">
        <v>79</v>
      </c>
      <c r="O48" t="s">
        <v>74</v>
      </c>
      <c r="P48" t="s">
        <v>74</v>
      </c>
      <c r="Q48" t="s">
        <v>74</v>
      </c>
      <c r="R48" t="s">
        <v>74</v>
      </c>
      <c r="S48" t="s">
        <v>74</v>
      </c>
      <c r="T48" t="s">
        <v>1117</v>
      </c>
      <c r="U48" t="s">
        <v>1118</v>
      </c>
      <c r="V48" t="s">
        <v>1119</v>
      </c>
      <c r="W48" t="s">
        <v>1120</v>
      </c>
      <c r="X48" t="s">
        <v>1121</v>
      </c>
      <c r="Y48" t="s">
        <v>1122</v>
      </c>
      <c r="Z48" t="s">
        <v>1123</v>
      </c>
      <c r="AA48" t="s">
        <v>1124</v>
      </c>
      <c r="AB48" t="s">
        <v>74</v>
      </c>
      <c r="AC48" t="s">
        <v>1125</v>
      </c>
      <c r="AD48" t="s">
        <v>1126</v>
      </c>
      <c r="AE48" t="s">
        <v>1127</v>
      </c>
      <c r="AF48" t="s">
        <v>74</v>
      </c>
      <c r="AG48">
        <v>16</v>
      </c>
      <c r="AH48">
        <v>23</v>
      </c>
      <c r="AI48">
        <v>23</v>
      </c>
      <c r="AJ48">
        <v>5</v>
      </c>
      <c r="AK48">
        <v>17</v>
      </c>
      <c r="AL48" t="s">
        <v>397</v>
      </c>
      <c r="AM48" t="s">
        <v>398</v>
      </c>
      <c r="AN48" t="s">
        <v>399</v>
      </c>
      <c r="AO48" t="s">
        <v>1128</v>
      </c>
      <c r="AP48" t="s">
        <v>1129</v>
      </c>
      <c r="AQ48" t="s">
        <v>74</v>
      </c>
      <c r="AR48" t="s">
        <v>1130</v>
      </c>
      <c r="AS48" t="s">
        <v>1131</v>
      </c>
      <c r="AT48" t="s">
        <v>98</v>
      </c>
      <c r="AU48">
        <v>2018</v>
      </c>
      <c r="AV48">
        <v>197</v>
      </c>
      <c r="AW48">
        <v>3</v>
      </c>
      <c r="AX48" t="s">
        <v>74</v>
      </c>
      <c r="AY48" t="s">
        <v>74</v>
      </c>
      <c r="AZ48" t="s">
        <v>74</v>
      </c>
      <c r="BA48" t="s">
        <v>74</v>
      </c>
      <c r="BB48">
        <v>651</v>
      </c>
      <c r="BC48">
        <v>659</v>
      </c>
      <c r="BD48" t="s">
        <v>74</v>
      </c>
      <c r="BE48" t="s">
        <v>1132</v>
      </c>
      <c r="BF48" t="str">
        <f>HYPERLINK("http://dx.doi.org/10.1007/s10231-017-0696-6","http://dx.doi.org/10.1007/s10231-017-0696-6")</f>
        <v>http://dx.doi.org/10.1007/s10231-017-0696-6</v>
      </c>
      <c r="BG48" t="s">
        <v>74</v>
      </c>
      <c r="BH48" t="s">
        <v>74</v>
      </c>
      <c r="BI48">
        <v>9</v>
      </c>
      <c r="BJ48" t="s">
        <v>1133</v>
      </c>
      <c r="BK48" t="s">
        <v>101</v>
      </c>
      <c r="BL48" t="s">
        <v>1134</v>
      </c>
      <c r="BM48" t="s">
        <v>1135</v>
      </c>
      <c r="BN48" t="s">
        <v>74</v>
      </c>
      <c r="BO48" t="s">
        <v>74</v>
      </c>
      <c r="BP48" t="s">
        <v>74</v>
      </c>
      <c r="BQ48" t="s">
        <v>74</v>
      </c>
      <c r="BR48" t="s">
        <v>105</v>
      </c>
      <c r="BS48" t="s">
        <v>1136</v>
      </c>
      <c r="BT48" t="str">
        <f>HYPERLINK("https%3A%2F%2Fwww.webofscience.com%2Fwos%2Fwoscc%2Ffull-record%2FWOS:000432307100001","View Full Record in Web of Science")</f>
        <v>View Full Record in Web of Science</v>
      </c>
    </row>
    <row r="49" spans="1:72" x14ac:dyDescent="0.15">
      <c r="A49" t="s">
        <v>72</v>
      </c>
      <c r="B49" t="s">
        <v>1137</v>
      </c>
      <c r="C49" t="s">
        <v>74</v>
      </c>
      <c r="D49" t="s">
        <v>74</v>
      </c>
      <c r="E49" t="s">
        <v>74</v>
      </c>
      <c r="F49" t="s">
        <v>1138</v>
      </c>
      <c r="G49" t="s">
        <v>74</v>
      </c>
      <c r="H49" t="s">
        <v>74</v>
      </c>
      <c r="I49" t="s">
        <v>1139</v>
      </c>
      <c r="J49" t="s">
        <v>1140</v>
      </c>
      <c r="K49" t="s">
        <v>74</v>
      </c>
      <c r="L49" t="s">
        <v>74</v>
      </c>
      <c r="M49" t="s">
        <v>78</v>
      </c>
      <c r="N49" t="s">
        <v>79</v>
      </c>
      <c r="O49" t="s">
        <v>74</v>
      </c>
      <c r="P49" t="s">
        <v>74</v>
      </c>
      <c r="Q49" t="s">
        <v>74</v>
      </c>
      <c r="R49" t="s">
        <v>74</v>
      </c>
      <c r="S49" t="s">
        <v>74</v>
      </c>
      <c r="T49" t="s">
        <v>1141</v>
      </c>
      <c r="U49" t="s">
        <v>1142</v>
      </c>
      <c r="V49" t="s">
        <v>1143</v>
      </c>
      <c r="W49" t="s">
        <v>1144</v>
      </c>
      <c r="X49" t="s">
        <v>1145</v>
      </c>
      <c r="Y49" t="s">
        <v>1146</v>
      </c>
      <c r="Z49" t="s">
        <v>1147</v>
      </c>
      <c r="AA49" t="s">
        <v>1148</v>
      </c>
      <c r="AB49" t="s">
        <v>1149</v>
      </c>
      <c r="AC49" t="s">
        <v>1150</v>
      </c>
      <c r="AD49" t="s">
        <v>1151</v>
      </c>
      <c r="AE49" t="s">
        <v>1152</v>
      </c>
      <c r="AF49" t="s">
        <v>74</v>
      </c>
      <c r="AG49">
        <v>24</v>
      </c>
      <c r="AH49">
        <v>18</v>
      </c>
      <c r="AI49">
        <v>18</v>
      </c>
      <c r="AJ49">
        <v>0</v>
      </c>
      <c r="AK49">
        <v>20</v>
      </c>
      <c r="AL49" t="s">
        <v>179</v>
      </c>
      <c r="AM49" t="s">
        <v>180</v>
      </c>
      <c r="AN49" t="s">
        <v>181</v>
      </c>
      <c r="AO49" t="s">
        <v>1153</v>
      </c>
      <c r="AP49" t="s">
        <v>1154</v>
      </c>
      <c r="AQ49" t="s">
        <v>74</v>
      </c>
      <c r="AR49" t="s">
        <v>1155</v>
      </c>
      <c r="AS49" t="s">
        <v>1156</v>
      </c>
      <c r="AT49" t="s">
        <v>98</v>
      </c>
      <c r="AU49">
        <v>2018</v>
      </c>
      <c r="AV49">
        <v>66</v>
      </c>
      <c r="AW49">
        <v>6</v>
      </c>
      <c r="AX49" t="s">
        <v>74</v>
      </c>
      <c r="AY49" t="s">
        <v>74</v>
      </c>
      <c r="AZ49" t="s">
        <v>74</v>
      </c>
      <c r="BA49" t="s">
        <v>74</v>
      </c>
      <c r="BB49">
        <v>530</v>
      </c>
      <c r="BC49">
        <v>536</v>
      </c>
      <c r="BD49" t="s">
        <v>74</v>
      </c>
      <c r="BE49" t="s">
        <v>1157</v>
      </c>
      <c r="BF49" t="str">
        <f>HYPERLINK("http://dx.doi.org/10.1111/lam.12875","http://dx.doi.org/10.1111/lam.12875")</f>
        <v>http://dx.doi.org/10.1111/lam.12875</v>
      </c>
      <c r="BG49" t="s">
        <v>74</v>
      </c>
      <c r="BH49" t="s">
        <v>74</v>
      </c>
      <c r="BI49">
        <v>7</v>
      </c>
      <c r="BJ49" t="s">
        <v>1158</v>
      </c>
      <c r="BK49" t="s">
        <v>101</v>
      </c>
      <c r="BL49" t="s">
        <v>1158</v>
      </c>
      <c r="BM49" t="s">
        <v>1159</v>
      </c>
      <c r="BN49">
        <v>29527704</v>
      </c>
      <c r="BO49" t="s">
        <v>74</v>
      </c>
      <c r="BP49" t="s">
        <v>74</v>
      </c>
      <c r="BQ49" t="s">
        <v>74</v>
      </c>
      <c r="BR49" t="s">
        <v>105</v>
      </c>
      <c r="BS49" t="s">
        <v>1160</v>
      </c>
      <c r="BT49" t="str">
        <f>HYPERLINK("https%3A%2F%2Fwww.webofscience.com%2Fwos%2Fwoscc%2Ffull-record%2FWOS:000432019700009","View Full Record in Web of Science")</f>
        <v>View Full Record in Web of Science</v>
      </c>
    </row>
    <row r="50" spans="1:72" x14ac:dyDescent="0.15">
      <c r="A50" t="s">
        <v>72</v>
      </c>
      <c r="B50" t="s">
        <v>1161</v>
      </c>
      <c r="C50" t="s">
        <v>74</v>
      </c>
      <c r="D50" t="s">
        <v>74</v>
      </c>
      <c r="E50" t="s">
        <v>74</v>
      </c>
      <c r="F50" t="s">
        <v>1162</v>
      </c>
      <c r="G50" t="s">
        <v>74</v>
      </c>
      <c r="H50" t="s">
        <v>74</v>
      </c>
      <c r="I50" t="s">
        <v>1163</v>
      </c>
      <c r="J50" t="s">
        <v>1164</v>
      </c>
      <c r="K50" t="s">
        <v>74</v>
      </c>
      <c r="L50" t="s">
        <v>74</v>
      </c>
      <c r="M50" t="s">
        <v>78</v>
      </c>
      <c r="N50" t="s">
        <v>79</v>
      </c>
      <c r="O50" t="s">
        <v>74</v>
      </c>
      <c r="P50" t="s">
        <v>74</v>
      </c>
      <c r="Q50" t="s">
        <v>74</v>
      </c>
      <c r="R50" t="s">
        <v>74</v>
      </c>
      <c r="S50" t="s">
        <v>74</v>
      </c>
      <c r="T50" t="s">
        <v>1165</v>
      </c>
      <c r="U50" t="s">
        <v>1166</v>
      </c>
      <c r="V50" t="s">
        <v>1167</v>
      </c>
      <c r="W50" t="s">
        <v>1168</v>
      </c>
      <c r="X50" t="s">
        <v>1169</v>
      </c>
      <c r="Y50" t="s">
        <v>1170</v>
      </c>
      <c r="Z50" t="s">
        <v>1171</v>
      </c>
      <c r="AA50" t="s">
        <v>1172</v>
      </c>
      <c r="AB50" t="s">
        <v>1173</v>
      </c>
      <c r="AC50" t="s">
        <v>1174</v>
      </c>
      <c r="AD50" t="s">
        <v>1175</v>
      </c>
      <c r="AE50" t="s">
        <v>1176</v>
      </c>
      <c r="AF50" t="s">
        <v>74</v>
      </c>
      <c r="AG50">
        <v>132</v>
      </c>
      <c r="AH50">
        <v>9</v>
      </c>
      <c r="AI50">
        <v>11</v>
      </c>
      <c r="AJ50">
        <v>0</v>
      </c>
      <c r="AK50">
        <v>8</v>
      </c>
      <c r="AL50" t="s">
        <v>179</v>
      </c>
      <c r="AM50" t="s">
        <v>180</v>
      </c>
      <c r="AN50" t="s">
        <v>181</v>
      </c>
      <c r="AO50" t="s">
        <v>1177</v>
      </c>
      <c r="AP50" t="s">
        <v>74</v>
      </c>
      <c r="AQ50" t="s">
        <v>74</v>
      </c>
      <c r="AR50" t="s">
        <v>1178</v>
      </c>
      <c r="AS50" t="s">
        <v>1179</v>
      </c>
      <c r="AT50" t="s">
        <v>98</v>
      </c>
      <c r="AU50">
        <v>2018</v>
      </c>
      <c r="AV50">
        <v>4</v>
      </c>
      <c r="AW50">
        <v>1</v>
      </c>
      <c r="AX50" t="s">
        <v>74</v>
      </c>
      <c r="AY50" t="s">
        <v>74</v>
      </c>
      <c r="AZ50" t="s">
        <v>74</v>
      </c>
      <c r="BA50" t="s">
        <v>74</v>
      </c>
      <c r="BB50">
        <v>4</v>
      </c>
      <c r="BC50">
        <v>58</v>
      </c>
      <c r="BD50" t="s">
        <v>74</v>
      </c>
      <c r="BE50" t="s">
        <v>1180</v>
      </c>
      <c r="BF50" t="str">
        <f>HYPERLINK("http://dx.doi.org/10.1002/dep2.37","http://dx.doi.org/10.1002/dep2.37")</f>
        <v>http://dx.doi.org/10.1002/dep2.37</v>
      </c>
      <c r="BG50" t="s">
        <v>74</v>
      </c>
      <c r="BH50" t="s">
        <v>74</v>
      </c>
      <c r="BI50">
        <v>55</v>
      </c>
      <c r="BJ50" t="s">
        <v>1181</v>
      </c>
      <c r="BK50" t="s">
        <v>261</v>
      </c>
      <c r="BL50" t="s">
        <v>1181</v>
      </c>
      <c r="BM50" t="s">
        <v>1182</v>
      </c>
      <c r="BN50" t="s">
        <v>74</v>
      </c>
      <c r="BO50" t="s">
        <v>764</v>
      </c>
      <c r="BP50" t="s">
        <v>74</v>
      </c>
      <c r="BQ50" t="s">
        <v>74</v>
      </c>
      <c r="BR50" t="s">
        <v>105</v>
      </c>
      <c r="BS50" t="s">
        <v>1183</v>
      </c>
      <c r="BT50" t="str">
        <f>HYPERLINK("https%3A%2F%2Fwww.webofscience.com%2Fwos%2Fwoscc%2Ffull-record%2FWOS:000431677700001","View Full Record in Web of Science")</f>
        <v>View Full Record in Web of Science</v>
      </c>
    </row>
    <row r="51" spans="1:72" x14ac:dyDescent="0.15">
      <c r="A51" t="s">
        <v>72</v>
      </c>
      <c r="B51" t="s">
        <v>1184</v>
      </c>
      <c r="C51" t="s">
        <v>74</v>
      </c>
      <c r="D51" t="s">
        <v>74</v>
      </c>
      <c r="E51" t="s">
        <v>74</v>
      </c>
      <c r="F51" t="s">
        <v>1185</v>
      </c>
      <c r="G51" t="s">
        <v>74</v>
      </c>
      <c r="H51" t="s">
        <v>74</v>
      </c>
      <c r="I51" t="s">
        <v>1186</v>
      </c>
      <c r="J51" t="s">
        <v>1187</v>
      </c>
      <c r="K51" t="s">
        <v>74</v>
      </c>
      <c r="L51" t="s">
        <v>74</v>
      </c>
      <c r="M51" t="s">
        <v>78</v>
      </c>
      <c r="N51" t="s">
        <v>79</v>
      </c>
      <c r="O51" t="s">
        <v>74</v>
      </c>
      <c r="P51" t="s">
        <v>74</v>
      </c>
      <c r="Q51" t="s">
        <v>74</v>
      </c>
      <c r="R51" t="s">
        <v>74</v>
      </c>
      <c r="S51" t="s">
        <v>74</v>
      </c>
      <c r="T51" t="s">
        <v>1188</v>
      </c>
      <c r="U51" t="s">
        <v>1189</v>
      </c>
      <c r="V51" t="s">
        <v>1190</v>
      </c>
      <c r="W51" t="s">
        <v>1191</v>
      </c>
      <c r="X51" t="s">
        <v>1192</v>
      </c>
      <c r="Y51" t="s">
        <v>1193</v>
      </c>
      <c r="Z51" t="s">
        <v>1194</v>
      </c>
      <c r="AA51" t="s">
        <v>74</v>
      </c>
      <c r="AB51" t="s">
        <v>74</v>
      </c>
      <c r="AC51" t="s">
        <v>1195</v>
      </c>
      <c r="AD51" t="s">
        <v>1196</v>
      </c>
      <c r="AE51" t="s">
        <v>1197</v>
      </c>
      <c r="AF51" t="s">
        <v>74</v>
      </c>
      <c r="AG51">
        <v>27</v>
      </c>
      <c r="AH51">
        <v>5</v>
      </c>
      <c r="AI51">
        <v>6</v>
      </c>
      <c r="AJ51">
        <v>4</v>
      </c>
      <c r="AK51">
        <v>40</v>
      </c>
      <c r="AL51" t="s">
        <v>179</v>
      </c>
      <c r="AM51" t="s">
        <v>180</v>
      </c>
      <c r="AN51" t="s">
        <v>181</v>
      </c>
      <c r="AO51" t="s">
        <v>1198</v>
      </c>
      <c r="AP51" t="s">
        <v>1199</v>
      </c>
      <c r="AQ51" t="s">
        <v>74</v>
      </c>
      <c r="AR51" t="s">
        <v>1200</v>
      </c>
      <c r="AS51" t="s">
        <v>1201</v>
      </c>
      <c r="AT51" t="s">
        <v>98</v>
      </c>
      <c r="AU51">
        <v>2018</v>
      </c>
      <c r="AV51">
        <v>98</v>
      </c>
      <c r="AW51">
        <v>8</v>
      </c>
      <c r="AX51" t="s">
        <v>74</v>
      </c>
      <c r="AY51" t="s">
        <v>74</v>
      </c>
      <c r="AZ51" t="s">
        <v>74</v>
      </c>
      <c r="BA51" t="s">
        <v>74</v>
      </c>
      <c r="BB51">
        <v>3049</v>
      </c>
      <c r="BC51">
        <v>3056</v>
      </c>
      <c r="BD51" t="s">
        <v>74</v>
      </c>
      <c r="BE51" t="s">
        <v>1202</v>
      </c>
      <c r="BF51" t="str">
        <f>HYPERLINK("http://dx.doi.org/10.1002/jsfa.8804","http://dx.doi.org/10.1002/jsfa.8804")</f>
        <v>http://dx.doi.org/10.1002/jsfa.8804</v>
      </c>
      <c r="BG51" t="s">
        <v>74</v>
      </c>
      <c r="BH51" t="s">
        <v>74</v>
      </c>
      <c r="BI51">
        <v>8</v>
      </c>
      <c r="BJ51" t="s">
        <v>1203</v>
      </c>
      <c r="BK51" t="s">
        <v>101</v>
      </c>
      <c r="BL51" t="s">
        <v>1204</v>
      </c>
      <c r="BM51" t="s">
        <v>1205</v>
      </c>
      <c r="BN51">
        <v>29194642</v>
      </c>
      <c r="BO51" t="s">
        <v>74</v>
      </c>
      <c r="BP51" t="s">
        <v>74</v>
      </c>
      <c r="BQ51" t="s">
        <v>74</v>
      </c>
      <c r="BR51" t="s">
        <v>105</v>
      </c>
      <c r="BS51" t="s">
        <v>1206</v>
      </c>
      <c r="BT51" t="str">
        <f>HYPERLINK("https%3A%2F%2Fwww.webofscience.com%2Fwos%2Fwoscc%2Ffull-record%2FWOS:000431662300023","View Full Record in Web of Science")</f>
        <v>View Full Record in Web of Science</v>
      </c>
    </row>
    <row r="52" spans="1:72" x14ac:dyDescent="0.15">
      <c r="A52" t="s">
        <v>72</v>
      </c>
      <c r="B52" t="s">
        <v>1207</v>
      </c>
      <c r="C52" t="s">
        <v>74</v>
      </c>
      <c r="D52" t="s">
        <v>74</v>
      </c>
      <c r="E52" t="s">
        <v>74</v>
      </c>
      <c r="F52" t="s">
        <v>1208</v>
      </c>
      <c r="G52" t="s">
        <v>74</v>
      </c>
      <c r="H52" t="s">
        <v>74</v>
      </c>
      <c r="I52" t="s">
        <v>1209</v>
      </c>
      <c r="J52" t="s">
        <v>852</v>
      </c>
      <c r="K52" t="s">
        <v>74</v>
      </c>
      <c r="L52" t="s">
        <v>74</v>
      </c>
      <c r="M52" t="s">
        <v>78</v>
      </c>
      <c r="N52" t="s">
        <v>79</v>
      </c>
      <c r="O52" t="s">
        <v>74</v>
      </c>
      <c r="P52" t="s">
        <v>74</v>
      </c>
      <c r="Q52" t="s">
        <v>74</v>
      </c>
      <c r="R52" t="s">
        <v>74</v>
      </c>
      <c r="S52" t="s">
        <v>74</v>
      </c>
      <c r="T52" t="s">
        <v>1210</v>
      </c>
      <c r="U52" t="s">
        <v>1211</v>
      </c>
      <c r="V52" t="s">
        <v>1212</v>
      </c>
      <c r="W52" t="s">
        <v>1213</v>
      </c>
      <c r="X52" t="s">
        <v>1214</v>
      </c>
      <c r="Y52" t="s">
        <v>1215</v>
      </c>
      <c r="Z52" t="s">
        <v>1216</v>
      </c>
      <c r="AA52" t="s">
        <v>1217</v>
      </c>
      <c r="AB52" t="s">
        <v>1218</v>
      </c>
      <c r="AC52" t="s">
        <v>1219</v>
      </c>
      <c r="AD52" t="s">
        <v>1220</v>
      </c>
      <c r="AE52" t="s">
        <v>1221</v>
      </c>
      <c r="AF52" t="s">
        <v>74</v>
      </c>
      <c r="AG52">
        <v>35</v>
      </c>
      <c r="AH52">
        <v>15</v>
      </c>
      <c r="AI52">
        <v>17</v>
      </c>
      <c r="AJ52">
        <v>3</v>
      </c>
      <c r="AK52">
        <v>35</v>
      </c>
      <c r="AL52" t="s">
        <v>865</v>
      </c>
      <c r="AM52" t="s">
        <v>92</v>
      </c>
      <c r="AN52" t="s">
        <v>866</v>
      </c>
      <c r="AO52" t="s">
        <v>867</v>
      </c>
      <c r="AP52" t="s">
        <v>868</v>
      </c>
      <c r="AQ52" t="s">
        <v>74</v>
      </c>
      <c r="AR52" t="s">
        <v>869</v>
      </c>
      <c r="AS52" t="s">
        <v>870</v>
      </c>
      <c r="AT52" t="s">
        <v>129</v>
      </c>
      <c r="AU52">
        <v>2018</v>
      </c>
      <c r="AV52">
        <v>210</v>
      </c>
      <c r="AW52" t="s">
        <v>74</v>
      </c>
      <c r="AX52" t="s">
        <v>74</v>
      </c>
      <c r="AY52" t="s">
        <v>74</v>
      </c>
      <c r="AZ52" t="s">
        <v>74</v>
      </c>
      <c r="BA52" t="s">
        <v>74</v>
      </c>
      <c r="BB52">
        <v>444</v>
      </c>
      <c r="BC52">
        <v>451</v>
      </c>
      <c r="BD52" t="s">
        <v>74</v>
      </c>
      <c r="BE52" t="s">
        <v>1222</v>
      </c>
      <c r="BF52" t="str">
        <f>HYPERLINK("http://dx.doi.org/10.1016/j.rse.2018.02.071","http://dx.doi.org/10.1016/j.rse.2018.02.071")</f>
        <v>http://dx.doi.org/10.1016/j.rse.2018.02.071</v>
      </c>
      <c r="BG52" t="s">
        <v>74</v>
      </c>
      <c r="BH52" t="s">
        <v>74</v>
      </c>
      <c r="BI52">
        <v>8</v>
      </c>
      <c r="BJ52" t="s">
        <v>872</v>
      </c>
      <c r="BK52" t="s">
        <v>101</v>
      </c>
      <c r="BL52" t="s">
        <v>873</v>
      </c>
      <c r="BM52" t="s">
        <v>874</v>
      </c>
      <c r="BN52" t="s">
        <v>74</v>
      </c>
      <c r="BO52" t="s">
        <v>288</v>
      </c>
      <c r="BP52" t="s">
        <v>74</v>
      </c>
      <c r="BQ52" t="s">
        <v>74</v>
      </c>
      <c r="BR52" t="s">
        <v>105</v>
      </c>
      <c r="BS52" t="s">
        <v>1223</v>
      </c>
      <c r="BT52" t="str">
        <f>HYPERLINK("https%3A%2F%2Fwww.webofscience.com%2Fwos%2Fwoscc%2Ffull-record%2FWOS:000431164300032","View Full Record in Web of Science")</f>
        <v>View Full Record in Web of Science</v>
      </c>
    </row>
    <row r="53" spans="1:72" x14ac:dyDescent="0.15">
      <c r="A53" t="s">
        <v>72</v>
      </c>
      <c r="B53" t="s">
        <v>1224</v>
      </c>
      <c r="C53" t="s">
        <v>74</v>
      </c>
      <c r="D53" t="s">
        <v>74</v>
      </c>
      <c r="E53" t="s">
        <v>74</v>
      </c>
      <c r="F53" t="s">
        <v>1225</v>
      </c>
      <c r="G53" t="s">
        <v>74</v>
      </c>
      <c r="H53" t="s">
        <v>74</v>
      </c>
      <c r="I53" t="s">
        <v>1226</v>
      </c>
      <c r="J53" t="s">
        <v>1227</v>
      </c>
      <c r="K53" t="s">
        <v>74</v>
      </c>
      <c r="L53" t="s">
        <v>74</v>
      </c>
      <c r="M53" t="s">
        <v>78</v>
      </c>
      <c r="N53" t="s">
        <v>79</v>
      </c>
      <c r="O53" t="s">
        <v>74</v>
      </c>
      <c r="P53" t="s">
        <v>74</v>
      </c>
      <c r="Q53" t="s">
        <v>74</v>
      </c>
      <c r="R53" t="s">
        <v>74</v>
      </c>
      <c r="S53" t="s">
        <v>74</v>
      </c>
      <c r="T53" t="s">
        <v>74</v>
      </c>
      <c r="U53" t="s">
        <v>1228</v>
      </c>
      <c r="V53" t="s">
        <v>1229</v>
      </c>
      <c r="W53" t="s">
        <v>1230</v>
      </c>
      <c r="X53" t="s">
        <v>1231</v>
      </c>
      <c r="Y53" t="s">
        <v>1232</v>
      </c>
      <c r="Z53" t="s">
        <v>1233</v>
      </c>
      <c r="AA53" t="s">
        <v>1234</v>
      </c>
      <c r="AB53" t="s">
        <v>1235</v>
      </c>
      <c r="AC53" t="s">
        <v>1236</v>
      </c>
      <c r="AD53" t="s">
        <v>1237</v>
      </c>
      <c r="AE53" t="s">
        <v>1238</v>
      </c>
      <c r="AF53" t="s">
        <v>74</v>
      </c>
      <c r="AG53">
        <v>92</v>
      </c>
      <c r="AH53">
        <v>14</v>
      </c>
      <c r="AI53">
        <v>14</v>
      </c>
      <c r="AJ53">
        <v>0</v>
      </c>
      <c r="AK53">
        <v>12</v>
      </c>
      <c r="AL53" t="s">
        <v>179</v>
      </c>
      <c r="AM53" t="s">
        <v>180</v>
      </c>
      <c r="AN53" t="s">
        <v>181</v>
      </c>
      <c r="AO53" t="s">
        <v>1239</v>
      </c>
      <c r="AP53" t="s">
        <v>1240</v>
      </c>
      <c r="AQ53" t="s">
        <v>74</v>
      </c>
      <c r="AR53" t="s">
        <v>1227</v>
      </c>
      <c r="AS53" t="s">
        <v>1241</v>
      </c>
      <c r="AT53" t="s">
        <v>98</v>
      </c>
      <c r="AU53">
        <v>2018</v>
      </c>
      <c r="AV53">
        <v>30</v>
      </c>
      <c r="AW53">
        <v>3</v>
      </c>
      <c r="AX53" t="s">
        <v>74</v>
      </c>
      <c r="AY53" t="s">
        <v>74</v>
      </c>
      <c r="AZ53" t="s">
        <v>74</v>
      </c>
      <c r="BA53" t="s">
        <v>74</v>
      </c>
      <c r="BB53">
        <v>207</v>
      </c>
      <c r="BC53">
        <v>214</v>
      </c>
      <c r="BD53" t="s">
        <v>74</v>
      </c>
      <c r="BE53" t="s">
        <v>1242</v>
      </c>
      <c r="BF53" t="str">
        <f>HYPERLINK("http://dx.doi.org/10.1111/ter.12327","http://dx.doi.org/10.1111/ter.12327")</f>
        <v>http://dx.doi.org/10.1111/ter.12327</v>
      </c>
      <c r="BG53" t="s">
        <v>74</v>
      </c>
      <c r="BH53" t="s">
        <v>74</v>
      </c>
      <c r="BI53">
        <v>8</v>
      </c>
      <c r="BJ53" t="s">
        <v>1243</v>
      </c>
      <c r="BK53" t="s">
        <v>101</v>
      </c>
      <c r="BL53" t="s">
        <v>1181</v>
      </c>
      <c r="BM53" t="s">
        <v>1244</v>
      </c>
      <c r="BN53" t="s">
        <v>74</v>
      </c>
      <c r="BO53" t="s">
        <v>980</v>
      </c>
      <c r="BP53" t="s">
        <v>74</v>
      </c>
      <c r="BQ53" t="s">
        <v>74</v>
      </c>
      <c r="BR53" t="s">
        <v>105</v>
      </c>
      <c r="BS53" t="s">
        <v>1245</v>
      </c>
      <c r="BT53" t="str">
        <f>HYPERLINK("https%3A%2F%2Fwww.webofscience.com%2Fwos%2Fwoscc%2Ffull-record%2FWOS:000431507500005","View Full Record in Web of Science")</f>
        <v>View Full Record in Web of Science</v>
      </c>
    </row>
    <row r="54" spans="1:72" x14ac:dyDescent="0.15">
      <c r="A54" t="s">
        <v>72</v>
      </c>
      <c r="B54" t="s">
        <v>1246</v>
      </c>
      <c r="C54" t="s">
        <v>74</v>
      </c>
      <c r="D54" t="s">
        <v>74</v>
      </c>
      <c r="E54" t="s">
        <v>74</v>
      </c>
      <c r="F54" t="s">
        <v>1247</v>
      </c>
      <c r="G54" t="s">
        <v>74</v>
      </c>
      <c r="H54" t="s">
        <v>74</v>
      </c>
      <c r="I54" t="s">
        <v>1248</v>
      </c>
      <c r="J54" t="s">
        <v>1249</v>
      </c>
      <c r="K54" t="s">
        <v>74</v>
      </c>
      <c r="L54" t="s">
        <v>74</v>
      </c>
      <c r="M54" t="s">
        <v>78</v>
      </c>
      <c r="N54" t="s">
        <v>79</v>
      </c>
      <c r="O54" t="s">
        <v>74</v>
      </c>
      <c r="P54" t="s">
        <v>74</v>
      </c>
      <c r="Q54" t="s">
        <v>74</v>
      </c>
      <c r="R54" t="s">
        <v>74</v>
      </c>
      <c r="S54" t="s">
        <v>74</v>
      </c>
      <c r="T54" t="s">
        <v>1250</v>
      </c>
      <c r="U54" t="s">
        <v>1251</v>
      </c>
      <c r="V54" t="s">
        <v>1252</v>
      </c>
      <c r="W54" t="s">
        <v>1253</v>
      </c>
      <c r="X54" t="s">
        <v>1254</v>
      </c>
      <c r="Y54" t="s">
        <v>1255</v>
      </c>
      <c r="Z54" t="s">
        <v>1256</v>
      </c>
      <c r="AA54" t="s">
        <v>1257</v>
      </c>
      <c r="AB54" t="s">
        <v>1258</v>
      </c>
      <c r="AC54" t="s">
        <v>1259</v>
      </c>
      <c r="AD54" t="s">
        <v>1260</v>
      </c>
      <c r="AE54" t="s">
        <v>1261</v>
      </c>
      <c r="AF54" t="s">
        <v>74</v>
      </c>
      <c r="AG54">
        <v>72</v>
      </c>
      <c r="AH54">
        <v>23</v>
      </c>
      <c r="AI54">
        <v>23</v>
      </c>
      <c r="AJ54">
        <v>0</v>
      </c>
      <c r="AK54">
        <v>95</v>
      </c>
      <c r="AL54" t="s">
        <v>914</v>
      </c>
      <c r="AM54" t="s">
        <v>452</v>
      </c>
      <c r="AN54" t="s">
        <v>915</v>
      </c>
      <c r="AO54" t="s">
        <v>1262</v>
      </c>
      <c r="AP54" t="s">
        <v>1263</v>
      </c>
      <c r="AQ54" t="s">
        <v>74</v>
      </c>
      <c r="AR54" t="s">
        <v>1264</v>
      </c>
      <c r="AS54" t="s">
        <v>1265</v>
      </c>
      <c r="AT54" t="s">
        <v>98</v>
      </c>
      <c r="AU54">
        <v>2018</v>
      </c>
      <c r="AV54">
        <v>503</v>
      </c>
      <c r="AW54" t="s">
        <v>74</v>
      </c>
      <c r="AX54" t="s">
        <v>74</v>
      </c>
      <c r="AY54" t="s">
        <v>74</v>
      </c>
      <c r="AZ54" t="s">
        <v>74</v>
      </c>
      <c r="BA54" t="s">
        <v>74</v>
      </c>
      <c r="BB54">
        <v>120</v>
      </c>
      <c r="BC54">
        <v>128</v>
      </c>
      <c r="BD54" t="s">
        <v>74</v>
      </c>
      <c r="BE54" t="s">
        <v>1266</v>
      </c>
      <c r="BF54" t="str">
        <f>HYPERLINK("http://dx.doi.org/10.1016/j.jembe.2018.03.004","http://dx.doi.org/10.1016/j.jembe.2018.03.004")</f>
        <v>http://dx.doi.org/10.1016/j.jembe.2018.03.004</v>
      </c>
      <c r="BG54" t="s">
        <v>74</v>
      </c>
      <c r="BH54" t="s">
        <v>74</v>
      </c>
      <c r="BI54">
        <v>9</v>
      </c>
      <c r="BJ54" t="s">
        <v>1267</v>
      </c>
      <c r="BK54" t="s">
        <v>101</v>
      </c>
      <c r="BL54" t="s">
        <v>1268</v>
      </c>
      <c r="BM54" t="s">
        <v>1269</v>
      </c>
      <c r="BN54" t="s">
        <v>74</v>
      </c>
      <c r="BO54" t="s">
        <v>980</v>
      </c>
      <c r="BP54" t="s">
        <v>74</v>
      </c>
      <c r="BQ54" t="s">
        <v>74</v>
      </c>
      <c r="BR54" t="s">
        <v>105</v>
      </c>
      <c r="BS54" t="s">
        <v>1270</v>
      </c>
      <c r="BT54" t="str">
        <f>HYPERLINK("https%3A%2F%2Fwww.webofscience.com%2Fwos%2Fwoscc%2Ffull-record%2FWOS:000431161000015","View Full Record in Web of Science")</f>
        <v>View Full Record in Web of Science</v>
      </c>
    </row>
    <row r="55" spans="1:72" x14ac:dyDescent="0.15">
      <c r="A55" t="s">
        <v>72</v>
      </c>
      <c r="B55" t="s">
        <v>1271</v>
      </c>
      <c r="C55" t="s">
        <v>74</v>
      </c>
      <c r="D55" t="s">
        <v>74</v>
      </c>
      <c r="E55" t="s">
        <v>74</v>
      </c>
      <c r="F55" t="s">
        <v>1272</v>
      </c>
      <c r="G55" t="s">
        <v>74</v>
      </c>
      <c r="H55" t="s">
        <v>74</v>
      </c>
      <c r="I55" t="s">
        <v>1273</v>
      </c>
      <c r="J55" t="s">
        <v>1274</v>
      </c>
      <c r="K55" t="s">
        <v>74</v>
      </c>
      <c r="L55" t="s">
        <v>74</v>
      </c>
      <c r="M55" t="s">
        <v>78</v>
      </c>
      <c r="N55" t="s">
        <v>79</v>
      </c>
      <c r="O55" t="s">
        <v>74</v>
      </c>
      <c r="P55" t="s">
        <v>74</v>
      </c>
      <c r="Q55" t="s">
        <v>74</v>
      </c>
      <c r="R55" t="s">
        <v>74</v>
      </c>
      <c r="S55" t="s">
        <v>74</v>
      </c>
      <c r="T55" t="s">
        <v>1275</v>
      </c>
      <c r="U55" t="s">
        <v>1276</v>
      </c>
      <c r="V55" t="s">
        <v>1277</v>
      </c>
      <c r="W55" t="s">
        <v>1278</v>
      </c>
      <c r="X55" t="s">
        <v>1279</v>
      </c>
      <c r="Y55" t="s">
        <v>1280</v>
      </c>
      <c r="Z55" t="s">
        <v>1281</v>
      </c>
      <c r="AA55" t="s">
        <v>1282</v>
      </c>
      <c r="AB55" t="s">
        <v>1283</v>
      </c>
      <c r="AC55" t="s">
        <v>1284</v>
      </c>
      <c r="AD55" t="s">
        <v>1284</v>
      </c>
      <c r="AE55" t="s">
        <v>1285</v>
      </c>
      <c r="AF55" t="s">
        <v>74</v>
      </c>
      <c r="AG55">
        <v>83</v>
      </c>
      <c r="AH55">
        <v>30</v>
      </c>
      <c r="AI55">
        <v>30</v>
      </c>
      <c r="AJ55">
        <v>0</v>
      </c>
      <c r="AK55">
        <v>67</v>
      </c>
      <c r="AL55" t="s">
        <v>425</v>
      </c>
      <c r="AM55" t="s">
        <v>278</v>
      </c>
      <c r="AN55" t="s">
        <v>426</v>
      </c>
      <c r="AO55" t="s">
        <v>1286</v>
      </c>
      <c r="AP55" t="s">
        <v>1287</v>
      </c>
      <c r="AQ55" t="s">
        <v>74</v>
      </c>
      <c r="AR55" t="s">
        <v>1288</v>
      </c>
      <c r="AS55" t="s">
        <v>1289</v>
      </c>
      <c r="AT55" t="s">
        <v>98</v>
      </c>
      <c r="AU55">
        <v>2018</v>
      </c>
      <c r="AV55">
        <v>237</v>
      </c>
      <c r="AW55" t="s">
        <v>74</v>
      </c>
      <c r="AX55" t="s">
        <v>74</v>
      </c>
      <c r="AY55" t="s">
        <v>74</v>
      </c>
      <c r="AZ55" t="s">
        <v>74</v>
      </c>
      <c r="BA55" t="s">
        <v>74</v>
      </c>
      <c r="BB55">
        <v>824</v>
      </c>
      <c r="BC55">
        <v>831</v>
      </c>
      <c r="BD55" t="s">
        <v>74</v>
      </c>
      <c r="BE55" t="s">
        <v>1290</v>
      </c>
      <c r="BF55" t="str">
        <f>HYPERLINK("http://dx.doi.org/10.1016/j.envpol.2017.11.004","http://dx.doi.org/10.1016/j.envpol.2017.11.004")</f>
        <v>http://dx.doi.org/10.1016/j.envpol.2017.11.004</v>
      </c>
      <c r="BG55" t="s">
        <v>74</v>
      </c>
      <c r="BH55" t="s">
        <v>74</v>
      </c>
      <c r="BI55">
        <v>8</v>
      </c>
      <c r="BJ55" t="s">
        <v>921</v>
      </c>
      <c r="BK55" t="s">
        <v>101</v>
      </c>
      <c r="BL55" t="s">
        <v>315</v>
      </c>
      <c r="BM55" t="s">
        <v>1291</v>
      </c>
      <c r="BN55">
        <v>29146204</v>
      </c>
      <c r="BO55" t="s">
        <v>1292</v>
      </c>
      <c r="BP55" t="s">
        <v>74</v>
      </c>
      <c r="BQ55" t="s">
        <v>74</v>
      </c>
      <c r="BR55" t="s">
        <v>105</v>
      </c>
      <c r="BS55" t="s">
        <v>1293</v>
      </c>
      <c r="BT55" t="str">
        <f>HYPERLINK("https%3A%2F%2Fwww.webofscience.com%2Fwos%2Fwoscc%2Ffull-record%2FWOS:000431158900084","View Full Record in Web of Science")</f>
        <v>View Full Record in Web of Science</v>
      </c>
    </row>
    <row r="56" spans="1:72" x14ac:dyDescent="0.15">
      <c r="A56" t="s">
        <v>72</v>
      </c>
      <c r="B56" t="s">
        <v>1294</v>
      </c>
      <c r="C56" t="s">
        <v>74</v>
      </c>
      <c r="D56" t="s">
        <v>74</v>
      </c>
      <c r="E56" t="s">
        <v>74</v>
      </c>
      <c r="F56" t="s">
        <v>1295</v>
      </c>
      <c r="G56" t="s">
        <v>74</v>
      </c>
      <c r="H56" t="s">
        <v>74</v>
      </c>
      <c r="I56" t="s">
        <v>1296</v>
      </c>
      <c r="J56" t="s">
        <v>1297</v>
      </c>
      <c r="K56" t="s">
        <v>74</v>
      </c>
      <c r="L56" t="s">
        <v>74</v>
      </c>
      <c r="M56" t="s">
        <v>78</v>
      </c>
      <c r="N56" t="s">
        <v>79</v>
      </c>
      <c r="O56" t="s">
        <v>74</v>
      </c>
      <c r="P56" t="s">
        <v>74</v>
      </c>
      <c r="Q56" t="s">
        <v>74</v>
      </c>
      <c r="R56" t="s">
        <v>74</v>
      </c>
      <c r="S56" t="s">
        <v>74</v>
      </c>
      <c r="T56" t="s">
        <v>1298</v>
      </c>
      <c r="U56" t="s">
        <v>1299</v>
      </c>
      <c r="V56" t="s">
        <v>1300</v>
      </c>
      <c r="W56" t="s">
        <v>1301</v>
      </c>
      <c r="X56" t="s">
        <v>1302</v>
      </c>
      <c r="Y56" t="s">
        <v>1303</v>
      </c>
      <c r="Z56" t="s">
        <v>1304</v>
      </c>
      <c r="AA56" t="s">
        <v>1305</v>
      </c>
      <c r="AB56" t="s">
        <v>1306</v>
      </c>
      <c r="AC56" t="s">
        <v>1307</v>
      </c>
      <c r="AD56" t="s">
        <v>1308</v>
      </c>
      <c r="AE56" t="s">
        <v>1309</v>
      </c>
      <c r="AF56" t="s">
        <v>74</v>
      </c>
      <c r="AG56">
        <v>168</v>
      </c>
      <c r="AH56">
        <v>24</v>
      </c>
      <c r="AI56">
        <v>27</v>
      </c>
      <c r="AJ56">
        <v>2</v>
      </c>
      <c r="AK56">
        <v>28</v>
      </c>
      <c r="AL56" t="s">
        <v>277</v>
      </c>
      <c r="AM56" t="s">
        <v>278</v>
      </c>
      <c r="AN56" t="s">
        <v>279</v>
      </c>
      <c r="AO56" t="s">
        <v>1310</v>
      </c>
      <c r="AP56" t="s">
        <v>1311</v>
      </c>
      <c r="AQ56" t="s">
        <v>74</v>
      </c>
      <c r="AR56" t="s">
        <v>1312</v>
      </c>
      <c r="AS56" t="s">
        <v>1313</v>
      </c>
      <c r="AT56" t="s">
        <v>129</v>
      </c>
      <c r="AU56">
        <v>2018</v>
      </c>
      <c r="AV56">
        <v>230</v>
      </c>
      <c r="AW56" t="s">
        <v>74</v>
      </c>
      <c r="AX56" t="s">
        <v>74</v>
      </c>
      <c r="AY56" t="s">
        <v>74</v>
      </c>
      <c r="AZ56" t="s">
        <v>74</v>
      </c>
      <c r="BA56" t="s">
        <v>74</v>
      </c>
      <c r="BB56">
        <v>17</v>
      </c>
      <c r="BC56">
        <v>45</v>
      </c>
      <c r="BD56" t="s">
        <v>74</v>
      </c>
      <c r="BE56" t="s">
        <v>1314</v>
      </c>
      <c r="BF56" t="str">
        <f>HYPERLINK("http://dx.doi.org/10.1016/j.gca.2018.02.037","http://dx.doi.org/10.1016/j.gca.2018.02.037")</f>
        <v>http://dx.doi.org/10.1016/j.gca.2018.02.037</v>
      </c>
      <c r="BG56" t="s">
        <v>74</v>
      </c>
      <c r="BH56" t="s">
        <v>74</v>
      </c>
      <c r="BI56">
        <v>29</v>
      </c>
      <c r="BJ56" t="s">
        <v>260</v>
      </c>
      <c r="BK56" t="s">
        <v>101</v>
      </c>
      <c r="BL56" t="s">
        <v>260</v>
      </c>
      <c r="BM56" t="s">
        <v>1315</v>
      </c>
      <c r="BN56" t="s">
        <v>74</v>
      </c>
      <c r="BO56" t="s">
        <v>1316</v>
      </c>
      <c r="BP56" t="s">
        <v>74</v>
      </c>
      <c r="BQ56" t="s">
        <v>74</v>
      </c>
      <c r="BR56" t="s">
        <v>105</v>
      </c>
      <c r="BS56" t="s">
        <v>1317</v>
      </c>
      <c r="BT56" t="str">
        <f>HYPERLINK("https%3A%2F%2Fwww.webofscience.com%2Fwos%2Fwoscc%2Ffull-record%2FWOS:000430999100002","View Full Record in Web of Science")</f>
        <v>View Full Record in Web of Science</v>
      </c>
    </row>
    <row r="57" spans="1:72" x14ac:dyDescent="0.15">
      <c r="A57" t="s">
        <v>72</v>
      </c>
      <c r="B57" t="s">
        <v>1318</v>
      </c>
      <c r="C57" t="s">
        <v>74</v>
      </c>
      <c r="D57" t="s">
        <v>74</v>
      </c>
      <c r="E57" t="s">
        <v>74</v>
      </c>
      <c r="F57" t="s">
        <v>1319</v>
      </c>
      <c r="G57" t="s">
        <v>74</v>
      </c>
      <c r="H57" t="s">
        <v>74</v>
      </c>
      <c r="I57" t="s">
        <v>1320</v>
      </c>
      <c r="J57" t="s">
        <v>1321</v>
      </c>
      <c r="K57" t="s">
        <v>74</v>
      </c>
      <c r="L57" t="s">
        <v>74</v>
      </c>
      <c r="M57" t="s">
        <v>78</v>
      </c>
      <c r="N57" t="s">
        <v>79</v>
      </c>
      <c r="O57" t="s">
        <v>74</v>
      </c>
      <c r="P57" t="s">
        <v>74</v>
      </c>
      <c r="Q57" t="s">
        <v>74</v>
      </c>
      <c r="R57" t="s">
        <v>74</v>
      </c>
      <c r="S57" t="s">
        <v>74</v>
      </c>
      <c r="T57" t="s">
        <v>1322</v>
      </c>
      <c r="U57" t="s">
        <v>1323</v>
      </c>
      <c r="V57" t="s">
        <v>1324</v>
      </c>
      <c r="W57" t="s">
        <v>1325</v>
      </c>
      <c r="X57" t="s">
        <v>1326</v>
      </c>
      <c r="Y57" t="s">
        <v>1327</v>
      </c>
      <c r="Z57" t="s">
        <v>1328</v>
      </c>
      <c r="AA57" t="s">
        <v>1329</v>
      </c>
      <c r="AB57" t="s">
        <v>1330</v>
      </c>
      <c r="AC57" t="s">
        <v>1331</v>
      </c>
      <c r="AD57" t="s">
        <v>1332</v>
      </c>
      <c r="AE57" t="s">
        <v>1333</v>
      </c>
      <c r="AF57" t="s">
        <v>74</v>
      </c>
      <c r="AG57">
        <v>24</v>
      </c>
      <c r="AH57">
        <v>6</v>
      </c>
      <c r="AI57">
        <v>6</v>
      </c>
      <c r="AJ57">
        <v>0</v>
      </c>
      <c r="AK57">
        <v>5</v>
      </c>
      <c r="AL57" t="s">
        <v>1334</v>
      </c>
      <c r="AM57" t="s">
        <v>1335</v>
      </c>
      <c r="AN57" t="s">
        <v>1336</v>
      </c>
      <c r="AO57" t="s">
        <v>1337</v>
      </c>
      <c r="AP57" t="s">
        <v>1338</v>
      </c>
      <c r="AQ57" t="s">
        <v>74</v>
      </c>
      <c r="AR57" t="s">
        <v>1321</v>
      </c>
      <c r="AS57" t="s">
        <v>1339</v>
      </c>
      <c r="AT57" t="s">
        <v>98</v>
      </c>
      <c r="AU57">
        <v>2018</v>
      </c>
      <c r="AV57">
        <v>55</v>
      </c>
      <c r="AW57">
        <v>2</v>
      </c>
      <c r="AX57" t="s">
        <v>74</v>
      </c>
      <c r="AY57" t="s">
        <v>74</v>
      </c>
      <c r="AZ57" t="s">
        <v>74</v>
      </c>
      <c r="BA57" t="s">
        <v>74</v>
      </c>
      <c r="BB57">
        <v>95</v>
      </c>
      <c r="BC57">
        <v>101</v>
      </c>
      <c r="BD57" t="s">
        <v>74</v>
      </c>
      <c r="BE57" t="s">
        <v>1340</v>
      </c>
      <c r="BF57" t="str">
        <f>HYPERLINK("http://dx.doi.org/10.2478/helm-2018-0002","http://dx.doi.org/10.2478/helm-2018-0002")</f>
        <v>http://dx.doi.org/10.2478/helm-2018-0002</v>
      </c>
      <c r="BG57" t="s">
        <v>74</v>
      </c>
      <c r="BH57" t="s">
        <v>74</v>
      </c>
      <c r="BI57">
        <v>7</v>
      </c>
      <c r="BJ57" t="s">
        <v>1341</v>
      </c>
      <c r="BK57" t="s">
        <v>101</v>
      </c>
      <c r="BL57" t="s">
        <v>1341</v>
      </c>
      <c r="BM57" t="s">
        <v>1342</v>
      </c>
      <c r="BN57">
        <v>31662634</v>
      </c>
      <c r="BO57" t="s">
        <v>764</v>
      </c>
      <c r="BP57" t="s">
        <v>74</v>
      </c>
      <c r="BQ57" t="s">
        <v>74</v>
      </c>
      <c r="BR57" t="s">
        <v>105</v>
      </c>
      <c r="BS57" t="s">
        <v>1343</v>
      </c>
      <c r="BT57" t="str">
        <f>HYPERLINK("https%3A%2F%2Fwww.webofscience.com%2Fwos%2Fwoscc%2Ffull-record%2FWOS:000431087400002","View Full Record in Web of Science")</f>
        <v>View Full Record in Web of Science</v>
      </c>
    </row>
    <row r="58" spans="1:72" x14ac:dyDescent="0.15">
      <c r="A58" t="s">
        <v>72</v>
      </c>
      <c r="B58" t="s">
        <v>1344</v>
      </c>
      <c r="C58" t="s">
        <v>74</v>
      </c>
      <c r="D58" t="s">
        <v>74</v>
      </c>
      <c r="E58" t="s">
        <v>74</v>
      </c>
      <c r="F58" t="s">
        <v>1345</v>
      </c>
      <c r="G58" t="s">
        <v>74</v>
      </c>
      <c r="H58" t="s">
        <v>74</v>
      </c>
      <c r="I58" t="s">
        <v>1346</v>
      </c>
      <c r="J58" t="s">
        <v>1347</v>
      </c>
      <c r="K58" t="s">
        <v>74</v>
      </c>
      <c r="L58" t="s">
        <v>74</v>
      </c>
      <c r="M58" t="s">
        <v>78</v>
      </c>
      <c r="N58" t="s">
        <v>79</v>
      </c>
      <c r="O58" t="s">
        <v>74</v>
      </c>
      <c r="P58" t="s">
        <v>74</v>
      </c>
      <c r="Q58" t="s">
        <v>74</v>
      </c>
      <c r="R58" t="s">
        <v>74</v>
      </c>
      <c r="S58" t="s">
        <v>74</v>
      </c>
      <c r="T58" t="s">
        <v>74</v>
      </c>
      <c r="U58" t="s">
        <v>1348</v>
      </c>
      <c r="V58" t="s">
        <v>1349</v>
      </c>
      <c r="W58" t="s">
        <v>1350</v>
      </c>
      <c r="X58" t="s">
        <v>1351</v>
      </c>
      <c r="Y58" t="s">
        <v>1352</v>
      </c>
      <c r="Z58" t="s">
        <v>1353</v>
      </c>
      <c r="AA58" t="s">
        <v>1354</v>
      </c>
      <c r="AB58" t="s">
        <v>74</v>
      </c>
      <c r="AC58" t="s">
        <v>1355</v>
      </c>
      <c r="AD58" t="s">
        <v>1356</v>
      </c>
      <c r="AE58" t="s">
        <v>1357</v>
      </c>
      <c r="AF58" t="s">
        <v>74</v>
      </c>
      <c r="AG58">
        <v>42</v>
      </c>
      <c r="AH58">
        <v>12</v>
      </c>
      <c r="AI58">
        <v>12</v>
      </c>
      <c r="AJ58">
        <v>0</v>
      </c>
      <c r="AK58">
        <v>22</v>
      </c>
      <c r="AL58" t="s">
        <v>277</v>
      </c>
      <c r="AM58" t="s">
        <v>278</v>
      </c>
      <c r="AN58" t="s">
        <v>279</v>
      </c>
      <c r="AO58" t="s">
        <v>1358</v>
      </c>
      <c r="AP58" t="s">
        <v>1359</v>
      </c>
      <c r="AQ58" t="s">
        <v>74</v>
      </c>
      <c r="AR58" t="s">
        <v>1360</v>
      </c>
      <c r="AS58" t="s">
        <v>1361</v>
      </c>
      <c r="AT58" t="s">
        <v>98</v>
      </c>
      <c r="AU58">
        <v>2018</v>
      </c>
      <c r="AV58">
        <v>171</v>
      </c>
      <c r="AW58" t="s">
        <v>74</v>
      </c>
      <c r="AX58" t="s">
        <v>74</v>
      </c>
      <c r="AY58" t="s">
        <v>74</v>
      </c>
      <c r="AZ58" t="s">
        <v>508</v>
      </c>
      <c r="BA58" t="s">
        <v>74</v>
      </c>
      <c r="BB58">
        <v>111</v>
      </c>
      <c r="BC58">
        <v>118</v>
      </c>
      <c r="BD58" t="s">
        <v>74</v>
      </c>
      <c r="BE58" t="s">
        <v>1362</v>
      </c>
      <c r="BF58" t="str">
        <f>HYPERLINK("http://dx.doi.org/10.1016/j.jastp.2017.07.010","http://dx.doi.org/10.1016/j.jastp.2017.07.010")</f>
        <v>http://dx.doi.org/10.1016/j.jastp.2017.07.010</v>
      </c>
      <c r="BG58" t="s">
        <v>74</v>
      </c>
      <c r="BH58" t="s">
        <v>74</v>
      </c>
      <c r="BI58">
        <v>8</v>
      </c>
      <c r="BJ58" t="s">
        <v>1363</v>
      </c>
      <c r="BK58" t="s">
        <v>101</v>
      </c>
      <c r="BL58" t="s">
        <v>1363</v>
      </c>
      <c r="BM58" t="s">
        <v>1364</v>
      </c>
      <c r="BN58" t="s">
        <v>74</v>
      </c>
      <c r="BO58" t="s">
        <v>341</v>
      </c>
      <c r="BP58" t="s">
        <v>74</v>
      </c>
      <c r="BQ58" t="s">
        <v>74</v>
      </c>
      <c r="BR58" t="s">
        <v>105</v>
      </c>
      <c r="BS58" t="s">
        <v>1365</v>
      </c>
      <c r="BT58" t="str">
        <f>HYPERLINK("https%3A%2F%2Fwww.webofscience.com%2Fwos%2Fwoscc%2Ffull-record%2FWOS:000431159400011","View Full Record in Web of Science")</f>
        <v>View Full Record in Web of Science</v>
      </c>
    </row>
    <row r="59" spans="1:72" x14ac:dyDescent="0.15">
      <c r="A59" t="s">
        <v>72</v>
      </c>
      <c r="B59" t="s">
        <v>1366</v>
      </c>
      <c r="C59" t="s">
        <v>74</v>
      </c>
      <c r="D59" t="s">
        <v>74</v>
      </c>
      <c r="E59" t="s">
        <v>74</v>
      </c>
      <c r="F59" t="s">
        <v>1367</v>
      </c>
      <c r="G59" t="s">
        <v>74</v>
      </c>
      <c r="H59" t="s">
        <v>74</v>
      </c>
      <c r="I59" t="s">
        <v>1368</v>
      </c>
      <c r="J59" t="s">
        <v>1347</v>
      </c>
      <c r="K59" t="s">
        <v>74</v>
      </c>
      <c r="L59" t="s">
        <v>74</v>
      </c>
      <c r="M59" t="s">
        <v>78</v>
      </c>
      <c r="N59" t="s">
        <v>79</v>
      </c>
      <c r="O59" t="s">
        <v>74</v>
      </c>
      <c r="P59" t="s">
        <v>74</v>
      </c>
      <c r="Q59" t="s">
        <v>74</v>
      </c>
      <c r="R59" t="s">
        <v>74</v>
      </c>
      <c r="S59" t="s">
        <v>74</v>
      </c>
      <c r="T59" t="s">
        <v>74</v>
      </c>
      <c r="U59" t="s">
        <v>1369</v>
      </c>
      <c r="V59" t="s">
        <v>1370</v>
      </c>
      <c r="W59" t="s">
        <v>1371</v>
      </c>
      <c r="X59" t="s">
        <v>1372</v>
      </c>
      <c r="Y59" t="s">
        <v>1373</v>
      </c>
      <c r="Z59" t="s">
        <v>1374</v>
      </c>
      <c r="AA59" t="s">
        <v>1375</v>
      </c>
      <c r="AB59" t="s">
        <v>1376</v>
      </c>
      <c r="AC59" t="s">
        <v>1377</v>
      </c>
      <c r="AD59" t="s">
        <v>1378</v>
      </c>
      <c r="AE59" t="s">
        <v>1379</v>
      </c>
      <c r="AF59" t="s">
        <v>74</v>
      </c>
      <c r="AG59">
        <v>35</v>
      </c>
      <c r="AH59">
        <v>20</v>
      </c>
      <c r="AI59">
        <v>21</v>
      </c>
      <c r="AJ59">
        <v>0</v>
      </c>
      <c r="AK59">
        <v>12</v>
      </c>
      <c r="AL59" t="s">
        <v>277</v>
      </c>
      <c r="AM59" t="s">
        <v>278</v>
      </c>
      <c r="AN59" t="s">
        <v>279</v>
      </c>
      <c r="AO59" t="s">
        <v>1358</v>
      </c>
      <c r="AP59" t="s">
        <v>1359</v>
      </c>
      <c r="AQ59" t="s">
        <v>74</v>
      </c>
      <c r="AR59" t="s">
        <v>1360</v>
      </c>
      <c r="AS59" t="s">
        <v>1361</v>
      </c>
      <c r="AT59" t="s">
        <v>98</v>
      </c>
      <c r="AU59">
        <v>2018</v>
      </c>
      <c r="AV59">
        <v>171</v>
      </c>
      <c r="AW59" t="s">
        <v>74</v>
      </c>
      <c r="AX59" t="s">
        <v>74</v>
      </c>
      <c r="AY59" t="s">
        <v>74</v>
      </c>
      <c r="AZ59" t="s">
        <v>508</v>
      </c>
      <c r="BA59" t="s">
        <v>74</v>
      </c>
      <c r="BB59">
        <v>241</v>
      </c>
      <c r="BC59">
        <v>249</v>
      </c>
      <c r="BD59" t="s">
        <v>74</v>
      </c>
      <c r="BE59" t="s">
        <v>1380</v>
      </c>
      <c r="BF59" t="str">
        <f>HYPERLINK("http://dx.doi.org/10.1016/j.jastp.2017.06.005","http://dx.doi.org/10.1016/j.jastp.2017.06.005")</f>
        <v>http://dx.doi.org/10.1016/j.jastp.2017.06.005</v>
      </c>
      <c r="BG59" t="s">
        <v>74</v>
      </c>
      <c r="BH59" t="s">
        <v>74</v>
      </c>
      <c r="BI59">
        <v>9</v>
      </c>
      <c r="BJ59" t="s">
        <v>1363</v>
      </c>
      <c r="BK59" t="s">
        <v>101</v>
      </c>
      <c r="BL59" t="s">
        <v>1363</v>
      </c>
      <c r="BM59" t="s">
        <v>1364</v>
      </c>
      <c r="BN59" t="s">
        <v>74</v>
      </c>
      <c r="BO59" t="s">
        <v>74</v>
      </c>
      <c r="BP59" t="s">
        <v>74</v>
      </c>
      <c r="BQ59" t="s">
        <v>74</v>
      </c>
      <c r="BR59" t="s">
        <v>105</v>
      </c>
      <c r="BS59" t="s">
        <v>1381</v>
      </c>
      <c r="BT59" t="str">
        <f>HYPERLINK("https%3A%2F%2Fwww.webofscience.com%2Fwos%2Fwoscc%2Ffull-record%2FWOS:000431159400024","View Full Record in Web of Science")</f>
        <v>View Full Record in Web of Science</v>
      </c>
    </row>
    <row r="60" spans="1:72" x14ac:dyDescent="0.15">
      <c r="A60" t="s">
        <v>72</v>
      </c>
      <c r="B60" t="s">
        <v>1382</v>
      </c>
      <c r="C60" t="s">
        <v>74</v>
      </c>
      <c r="D60" t="s">
        <v>74</v>
      </c>
      <c r="E60" t="s">
        <v>74</v>
      </c>
      <c r="F60" t="s">
        <v>1383</v>
      </c>
      <c r="G60" t="s">
        <v>74</v>
      </c>
      <c r="H60" t="s">
        <v>74</v>
      </c>
      <c r="I60" t="s">
        <v>1384</v>
      </c>
      <c r="J60" t="s">
        <v>439</v>
      </c>
      <c r="K60" t="s">
        <v>74</v>
      </c>
      <c r="L60" t="s">
        <v>74</v>
      </c>
      <c r="M60" t="s">
        <v>78</v>
      </c>
      <c r="N60" t="s">
        <v>79</v>
      </c>
      <c r="O60" t="s">
        <v>74</v>
      </c>
      <c r="P60" t="s">
        <v>74</v>
      </c>
      <c r="Q60" t="s">
        <v>74</v>
      </c>
      <c r="R60" t="s">
        <v>74</v>
      </c>
      <c r="S60" t="s">
        <v>74</v>
      </c>
      <c r="T60" t="s">
        <v>1385</v>
      </c>
      <c r="U60" t="s">
        <v>1386</v>
      </c>
      <c r="V60" t="s">
        <v>1387</v>
      </c>
      <c r="W60" t="s">
        <v>1388</v>
      </c>
      <c r="X60" t="s">
        <v>1389</v>
      </c>
      <c r="Y60" t="s">
        <v>1390</v>
      </c>
      <c r="Z60" t="s">
        <v>1391</v>
      </c>
      <c r="AA60" t="s">
        <v>1392</v>
      </c>
      <c r="AB60" t="s">
        <v>1393</v>
      </c>
      <c r="AC60" t="s">
        <v>1394</v>
      </c>
      <c r="AD60" t="s">
        <v>1394</v>
      </c>
      <c r="AE60" t="s">
        <v>1395</v>
      </c>
      <c r="AF60" t="s">
        <v>74</v>
      </c>
      <c r="AG60">
        <v>64</v>
      </c>
      <c r="AH60">
        <v>10</v>
      </c>
      <c r="AI60">
        <v>10</v>
      </c>
      <c r="AJ60">
        <v>1</v>
      </c>
      <c r="AK60">
        <v>20</v>
      </c>
      <c r="AL60" t="s">
        <v>451</v>
      </c>
      <c r="AM60" t="s">
        <v>452</v>
      </c>
      <c r="AN60" t="s">
        <v>453</v>
      </c>
      <c r="AO60" t="s">
        <v>454</v>
      </c>
      <c r="AP60" t="s">
        <v>455</v>
      </c>
      <c r="AQ60" t="s">
        <v>74</v>
      </c>
      <c r="AR60" t="s">
        <v>456</v>
      </c>
      <c r="AS60" t="s">
        <v>457</v>
      </c>
      <c r="AT60" t="s">
        <v>98</v>
      </c>
      <c r="AU60">
        <v>2018</v>
      </c>
      <c r="AV60">
        <v>89</v>
      </c>
      <c r="AW60" t="s">
        <v>74</v>
      </c>
      <c r="AX60" t="s">
        <v>74</v>
      </c>
      <c r="AY60" t="s">
        <v>74</v>
      </c>
      <c r="AZ60" t="s">
        <v>74</v>
      </c>
      <c r="BA60" t="s">
        <v>74</v>
      </c>
      <c r="BB60">
        <v>610</v>
      </c>
      <c r="BC60">
        <v>621</v>
      </c>
      <c r="BD60" t="s">
        <v>74</v>
      </c>
      <c r="BE60" t="s">
        <v>1396</v>
      </c>
      <c r="BF60" t="str">
        <f>HYPERLINK("http://dx.doi.org/10.1016/j.ecolind.2018.02.039","http://dx.doi.org/10.1016/j.ecolind.2018.02.039")</f>
        <v>http://dx.doi.org/10.1016/j.ecolind.2018.02.039</v>
      </c>
      <c r="BG60" t="s">
        <v>74</v>
      </c>
      <c r="BH60" t="s">
        <v>74</v>
      </c>
      <c r="BI60">
        <v>12</v>
      </c>
      <c r="BJ60" t="s">
        <v>459</v>
      </c>
      <c r="BK60" t="s">
        <v>101</v>
      </c>
      <c r="BL60" t="s">
        <v>102</v>
      </c>
      <c r="BM60" t="s">
        <v>460</v>
      </c>
      <c r="BN60" t="s">
        <v>74</v>
      </c>
      <c r="BO60" t="s">
        <v>74</v>
      </c>
      <c r="BP60" t="s">
        <v>74</v>
      </c>
      <c r="BQ60" t="s">
        <v>74</v>
      </c>
      <c r="BR60" t="s">
        <v>105</v>
      </c>
      <c r="BS60" t="s">
        <v>1397</v>
      </c>
      <c r="BT60" t="str">
        <f>HYPERLINK("https%3A%2F%2Fwww.webofscience.com%2Fwos%2Fwoscc%2Ffull-record%2FWOS:000430760900060","View Full Record in Web of Science")</f>
        <v>View Full Record in Web of Science</v>
      </c>
    </row>
    <row r="61" spans="1:72" x14ac:dyDescent="0.15">
      <c r="A61" t="s">
        <v>72</v>
      </c>
      <c r="B61" t="s">
        <v>1398</v>
      </c>
      <c r="C61" t="s">
        <v>74</v>
      </c>
      <c r="D61" t="s">
        <v>74</v>
      </c>
      <c r="E61" t="s">
        <v>74</v>
      </c>
      <c r="F61" t="s">
        <v>1399</v>
      </c>
      <c r="G61" t="s">
        <v>74</v>
      </c>
      <c r="H61" t="s">
        <v>74</v>
      </c>
      <c r="I61" t="s">
        <v>1400</v>
      </c>
      <c r="J61" t="s">
        <v>1401</v>
      </c>
      <c r="K61" t="s">
        <v>74</v>
      </c>
      <c r="L61" t="s">
        <v>74</v>
      </c>
      <c r="M61" t="s">
        <v>78</v>
      </c>
      <c r="N61" t="s">
        <v>79</v>
      </c>
      <c r="O61" t="s">
        <v>74</v>
      </c>
      <c r="P61" t="s">
        <v>74</v>
      </c>
      <c r="Q61" t="s">
        <v>74</v>
      </c>
      <c r="R61" t="s">
        <v>74</v>
      </c>
      <c r="S61" t="s">
        <v>74</v>
      </c>
      <c r="T61" t="s">
        <v>1402</v>
      </c>
      <c r="U61" t="s">
        <v>1403</v>
      </c>
      <c r="V61" t="s">
        <v>1404</v>
      </c>
      <c r="W61" t="s">
        <v>1405</v>
      </c>
      <c r="X61" t="s">
        <v>1406</v>
      </c>
      <c r="Y61" t="s">
        <v>1407</v>
      </c>
      <c r="Z61" t="s">
        <v>1408</v>
      </c>
      <c r="AA61" t="s">
        <v>1409</v>
      </c>
      <c r="AB61" t="s">
        <v>74</v>
      </c>
      <c r="AC61" t="s">
        <v>1410</v>
      </c>
      <c r="AD61" t="s">
        <v>1411</v>
      </c>
      <c r="AE61" t="s">
        <v>1412</v>
      </c>
      <c r="AF61" t="s">
        <v>74</v>
      </c>
      <c r="AG61">
        <v>96</v>
      </c>
      <c r="AH61">
        <v>6</v>
      </c>
      <c r="AI61">
        <v>9</v>
      </c>
      <c r="AJ61">
        <v>0</v>
      </c>
      <c r="AK61">
        <v>3</v>
      </c>
      <c r="AL61" t="s">
        <v>914</v>
      </c>
      <c r="AM61" t="s">
        <v>452</v>
      </c>
      <c r="AN61" t="s">
        <v>915</v>
      </c>
      <c r="AO61" t="s">
        <v>1413</v>
      </c>
      <c r="AP61" t="s">
        <v>1414</v>
      </c>
      <c r="AQ61" t="s">
        <v>74</v>
      </c>
      <c r="AR61" t="s">
        <v>1415</v>
      </c>
      <c r="AS61" t="s">
        <v>1416</v>
      </c>
      <c r="AT61" t="s">
        <v>129</v>
      </c>
      <c r="AU61">
        <v>2018</v>
      </c>
      <c r="AV61">
        <v>498</v>
      </c>
      <c r="AW61" t="s">
        <v>74</v>
      </c>
      <c r="AX61" t="s">
        <v>74</v>
      </c>
      <c r="AY61" t="s">
        <v>74</v>
      </c>
      <c r="AZ61" t="s">
        <v>74</v>
      </c>
      <c r="BA61" t="s">
        <v>74</v>
      </c>
      <c r="BB61">
        <v>115</v>
      </c>
      <c r="BC61">
        <v>126</v>
      </c>
      <c r="BD61" t="s">
        <v>74</v>
      </c>
      <c r="BE61" t="s">
        <v>1417</v>
      </c>
      <c r="BF61" t="str">
        <f>HYPERLINK("http://dx.doi.org/10.1016/j.palaeo.2018.03.009","http://dx.doi.org/10.1016/j.palaeo.2018.03.009")</f>
        <v>http://dx.doi.org/10.1016/j.palaeo.2018.03.009</v>
      </c>
      <c r="BG61" t="s">
        <v>74</v>
      </c>
      <c r="BH61" t="s">
        <v>74</v>
      </c>
      <c r="BI61">
        <v>12</v>
      </c>
      <c r="BJ61" t="s">
        <v>1418</v>
      </c>
      <c r="BK61" t="s">
        <v>101</v>
      </c>
      <c r="BL61" t="s">
        <v>1419</v>
      </c>
      <c r="BM61" t="s">
        <v>1420</v>
      </c>
      <c r="BN61" t="s">
        <v>74</v>
      </c>
      <c r="BO61" t="s">
        <v>1421</v>
      </c>
      <c r="BP61" t="s">
        <v>74</v>
      </c>
      <c r="BQ61" t="s">
        <v>74</v>
      </c>
      <c r="BR61" t="s">
        <v>105</v>
      </c>
      <c r="BS61" t="s">
        <v>1422</v>
      </c>
      <c r="BT61" t="str">
        <f>HYPERLINK("https%3A%2F%2Fwww.webofscience.com%2Fwos%2Fwoscc%2Ffull-record%2FWOS:000430785200009","View Full Record in Web of Science")</f>
        <v>View Full Record in Web of Science</v>
      </c>
    </row>
    <row r="62" spans="1:72" x14ac:dyDescent="0.15">
      <c r="A62" t="s">
        <v>72</v>
      </c>
      <c r="B62" t="s">
        <v>1423</v>
      </c>
      <c r="C62" t="s">
        <v>74</v>
      </c>
      <c r="D62" t="s">
        <v>74</v>
      </c>
      <c r="E62" t="s">
        <v>74</v>
      </c>
      <c r="F62" t="s">
        <v>1424</v>
      </c>
      <c r="G62" t="s">
        <v>74</v>
      </c>
      <c r="H62" t="s">
        <v>74</v>
      </c>
      <c r="I62" t="s">
        <v>1425</v>
      </c>
      <c r="J62" t="s">
        <v>1426</v>
      </c>
      <c r="K62" t="s">
        <v>74</v>
      </c>
      <c r="L62" t="s">
        <v>74</v>
      </c>
      <c r="M62" t="s">
        <v>78</v>
      </c>
      <c r="N62" t="s">
        <v>1427</v>
      </c>
      <c r="O62" t="s">
        <v>1428</v>
      </c>
      <c r="P62" t="s">
        <v>1429</v>
      </c>
      <c r="Q62" t="s">
        <v>1430</v>
      </c>
      <c r="R62" t="s">
        <v>74</v>
      </c>
      <c r="S62" t="s">
        <v>74</v>
      </c>
      <c r="T62" t="s">
        <v>1431</v>
      </c>
      <c r="U62" t="s">
        <v>1432</v>
      </c>
      <c r="V62" t="s">
        <v>1433</v>
      </c>
      <c r="W62" t="s">
        <v>1434</v>
      </c>
      <c r="X62" t="s">
        <v>1435</v>
      </c>
      <c r="Y62" t="s">
        <v>1436</v>
      </c>
      <c r="Z62" t="s">
        <v>1437</v>
      </c>
      <c r="AA62" t="s">
        <v>1438</v>
      </c>
      <c r="AB62" t="s">
        <v>1439</v>
      </c>
      <c r="AC62" t="s">
        <v>1440</v>
      </c>
      <c r="AD62" t="s">
        <v>1441</v>
      </c>
      <c r="AE62" t="s">
        <v>1442</v>
      </c>
      <c r="AF62" t="s">
        <v>74</v>
      </c>
      <c r="AG62">
        <v>18</v>
      </c>
      <c r="AH62">
        <v>1</v>
      </c>
      <c r="AI62">
        <v>1</v>
      </c>
      <c r="AJ62">
        <v>0</v>
      </c>
      <c r="AK62">
        <v>23</v>
      </c>
      <c r="AL62" t="s">
        <v>865</v>
      </c>
      <c r="AM62" t="s">
        <v>92</v>
      </c>
      <c r="AN62" t="s">
        <v>866</v>
      </c>
      <c r="AO62" t="s">
        <v>1443</v>
      </c>
      <c r="AP62" t="s">
        <v>1444</v>
      </c>
      <c r="AQ62" t="s">
        <v>74</v>
      </c>
      <c r="AR62" t="s">
        <v>1445</v>
      </c>
      <c r="AS62" t="s">
        <v>1446</v>
      </c>
      <c r="AT62" t="s">
        <v>98</v>
      </c>
      <c r="AU62">
        <v>2018</v>
      </c>
      <c r="AV62">
        <v>58</v>
      </c>
      <c r="AW62" t="s">
        <v>74</v>
      </c>
      <c r="AX62" t="s">
        <v>74</v>
      </c>
      <c r="AY62" t="s">
        <v>74</v>
      </c>
      <c r="AZ62" t="s">
        <v>74</v>
      </c>
      <c r="BA62" t="s">
        <v>74</v>
      </c>
      <c r="BB62">
        <v>158</v>
      </c>
      <c r="BC62">
        <v>165</v>
      </c>
      <c r="BD62" t="s">
        <v>74</v>
      </c>
      <c r="BE62" t="s">
        <v>1447</v>
      </c>
      <c r="BF62" t="str">
        <f>HYPERLINK("http://dx.doi.org/10.1016/j.apm.2017.09.046","http://dx.doi.org/10.1016/j.apm.2017.09.046")</f>
        <v>http://dx.doi.org/10.1016/j.apm.2017.09.046</v>
      </c>
      <c r="BG62" t="s">
        <v>74</v>
      </c>
      <c r="BH62" t="s">
        <v>74</v>
      </c>
      <c r="BI62">
        <v>8</v>
      </c>
      <c r="BJ62" t="s">
        <v>1448</v>
      </c>
      <c r="BK62" t="s">
        <v>1449</v>
      </c>
      <c r="BL62" t="s">
        <v>1450</v>
      </c>
      <c r="BM62" t="s">
        <v>1451</v>
      </c>
      <c r="BN62" t="s">
        <v>74</v>
      </c>
      <c r="BO62" t="s">
        <v>74</v>
      </c>
      <c r="BP62" t="s">
        <v>74</v>
      </c>
      <c r="BQ62" t="s">
        <v>74</v>
      </c>
      <c r="BR62" t="s">
        <v>105</v>
      </c>
      <c r="BS62" t="s">
        <v>1452</v>
      </c>
      <c r="BT62" t="str">
        <f>HYPERLINK("https%3A%2F%2Fwww.webofscience.com%2Fwos%2Fwoscc%2Ffull-record%2FWOS:000430037400013","View Full Record in Web of Science")</f>
        <v>View Full Record in Web of Science</v>
      </c>
    </row>
    <row r="63" spans="1:72" x14ac:dyDescent="0.15">
      <c r="A63" t="s">
        <v>72</v>
      </c>
      <c r="B63" t="s">
        <v>1453</v>
      </c>
      <c r="C63" t="s">
        <v>74</v>
      </c>
      <c r="D63" t="s">
        <v>74</v>
      </c>
      <c r="E63" t="s">
        <v>74</v>
      </c>
      <c r="F63" t="s">
        <v>1454</v>
      </c>
      <c r="G63" t="s">
        <v>74</v>
      </c>
      <c r="H63" t="s">
        <v>74</v>
      </c>
      <c r="I63" t="s">
        <v>1455</v>
      </c>
      <c r="J63" t="s">
        <v>1456</v>
      </c>
      <c r="K63" t="s">
        <v>74</v>
      </c>
      <c r="L63" t="s">
        <v>74</v>
      </c>
      <c r="M63" t="s">
        <v>78</v>
      </c>
      <c r="N63" t="s">
        <v>79</v>
      </c>
      <c r="O63" t="s">
        <v>74</v>
      </c>
      <c r="P63" t="s">
        <v>74</v>
      </c>
      <c r="Q63" t="s">
        <v>74</v>
      </c>
      <c r="R63" t="s">
        <v>74</v>
      </c>
      <c r="S63" t="s">
        <v>74</v>
      </c>
      <c r="T63" t="s">
        <v>1457</v>
      </c>
      <c r="U63" t="s">
        <v>1458</v>
      </c>
      <c r="V63" t="s">
        <v>1459</v>
      </c>
      <c r="W63" t="s">
        <v>1460</v>
      </c>
      <c r="X63" t="s">
        <v>1461</v>
      </c>
      <c r="Y63" t="s">
        <v>1462</v>
      </c>
      <c r="Z63" t="s">
        <v>1463</v>
      </c>
      <c r="AA63" t="s">
        <v>1464</v>
      </c>
      <c r="AB63" t="s">
        <v>1465</v>
      </c>
      <c r="AC63" t="s">
        <v>1466</v>
      </c>
      <c r="AD63" t="s">
        <v>1466</v>
      </c>
      <c r="AE63" t="s">
        <v>1467</v>
      </c>
      <c r="AF63" t="s">
        <v>74</v>
      </c>
      <c r="AG63">
        <v>62</v>
      </c>
      <c r="AH63">
        <v>29</v>
      </c>
      <c r="AI63">
        <v>34</v>
      </c>
      <c r="AJ63">
        <v>1</v>
      </c>
      <c r="AK63">
        <v>42</v>
      </c>
      <c r="AL63" t="s">
        <v>91</v>
      </c>
      <c r="AM63" t="s">
        <v>1468</v>
      </c>
      <c r="AN63" t="s">
        <v>1469</v>
      </c>
      <c r="AO63" t="s">
        <v>1470</v>
      </c>
      <c r="AP63" t="s">
        <v>1471</v>
      </c>
      <c r="AQ63" t="s">
        <v>74</v>
      </c>
      <c r="AR63" t="s">
        <v>1472</v>
      </c>
      <c r="AS63" t="s">
        <v>1473</v>
      </c>
      <c r="AT63" t="s">
        <v>98</v>
      </c>
      <c r="AU63">
        <v>2018</v>
      </c>
      <c r="AV63">
        <v>39</v>
      </c>
      <c r="AW63" t="s">
        <v>1474</v>
      </c>
      <c r="AX63" t="s">
        <v>74</v>
      </c>
      <c r="AY63" t="s">
        <v>74</v>
      </c>
      <c r="AZ63" t="s">
        <v>508</v>
      </c>
      <c r="BA63" t="s">
        <v>74</v>
      </c>
      <c r="BB63">
        <v>23</v>
      </c>
      <c r="BC63">
        <v>40</v>
      </c>
      <c r="BD63" t="s">
        <v>74</v>
      </c>
      <c r="BE63" t="s">
        <v>1475</v>
      </c>
      <c r="BF63" t="str">
        <f>HYPERLINK("http://dx.doi.org/10.1007/s11001-017-9316-5","http://dx.doi.org/10.1007/s11001-017-9316-5")</f>
        <v>http://dx.doi.org/10.1007/s11001-017-9316-5</v>
      </c>
      <c r="BG63" t="s">
        <v>74</v>
      </c>
      <c r="BH63" t="s">
        <v>74</v>
      </c>
      <c r="BI63">
        <v>18</v>
      </c>
      <c r="BJ63" t="s">
        <v>1476</v>
      </c>
      <c r="BK63" t="s">
        <v>101</v>
      </c>
      <c r="BL63" t="s">
        <v>1476</v>
      </c>
      <c r="BM63" t="s">
        <v>1477</v>
      </c>
      <c r="BN63" t="s">
        <v>74</v>
      </c>
      <c r="BO63" t="s">
        <v>74</v>
      </c>
      <c r="BP63" t="s">
        <v>74</v>
      </c>
      <c r="BQ63" t="s">
        <v>74</v>
      </c>
      <c r="BR63" t="s">
        <v>105</v>
      </c>
      <c r="BS63" t="s">
        <v>1478</v>
      </c>
      <c r="BT63" t="str">
        <f>HYPERLINK("https%3A%2F%2Fwww.webofscience.com%2Fwos%2Fwoscc%2Ffull-record%2FWOS:000430016500003","View Full Record in Web of Science")</f>
        <v>View Full Record in Web of Science</v>
      </c>
    </row>
    <row r="64" spans="1:72" x14ac:dyDescent="0.15">
      <c r="A64" t="s">
        <v>72</v>
      </c>
      <c r="B64" t="s">
        <v>1479</v>
      </c>
      <c r="C64" t="s">
        <v>74</v>
      </c>
      <c r="D64" t="s">
        <v>74</v>
      </c>
      <c r="E64" t="s">
        <v>74</v>
      </c>
      <c r="F64" t="s">
        <v>1480</v>
      </c>
      <c r="G64" t="s">
        <v>74</v>
      </c>
      <c r="H64" t="s">
        <v>74</v>
      </c>
      <c r="I64" t="s">
        <v>1481</v>
      </c>
      <c r="J64" t="s">
        <v>1456</v>
      </c>
      <c r="K64" t="s">
        <v>74</v>
      </c>
      <c r="L64" t="s">
        <v>74</v>
      </c>
      <c r="M64" t="s">
        <v>78</v>
      </c>
      <c r="N64" t="s">
        <v>79</v>
      </c>
      <c r="O64" t="s">
        <v>74</v>
      </c>
      <c r="P64" t="s">
        <v>74</v>
      </c>
      <c r="Q64" t="s">
        <v>74</v>
      </c>
      <c r="R64" t="s">
        <v>74</v>
      </c>
      <c r="S64" t="s">
        <v>74</v>
      </c>
      <c r="T64" t="s">
        <v>1482</v>
      </c>
      <c r="U64" t="s">
        <v>1483</v>
      </c>
      <c r="V64" t="s">
        <v>1484</v>
      </c>
      <c r="W64" t="s">
        <v>1485</v>
      </c>
      <c r="X64" t="s">
        <v>1486</v>
      </c>
      <c r="Y64" t="s">
        <v>1487</v>
      </c>
      <c r="Z64" t="s">
        <v>1488</v>
      </c>
      <c r="AA64" t="s">
        <v>1489</v>
      </c>
      <c r="AB64" t="s">
        <v>1490</v>
      </c>
      <c r="AC64" t="s">
        <v>1491</v>
      </c>
      <c r="AD64" t="s">
        <v>1491</v>
      </c>
      <c r="AE64" t="s">
        <v>1492</v>
      </c>
      <c r="AF64" t="s">
        <v>74</v>
      </c>
      <c r="AG64">
        <v>67</v>
      </c>
      <c r="AH64">
        <v>70</v>
      </c>
      <c r="AI64">
        <v>73</v>
      </c>
      <c r="AJ64">
        <v>4</v>
      </c>
      <c r="AK64">
        <v>31</v>
      </c>
      <c r="AL64" t="s">
        <v>91</v>
      </c>
      <c r="AM64" t="s">
        <v>1468</v>
      </c>
      <c r="AN64" t="s">
        <v>1469</v>
      </c>
      <c r="AO64" t="s">
        <v>1470</v>
      </c>
      <c r="AP64" t="s">
        <v>1471</v>
      </c>
      <c r="AQ64" t="s">
        <v>74</v>
      </c>
      <c r="AR64" t="s">
        <v>1472</v>
      </c>
      <c r="AS64" t="s">
        <v>1473</v>
      </c>
      <c r="AT64" t="s">
        <v>98</v>
      </c>
      <c r="AU64">
        <v>2018</v>
      </c>
      <c r="AV64">
        <v>39</v>
      </c>
      <c r="AW64" t="s">
        <v>1474</v>
      </c>
      <c r="AX64" t="s">
        <v>74</v>
      </c>
      <c r="AY64" t="s">
        <v>74</v>
      </c>
      <c r="AZ64" t="s">
        <v>508</v>
      </c>
      <c r="BA64" t="s">
        <v>74</v>
      </c>
      <c r="BB64">
        <v>271</v>
      </c>
      <c r="BC64">
        <v>288</v>
      </c>
      <c r="BD64" t="s">
        <v>74</v>
      </c>
      <c r="BE64" t="s">
        <v>1493</v>
      </c>
      <c r="BF64" t="str">
        <f>HYPERLINK("http://dx.doi.org/10.1007/s11001-017-9338-z","http://dx.doi.org/10.1007/s11001-017-9338-z")</f>
        <v>http://dx.doi.org/10.1007/s11001-017-9338-z</v>
      </c>
      <c r="BG64" t="s">
        <v>74</v>
      </c>
      <c r="BH64" t="s">
        <v>74</v>
      </c>
      <c r="BI64">
        <v>18</v>
      </c>
      <c r="BJ64" t="s">
        <v>1476</v>
      </c>
      <c r="BK64" t="s">
        <v>101</v>
      </c>
      <c r="BL64" t="s">
        <v>1476</v>
      </c>
      <c r="BM64" t="s">
        <v>1477</v>
      </c>
      <c r="BN64" t="s">
        <v>74</v>
      </c>
      <c r="BO64" t="s">
        <v>74</v>
      </c>
      <c r="BP64" t="s">
        <v>74</v>
      </c>
      <c r="BQ64" t="s">
        <v>74</v>
      </c>
      <c r="BR64" t="s">
        <v>105</v>
      </c>
      <c r="BS64" t="s">
        <v>1494</v>
      </c>
      <c r="BT64" t="str">
        <f>HYPERLINK("https%3A%2F%2Fwww.webofscience.com%2Fwos%2Fwoscc%2Ffull-record%2FWOS:000430016500017","View Full Record in Web of Science")</f>
        <v>View Full Record in Web of Science</v>
      </c>
    </row>
    <row r="65" spans="1:72" x14ac:dyDescent="0.15">
      <c r="A65" t="s">
        <v>72</v>
      </c>
      <c r="B65" t="s">
        <v>1495</v>
      </c>
      <c r="C65" t="s">
        <v>74</v>
      </c>
      <c r="D65" t="s">
        <v>74</v>
      </c>
      <c r="E65" t="s">
        <v>74</v>
      </c>
      <c r="F65" t="s">
        <v>1496</v>
      </c>
      <c r="G65" t="s">
        <v>74</v>
      </c>
      <c r="H65" t="s">
        <v>74</v>
      </c>
      <c r="I65" t="s">
        <v>1497</v>
      </c>
      <c r="J65" t="s">
        <v>1498</v>
      </c>
      <c r="K65" t="s">
        <v>74</v>
      </c>
      <c r="L65" t="s">
        <v>74</v>
      </c>
      <c r="M65" t="s">
        <v>78</v>
      </c>
      <c r="N65" t="s">
        <v>79</v>
      </c>
      <c r="O65" t="s">
        <v>74</v>
      </c>
      <c r="P65" t="s">
        <v>74</v>
      </c>
      <c r="Q65" t="s">
        <v>74</v>
      </c>
      <c r="R65" t="s">
        <v>74</v>
      </c>
      <c r="S65" t="s">
        <v>74</v>
      </c>
      <c r="T65" t="s">
        <v>1499</v>
      </c>
      <c r="U65" t="s">
        <v>1500</v>
      </c>
      <c r="V65" t="s">
        <v>1501</v>
      </c>
      <c r="W65" t="s">
        <v>1502</v>
      </c>
      <c r="X65" t="s">
        <v>1503</v>
      </c>
      <c r="Y65" t="s">
        <v>1504</v>
      </c>
      <c r="Z65" t="s">
        <v>1505</v>
      </c>
      <c r="AA65" t="s">
        <v>1506</v>
      </c>
      <c r="AB65" t="s">
        <v>1507</v>
      </c>
      <c r="AC65" t="s">
        <v>1508</v>
      </c>
      <c r="AD65" t="s">
        <v>1509</v>
      </c>
      <c r="AE65" t="s">
        <v>1510</v>
      </c>
      <c r="AF65" t="s">
        <v>74</v>
      </c>
      <c r="AG65">
        <v>23</v>
      </c>
      <c r="AH65">
        <v>9</v>
      </c>
      <c r="AI65">
        <v>9</v>
      </c>
      <c r="AJ65">
        <v>4</v>
      </c>
      <c r="AK65">
        <v>74</v>
      </c>
      <c r="AL65" t="s">
        <v>1511</v>
      </c>
      <c r="AM65" t="s">
        <v>1512</v>
      </c>
      <c r="AN65" t="s">
        <v>1513</v>
      </c>
      <c r="AO65" t="s">
        <v>1514</v>
      </c>
      <c r="AP65" t="s">
        <v>1515</v>
      </c>
      <c r="AQ65" t="s">
        <v>74</v>
      </c>
      <c r="AR65" t="s">
        <v>1516</v>
      </c>
      <c r="AS65" t="s">
        <v>1517</v>
      </c>
      <c r="AT65" t="s">
        <v>1518</v>
      </c>
      <c r="AU65">
        <v>2018</v>
      </c>
      <c r="AV65">
        <v>51</v>
      </c>
      <c r="AW65">
        <v>21</v>
      </c>
      <c r="AX65" t="s">
        <v>74</v>
      </c>
      <c r="AY65" t="s">
        <v>74</v>
      </c>
      <c r="AZ65" t="s">
        <v>74</v>
      </c>
      <c r="BA65" t="s">
        <v>74</v>
      </c>
      <c r="BB65" t="s">
        <v>74</v>
      </c>
      <c r="BC65" t="s">
        <v>74</v>
      </c>
      <c r="BD65">
        <v>214002</v>
      </c>
      <c r="BE65" t="s">
        <v>1519</v>
      </c>
      <c r="BF65" t="str">
        <f>HYPERLINK("http://dx.doi.org/10.1088/1361-6463/aabb8e","http://dx.doi.org/10.1088/1361-6463/aabb8e")</f>
        <v>http://dx.doi.org/10.1088/1361-6463/aabb8e</v>
      </c>
      <c r="BG65" t="s">
        <v>74</v>
      </c>
      <c r="BH65" t="s">
        <v>74</v>
      </c>
      <c r="BI65">
        <v>8</v>
      </c>
      <c r="BJ65" t="s">
        <v>1520</v>
      </c>
      <c r="BK65" t="s">
        <v>101</v>
      </c>
      <c r="BL65" t="s">
        <v>1521</v>
      </c>
      <c r="BM65" t="s">
        <v>1522</v>
      </c>
      <c r="BN65">
        <v>30416209</v>
      </c>
      <c r="BO65" t="s">
        <v>1085</v>
      </c>
      <c r="BP65" t="s">
        <v>74</v>
      </c>
      <c r="BQ65" t="s">
        <v>74</v>
      </c>
      <c r="BR65" t="s">
        <v>105</v>
      </c>
      <c r="BS65" t="s">
        <v>1523</v>
      </c>
      <c r="BT65" t="str">
        <f>HYPERLINK("https%3A%2F%2Fwww.webofscience.com%2Fwos%2Fwoscc%2Ffull-record%2FWOS:000431424200001","View Full Record in Web of Science")</f>
        <v>View Full Record in Web of Science</v>
      </c>
    </row>
    <row r="66" spans="1:72" x14ac:dyDescent="0.15">
      <c r="A66" t="s">
        <v>72</v>
      </c>
      <c r="B66" t="s">
        <v>1524</v>
      </c>
      <c r="C66" t="s">
        <v>74</v>
      </c>
      <c r="D66" t="s">
        <v>74</v>
      </c>
      <c r="E66" t="s">
        <v>74</v>
      </c>
      <c r="F66" t="s">
        <v>1525</v>
      </c>
      <c r="G66" t="s">
        <v>74</v>
      </c>
      <c r="H66" t="s">
        <v>74</v>
      </c>
      <c r="I66" t="s">
        <v>1526</v>
      </c>
      <c r="J66" t="s">
        <v>1527</v>
      </c>
      <c r="K66" t="s">
        <v>74</v>
      </c>
      <c r="L66" t="s">
        <v>74</v>
      </c>
      <c r="M66" t="s">
        <v>78</v>
      </c>
      <c r="N66" t="s">
        <v>79</v>
      </c>
      <c r="O66" t="s">
        <v>74</v>
      </c>
      <c r="P66" t="s">
        <v>74</v>
      </c>
      <c r="Q66" t="s">
        <v>74</v>
      </c>
      <c r="R66" t="s">
        <v>74</v>
      </c>
      <c r="S66" t="s">
        <v>74</v>
      </c>
      <c r="T66" t="s">
        <v>1528</v>
      </c>
      <c r="U66" t="s">
        <v>1529</v>
      </c>
      <c r="V66" t="s">
        <v>1530</v>
      </c>
      <c r="W66" t="s">
        <v>1531</v>
      </c>
      <c r="X66" t="s">
        <v>1532</v>
      </c>
      <c r="Y66" t="s">
        <v>1533</v>
      </c>
      <c r="Z66" t="s">
        <v>1534</v>
      </c>
      <c r="AA66" t="s">
        <v>1535</v>
      </c>
      <c r="AB66" t="s">
        <v>1536</v>
      </c>
      <c r="AC66" t="s">
        <v>1537</v>
      </c>
      <c r="AD66" t="s">
        <v>1537</v>
      </c>
      <c r="AE66" t="s">
        <v>1538</v>
      </c>
      <c r="AF66" t="s">
        <v>74</v>
      </c>
      <c r="AG66">
        <v>90</v>
      </c>
      <c r="AH66">
        <v>14</v>
      </c>
      <c r="AI66">
        <v>15</v>
      </c>
      <c r="AJ66">
        <v>0</v>
      </c>
      <c r="AK66">
        <v>40</v>
      </c>
      <c r="AL66" t="s">
        <v>1539</v>
      </c>
      <c r="AM66" t="s">
        <v>1540</v>
      </c>
      <c r="AN66" t="s">
        <v>1541</v>
      </c>
      <c r="AO66" t="s">
        <v>1542</v>
      </c>
      <c r="AP66" t="s">
        <v>1543</v>
      </c>
      <c r="AQ66" t="s">
        <v>74</v>
      </c>
      <c r="AR66" t="s">
        <v>1544</v>
      </c>
      <c r="AS66" t="s">
        <v>1545</v>
      </c>
      <c r="AT66" t="s">
        <v>1518</v>
      </c>
      <c r="AU66">
        <v>2018</v>
      </c>
      <c r="AV66">
        <v>205</v>
      </c>
      <c r="AW66" t="s">
        <v>74</v>
      </c>
      <c r="AX66" t="s">
        <v>74</v>
      </c>
      <c r="AY66" t="s">
        <v>74</v>
      </c>
      <c r="AZ66" t="s">
        <v>74</v>
      </c>
      <c r="BA66" t="s">
        <v>74</v>
      </c>
      <c r="BB66">
        <v>30</v>
      </c>
      <c r="BC66">
        <v>39</v>
      </c>
      <c r="BD66" t="s">
        <v>74</v>
      </c>
      <c r="BE66" t="s">
        <v>1546</v>
      </c>
      <c r="BF66" t="str">
        <f>HYPERLINK("http://dx.doi.org/10.1016/j.ecss.2018.02.010","http://dx.doi.org/10.1016/j.ecss.2018.02.010")</f>
        <v>http://dx.doi.org/10.1016/j.ecss.2018.02.010</v>
      </c>
      <c r="BG66" t="s">
        <v>74</v>
      </c>
      <c r="BH66" t="s">
        <v>74</v>
      </c>
      <c r="BI66">
        <v>10</v>
      </c>
      <c r="BJ66" t="s">
        <v>693</v>
      </c>
      <c r="BK66" t="s">
        <v>101</v>
      </c>
      <c r="BL66" t="s">
        <v>693</v>
      </c>
      <c r="BM66" t="s">
        <v>1547</v>
      </c>
      <c r="BN66" t="s">
        <v>74</v>
      </c>
      <c r="BO66" t="s">
        <v>74</v>
      </c>
      <c r="BP66" t="s">
        <v>74</v>
      </c>
      <c r="BQ66" t="s">
        <v>74</v>
      </c>
      <c r="BR66" t="s">
        <v>105</v>
      </c>
      <c r="BS66" t="s">
        <v>1548</v>
      </c>
      <c r="BT66" t="str">
        <f>HYPERLINK("https%3A%2F%2Fwww.webofscience.com%2Fwos%2Fwoscc%2Ffull-record%2FWOS:000430780100004","View Full Record in Web of Science")</f>
        <v>View Full Record in Web of Science</v>
      </c>
    </row>
    <row r="67" spans="1:72" x14ac:dyDescent="0.15">
      <c r="A67" t="s">
        <v>72</v>
      </c>
      <c r="B67" t="s">
        <v>1549</v>
      </c>
      <c r="C67" t="s">
        <v>74</v>
      </c>
      <c r="D67" t="s">
        <v>74</v>
      </c>
      <c r="E67" t="s">
        <v>74</v>
      </c>
      <c r="F67" t="s">
        <v>1550</v>
      </c>
      <c r="G67" t="s">
        <v>74</v>
      </c>
      <c r="H67" t="s">
        <v>74</v>
      </c>
      <c r="I67" t="s">
        <v>1551</v>
      </c>
      <c r="J67" t="s">
        <v>1552</v>
      </c>
      <c r="K67" t="s">
        <v>74</v>
      </c>
      <c r="L67" t="s">
        <v>74</v>
      </c>
      <c r="M67" t="s">
        <v>78</v>
      </c>
      <c r="N67" t="s">
        <v>79</v>
      </c>
      <c r="O67" t="s">
        <v>74</v>
      </c>
      <c r="P67" t="s">
        <v>74</v>
      </c>
      <c r="Q67" t="s">
        <v>74</v>
      </c>
      <c r="R67" t="s">
        <v>74</v>
      </c>
      <c r="S67" t="s">
        <v>74</v>
      </c>
      <c r="T67" t="s">
        <v>74</v>
      </c>
      <c r="U67" t="s">
        <v>1553</v>
      </c>
      <c r="V67" t="s">
        <v>1554</v>
      </c>
      <c r="W67" t="s">
        <v>1555</v>
      </c>
      <c r="X67" t="s">
        <v>1556</v>
      </c>
      <c r="Y67" t="s">
        <v>1557</v>
      </c>
      <c r="Z67" t="s">
        <v>1558</v>
      </c>
      <c r="AA67" t="s">
        <v>1559</v>
      </c>
      <c r="AB67" t="s">
        <v>1560</v>
      </c>
      <c r="AC67" t="s">
        <v>1561</v>
      </c>
      <c r="AD67" t="s">
        <v>1561</v>
      </c>
      <c r="AE67" t="s">
        <v>1562</v>
      </c>
      <c r="AF67" t="s">
        <v>74</v>
      </c>
      <c r="AG67">
        <v>41</v>
      </c>
      <c r="AH67">
        <v>32</v>
      </c>
      <c r="AI67">
        <v>32</v>
      </c>
      <c r="AJ67">
        <v>1</v>
      </c>
      <c r="AK67">
        <v>15</v>
      </c>
      <c r="AL67" t="s">
        <v>1563</v>
      </c>
      <c r="AM67" t="s">
        <v>1564</v>
      </c>
      <c r="AN67" t="s">
        <v>1565</v>
      </c>
      <c r="AO67" t="s">
        <v>1566</v>
      </c>
      <c r="AP67" t="s">
        <v>1567</v>
      </c>
      <c r="AQ67" t="s">
        <v>74</v>
      </c>
      <c r="AR67" t="s">
        <v>1568</v>
      </c>
      <c r="AS67" t="s">
        <v>1569</v>
      </c>
      <c r="AT67" t="s">
        <v>1518</v>
      </c>
      <c r="AU67">
        <v>2018</v>
      </c>
      <c r="AV67">
        <v>18</v>
      </c>
      <c r="AW67">
        <v>10</v>
      </c>
      <c r="AX67" t="s">
        <v>74</v>
      </c>
      <c r="AY67" t="s">
        <v>74</v>
      </c>
      <c r="AZ67" t="s">
        <v>74</v>
      </c>
      <c r="BA67" t="s">
        <v>74</v>
      </c>
      <c r="BB67">
        <v>7557</v>
      </c>
      <c r="BC67">
        <v>7572</v>
      </c>
      <c r="BD67" t="s">
        <v>74</v>
      </c>
      <c r="BE67" t="s">
        <v>1570</v>
      </c>
      <c r="BF67" t="str">
        <f>HYPERLINK("http://dx.doi.org/10.5194/acp-18-7557-2018","http://dx.doi.org/10.5194/acp-18-7557-2018")</f>
        <v>http://dx.doi.org/10.5194/acp-18-7557-2018</v>
      </c>
      <c r="BG67" t="s">
        <v>74</v>
      </c>
      <c r="BH67" t="s">
        <v>74</v>
      </c>
      <c r="BI67">
        <v>16</v>
      </c>
      <c r="BJ67" t="s">
        <v>285</v>
      </c>
      <c r="BK67" t="s">
        <v>101</v>
      </c>
      <c r="BL67" t="s">
        <v>286</v>
      </c>
      <c r="BM67" t="s">
        <v>1571</v>
      </c>
      <c r="BN67" t="s">
        <v>74</v>
      </c>
      <c r="BO67" t="s">
        <v>636</v>
      </c>
      <c r="BP67" t="s">
        <v>74</v>
      </c>
      <c r="BQ67" t="s">
        <v>74</v>
      </c>
      <c r="BR67" t="s">
        <v>105</v>
      </c>
      <c r="BS67" t="s">
        <v>1572</v>
      </c>
      <c r="BT67" t="str">
        <f>HYPERLINK("https%3A%2F%2Fwww.webofscience.com%2Fwos%2Fwoscc%2Ffull-record%2FWOS:000433557700002","View Full Record in Web of Science")</f>
        <v>View Full Record in Web of Science</v>
      </c>
    </row>
    <row r="68" spans="1:72" x14ac:dyDescent="0.15">
      <c r="A68" t="s">
        <v>72</v>
      </c>
      <c r="B68" t="s">
        <v>1573</v>
      </c>
      <c r="C68" t="s">
        <v>74</v>
      </c>
      <c r="D68" t="s">
        <v>74</v>
      </c>
      <c r="E68" t="s">
        <v>74</v>
      </c>
      <c r="F68" t="s">
        <v>1574</v>
      </c>
      <c r="G68" t="s">
        <v>74</v>
      </c>
      <c r="H68" t="s">
        <v>74</v>
      </c>
      <c r="I68" t="s">
        <v>1575</v>
      </c>
      <c r="J68" t="s">
        <v>1576</v>
      </c>
      <c r="K68" t="s">
        <v>74</v>
      </c>
      <c r="L68" t="s">
        <v>74</v>
      </c>
      <c r="M68" t="s">
        <v>78</v>
      </c>
      <c r="N68" t="s">
        <v>79</v>
      </c>
      <c r="O68" t="s">
        <v>74</v>
      </c>
      <c r="P68" t="s">
        <v>74</v>
      </c>
      <c r="Q68" t="s">
        <v>74</v>
      </c>
      <c r="R68" t="s">
        <v>74</v>
      </c>
      <c r="S68" t="s">
        <v>74</v>
      </c>
      <c r="T68" t="s">
        <v>74</v>
      </c>
      <c r="U68" t="s">
        <v>1577</v>
      </c>
      <c r="V68" t="s">
        <v>1578</v>
      </c>
      <c r="W68" t="s">
        <v>1579</v>
      </c>
      <c r="X68" t="s">
        <v>1580</v>
      </c>
      <c r="Y68" t="s">
        <v>1581</v>
      </c>
      <c r="Z68" t="s">
        <v>1582</v>
      </c>
      <c r="AA68" t="s">
        <v>1583</v>
      </c>
      <c r="AB68" t="s">
        <v>1584</v>
      </c>
      <c r="AC68" t="s">
        <v>1585</v>
      </c>
      <c r="AD68" t="s">
        <v>1586</v>
      </c>
      <c r="AE68" t="s">
        <v>1587</v>
      </c>
      <c r="AF68" t="s">
        <v>74</v>
      </c>
      <c r="AG68">
        <v>54</v>
      </c>
      <c r="AH68">
        <v>15</v>
      </c>
      <c r="AI68">
        <v>16</v>
      </c>
      <c r="AJ68">
        <v>0</v>
      </c>
      <c r="AK68">
        <v>14</v>
      </c>
      <c r="AL68" t="s">
        <v>1563</v>
      </c>
      <c r="AM68" t="s">
        <v>1564</v>
      </c>
      <c r="AN68" t="s">
        <v>1565</v>
      </c>
      <c r="AO68" t="s">
        <v>1588</v>
      </c>
      <c r="AP68" t="s">
        <v>1589</v>
      </c>
      <c r="AQ68" t="s">
        <v>74</v>
      </c>
      <c r="AR68" t="s">
        <v>1576</v>
      </c>
      <c r="AS68" t="s">
        <v>1590</v>
      </c>
      <c r="AT68" t="s">
        <v>1518</v>
      </c>
      <c r="AU68">
        <v>2018</v>
      </c>
      <c r="AV68">
        <v>12</v>
      </c>
      <c r="AW68">
        <v>5</v>
      </c>
      <c r="AX68" t="s">
        <v>74</v>
      </c>
      <c r="AY68" t="s">
        <v>74</v>
      </c>
      <c r="AZ68" t="s">
        <v>74</v>
      </c>
      <c r="BA68" t="s">
        <v>74</v>
      </c>
      <c r="BB68">
        <v>1831</v>
      </c>
      <c r="BC68">
        <v>1850</v>
      </c>
      <c r="BD68" t="s">
        <v>74</v>
      </c>
      <c r="BE68" t="s">
        <v>1591</v>
      </c>
      <c r="BF68" t="str">
        <f>HYPERLINK("http://dx.doi.org/10.5194/tc-12-1831-2018","http://dx.doi.org/10.5194/tc-12-1831-2018")</f>
        <v>http://dx.doi.org/10.5194/tc-12-1831-2018</v>
      </c>
      <c r="BG68" t="s">
        <v>74</v>
      </c>
      <c r="BH68" t="s">
        <v>74</v>
      </c>
      <c r="BI68">
        <v>20</v>
      </c>
      <c r="BJ68" t="s">
        <v>338</v>
      </c>
      <c r="BK68" t="s">
        <v>101</v>
      </c>
      <c r="BL68" t="s">
        <v>339</v>
      </c>
      <c r="BM68" t="s">
        <v>1592</v>
      </c>
      <c r="BN68" t="s">
        <v>74</v>
      </c>
      <c r="BO68" t="s">
        <v>1593</v>
      </c>
      <c r="BP68" t="s">
        <v>74</v>
      </c>
      <c r="BQ68" t="s">
        <v>74</v>
      </c>
      <c r="BR68" t="s">
        <v>105</v>
      </c>
      <c r="BS68" t="s">
        <v>1594</v>
      </c>
      <c r="BT68" t="str">
        <f>HYPERLINK("https%3A%2F%2Fwww.webofscience.com%2Fwos%2Fwoscc%2Ffull-record%2FWOS:000433552900002","View Full Record in Web of Science")</f>
        <v>View Full Record in Web of Science</v>
      </c>
    </row>
    <row r="69" spans="1:72" x14ac:dyDescent="0.15">
      <c r="A69" t="s">
        <v>72</v>
      </c>
      <c r="B69" t="s">
        <v>1595</v>
      </c>
      <c r="C69" t="s">
        <v>74</v>
      </c>
      <c r="D69" t="s">
        <v>74</v>
      </c>
      <c r="E69" t="s">
        <v>74</v>
      </c>
      <c r="F69" t="s">
        <v>1596</v>
      </c>
      <c r="G69" t="s">
        <v>74</v>
      </c>
      <c r="H69" t="s">
        <v>74</v>
      </c>
      <c r="I69" t="s">
        <v>1597</v>
      </c>
      <c r="J69" t="s">
        <v>1598</v>
      </c>
      <c r="K69" t="s">
        <v>74</v>
      </c>
      <c r="L69" t="s">
        <v>74</v>
      </c>
      <c r="M69" t="s">
        <v>78</v>
      </c>
      <c r="N69" t="s">
        <v>79</v>
      </c>
      <c r="O69" t="s">
        <v>74</v>
      </c>
      <c r="P69" t="s">
        <v>74</v>
      </c>
      <c r="Q69" t="s">
        <v>74</v>
      </c>
      <c r="R69" t="s">
        <v>74</v>
      </c>
      <c r="S69" t="s">
        <v>74</v>
      </c>
      <c r="T69" t="s">
        <v>1599</v>
      </c>
      <c r="U69" t="s">
        <v>1600</v>
      </c>
      <c r="V69" t="s">
        <v>1601</v>
      </c>
      <c r="W69" t="s">
        <v>1602</v>
      </c>
      <c r="X69" t="s">
        <v>1603</v>
      </c>
      <c r="Y69" t="s">
        <v>1604</v>
      </c>
      <c r="Z69" t="s">
        <v>1605</v>
      </c>
      <c r="AA69" t="s">
        <v>74</v>
      </c>
      <c r="AB69" t="s">
        <v>74</v>
      </c>
      <c r="AC69" t="s">
        <v>1606</v>
      </c>
      <c r="AD69" t="s">
        <v>1607</v>
      </c>
      <c r="AE69" t="s">
        <v>1608</v>
      </c>
      <c r="AF69" t="s">
        <v>74</v>
      </c>
      <c r="AG69">
        <v>57</v>
      </c>
      <c r="AH69">
        <v>10</v>
      </c>
      <c r="AI69">
        <v>10</v>
      </c>
      <c r="AJ69">
        <v>2</v>
      </c>
      <c r="AK69">
        <v>39</v>
      </c>
      <c r="AL69" t="s">
        <v>123</v>
      </c>
      <c r="AM69" t="s">
        <v>124</v>
      </c>
      <c r="AN69" t="s">
        <v>125</v>
      </c>
      <c r="AO69" t="s">
        <v>1609</v>
      </c>
      <c r="AP69" t="s">
        <v>1610</v>
      </c>
      <c r="AQ69" t="s">
        <v>74</v>
      </c>
      <c r="AR69" t="s">
        <v>1611</v>
      </c>
      <c r="AS69" t="s">
        <v>1612</v>
      </c>
      <c r="AT69" t="s">
        <v>1613</v>
      </c>
      <c r="AU69">
        <v>2018</v>
      </c>
      <c r="AV69">
        <v>50</v>
      </c>
      <c r="AW69">
        <v>1</v>
      </c>
      <c r="AX69" t="s">
        <v>74</v>
      </c>
      <c r="AY69" t="s">
        <v>74</v>
      </c>
      <c r="AZ69" t="s">
        <v>74</v>
      </c>
      <c r="BA69" t="s">
        <v>74</v>
      </c>
      <c r="BB69" t="s">
        <v>74</v>
      </c>
      <c r="BC69" t="s">
        <v>74</v>
      </c>
      <c r="BD69" t="s">
        <v>1614</v>
      </c>
      <c r="BE69" t="s">
        <v>1615</v>
      </c>
      <c r="BF69" t="str">
        <f>HYPERLINK("http://dx.doi.org/10.1080/15230430.2018.1447190","http://dx.doi.org/10.1080/15230430.2018.1447190")</f>
        <v>http://dx.doi.org/10.1080/15230430.2018.1447190</v>
      </c>
      <c r="BG69" t="s">
        <v>74</v>
      </c>
      <c r="BH69" t="s">
        <v>74</v>
      </c>
      <c r="BI69">
        <v>11</v>
      </c>
      <c r="BJ69" t="s">
        <v>1616</v>
      </c>
      <c r="BK69" t="s">
        <v>101</v>
      </c>
      <c r="BL69" t="s">
        <v>1617</v>
      </c>
      <c r="BM69" t="s">
        <v>1618</v>
      </c>
      <c r="BN69" t="s">
        <v>74</v>
      </c>
      <c r="BO69" t="s">
        <v>133</v>
      </c>
      <c r="BP69" t="s">
        <v>74</v>
      </c>
      <c r="BQ69" t="s">
        <v>74</v>
      </c>
      <c r="BR69" t="s">
        <v>105</v>
      </c>
      <c r="BS69" t="s">
        <v>1619</v>
      </c>
      <c r="BT69" t="str">
        <f>HYPERLINK("https%3A%2F%2Fwww.webofscience.com%2Fwos%2Fwoscc%2Ffull-record%2FWOS:000438737300001","View Full Record in Web of Science")</f>
        <v>View Full Record in Web of Science</v>
      </c>
    </row>
    <row r="70" spans="1:72" x14ac:dyDescent="0.15">
      <c r="A70" t="s">
        <v>72</v>
      </c>
      <c r="B70" t="s">
        <v>1620</v>
      </c>
      <c r="C70" t="s">
        <v>74</v>
      </c>
      <c r="D70" t="s">
        <v>74</v>
      </c>
      <c r="E70" t="s">
        <v>74</v>
      </c>
      <c r="F70" t="s">
        <v>1621</v>
      </c>
      <c r="G70" t="s">
        <v>74</v>
      </c>
      <c r="H70" t="s">
        <v>74</v>
      </c>
      <c r="I70" t="s">
        <v>1622</v>
      </c>
      <c r="J70" t="s">
        <v>1623</v>
      </c>
      <c r="K70" t="s">
        <v>74</v>
      </c>
      <c r="L70" t="s">
        <v>74</v>
      </c>
      <c r="M70" t="s">
        <v>78</v>
      </c>
      <c r="N70" t="s">
        <v>79</v>
      </c>
      <c r="O70" t="s">
        <v>74</v>
      </c>
      <c r="P70" t="s">
        <v>74</v>
      </c>
      <c r="Q70" t="s">
        <v>74</v>
      </c>
      <c r="R70" t="s">
        <v>74</v>
      </c>
      <c r="S70" t="s">
        <v>74</v>
      </c>
      <c r="T70" t="s">
        <v>1624</v>
      </c>
      <c r="U70" t="s">
        <v>1625</v>
      </c>
      <c r="V70" t="s">
        <v>1626</v>
      </c>
      <c r="W70" t="s">
        <v>1627</v>
      </c>
      <c r="X70" t="s">
        <v>1628</v>
      </c>
      <c r="Y70" t="s">
        <v>1629</v>
      </c>
      <c r="Z70" t="s">
        <v>1630</v>
      </c>
      <c r="AA70" t="s">
        <v>1631</v>
      </c>
      <c r="AB70" t="s">
        <v>1632</v>
      </c>
      <c r="AC70" t="s">
        <v>1633</v>
      </c>
      <c r="AD70" t="s">
        <v>1634</v>
      </c>
      <c r="AE70" t="s">
        <v>1635</v>
      </c>
      <c r="AF70" t="s">
        <v>74</v>
      </c>
      <c r="AG70">
        <v>49</v>
      </c>
      <c r="AH70">
        <v>4</v>
      </c>
      <c r="AI70">
        <v>4</v>
      </c>
      <c r="AJ70">
        <v>0</v>
      </c>
      <c r="AK70">
        <v>20</v>
      </c>
      <c r="AL70" t="s">
        <v>1636</v>
      </c>
      <c r="AM70" t="s">
        <v>1637</v>
      </c>
      <c r="AN70" t="s">
        <v>1638</v>
      </c>
      <c r="AO70" t="s">
        <v>1639</v>
      </c>
      <c r="AP70" t="s">
        <v>1640</v>
      </c>
      <c r="AQ70" t="s">
        <v>74</v>
      </c>
      <c r="AR70" t="s">
        <v>1641</v>
      </c>
      <c r="AS70" t="s">
        <v>1642</v>
      </c>
      <c r="AT70" t="s">
        <v>1613</v>
      </c>
      <c r="AU70">
        <v>2018</v>
      </c>
      <c r="AV70">
        <v>37</v>
      </c>
      <c r="AW70" t="s">
        <v>74</v>
      </c>
      <c r="AX70" t="s">
        <v>74</v>
      </c>
      <c r="AY70" t="s">
        <v>74</v>
      </c>
      <c r="AZ70" t="s">
        <v>74</v>
      </c>
      <c r="BA70" t="s">
        <v>74</v>
      </c>
      <c r="BB70" t="s">
        <v>74</v>
      </c>
      <c r="BC70" t="s">
        <v>74</v>
      </c>
      <c r="BD70">
        <v>1468196</v>
      </c>
      <c r="BE70" t="s">
        <v>1643</v>
      </c>
      <c r="BF70" t="str">
        <f>HYPERLINK("http://dx.doi.org/10.1080/17518369.2018.1468196","http://dx.doi.org/10.1080/17518369.2018.1468196")</f>
        <v>http://dx.doi.org/10.1080/17518369.2018.1468196</v>
      </c>
      <c r="BG70" t="s">
        <v>74</v>
      </c>
      <c r="BH70" t="s">
        <v>74</v>
      </c>
      <c r="BI70">
        <v>10</v>
      </c>
      <c r="BJ70" t="s">
        <v>1644</v>
      </c>
      <c r="BK70" t="s">
        <v>484</v>
      </c>
      <c r="BL70" t="s">
        <v>1645</v>
      </c>
      <c r="BM70" t="s">
        <v>1646</v>
      </c>
      <c r="BN70" t="s">
        <v>74</v>
      </c>
      <c r="BO70" t="s">
        <v>133</v>
      </c>
      <c r="BP70" t="s">
        <v>74</v>
      </c>
      <c r="BQ70" t="s">
        <v>74</v>
      </c>
      <c r="BR70" t="s">
        <v>105</v>
      </c>
      <c r="BS70" t="s">
        <v>1647</v>
      </c>
      <c r="BT70" t="str">
        <f>HYPERLINK("https%3A%2F%2Fwww.webofscience.com%2Fwos%2Fwoscc%2Ffull-record%2FWOS:000433992700001","View Full Record in Web of Science")</f>
        <v>View Full Record in Web of Science</v>
      </c>
    </row>
    <row r="71" spans="1:72" x14ac:dyDescent="0.15">
      <c r="A71" t="s">
        <v>72</v>
      </c>
      <c r="B71" t="s">
        <v>1648</v>
      </c>
      <c r="C71" t="s">
        <v>74</v>
      </c>
      <c r="D71" t="s">
        <v>74</v>
      </c>
      <c r="E71" t="s">
        <v>74</v>
      </c>
      <c r="F71" t="s">
        <v>1649</v>
      </c>
      <c r="G71" t="s">
        <v>74</v>
      </c>
      <c r="H71" t="s">
        <v>74</v>
      </c>
      <c r="I71" t="s">
        <v>1650</v>
      </c>
      <c r="J71" t="s">
        <v>1651</v>
      </c>
      <c r="K71" t="s">
        <v>74</v>
      </c>
      <c r="L71" t="s">
        <v>74</v>
      </c>
      <c r="M71" t="s">
        <v>78</v>
      </c>
      <c r="N71" t="s">
        <v>79</v>
      </c>
      <c r="O71" t="s">
        <v>74</v>
      </c>
      <c r="P71" t="s">
        <v>74</v>
      </c>
      <c r="Q71" t="s">
        <v>74</v>
      </c>
      <c r="R71" t="s">
        <v>74</v>
      </c>
      <c r="S71" t="s">
        <v>74</v>
      </c>
      <c r="T71" t="s">
        <v>74</v>
      </c>
      <c r="U71" t="s">
        <v>1652</v>
      </c>
      <c r="V71" t="s">
        <v>1653</v>
      </c>
      <c r="W71" t="s">
        <v>1654</v>
      </c>
      <c r="X71" t="s">
        <v>1655</v>
      </c>
      <c r="Y71" t="s">
        <v>1656</v>
      </c>
      <c r="Z71" t="s">
        <v>1657</v>
      </c>
      <c r="AA71" t="s">
        <v>1658</v>
      </c>
      <c r="AB71" t="s">
        <v>1659</v>
      </c>
      <c r="AC71" t="s">
        <v>1660</v>
      </c>
      <c r="AD71" t="s">
        <v>1661</v>
      </c>
      <c r="AE71" t="s">
        <v>1662</v>
      </c>
      <c r="AF71" t="s">
        <v>74</v>
      </c>
      <c r="AG71">
        <v>70</v>
      </c>
      <c r="AH71">
        <v>45</v>
      </c>
      <c r="AI71">
        <v>47</v>
      </c>
      <c r="AJ71">
        <v>2</v>
      </c>
      <c r="AK71">
        <v>12</v>
      </c>
      <c r="AL71" t="s">
        <v>1663</v>
      </c>
      <c r="AM71" t="s">
        <v>1664</v>
      </c>
      <c r="AN71" t="s">
        <v>1665</v>
      </c>
      <c r="AO71" t="s">
        <v>1666</v>
      </c>
      <c r="AP71" t="s">
        <v>74</v>
      </c>
      <c r="AQ71" t="s">
        <v>74</v>
      </c>
      <c r="AR71" t="s">
        <v>1667</v>
      </c>
      <c r="AS71" t="s">
        <v>1668</v>
      </c>
      <c r="AT71" t="s">
        <v>1613</v>
      </c>
      <c r="AU71">
        <v>2018</v>
      </c>
      <c r="AV71">
        <v>8</v>
      </c>
      <c r="AW71" t="s">
        <v>74</v>
      </c>
      <c r="AX71" t="s">
        <v>74</v>
      </c>
      <c r="AY71" t="s">
        <v>74</v>
      </c>
      <c r="AZ71" t="s">
        <v>74</v>
      </c>
      <c r="BA71" t="s">
        <v>74</v>
      </c>
      <c r="BB71" t="s">
        <v>74</v>
      </c>
      <c r="BC71" t="s">
        <v>74</v>
      </c>
      <c r="BD71">
        <v>8371</v>
      </c>
      <c r="BE71" t="s">
        <v>1669</v>
      </c>
      <c r="BF71" t="str">
        <f>HYPERLINK("http://dx.doi.org/10.1038/s41598-018-26530-1","http://dx.doi.org/10.1038/s41598-018-26530-1")</f>
        <v>http://dx.doi.org/10.1038/s41598-018-26530-1</v>
      </c>
      <c r="BG71" t="s">
        <v>74</v>
      </c>
      <c r="BH71" t="s">
        <v>74</v>
      </c>
      <c r="BI71">
        <v>9</v>
      </c>
      <c r="BJ71" t="s">
        <v>1670</v>
      </c>
      <c r="BK71" t="s">
        <v>101</v>
      </c>
      <c r="BL71" t="s">
        <v>1671</v>
      </c>
      <c r="BM71" t="s">
        <v>1672</v>
      </c>
      <c r="BN71">
        <v>29849064</v>
      </c>
      <c r="BO71" t="s">
        <v>781</v>
      </c>
      <c r="BP71" t="s">
        <v>74</v>
      </c>
      <c r="BQ71" t="s">
        <v>74</v>
      </c>
      <c r="BR71" t="s">
        <v>105</v>
      </c>
      <c r="BS71" t="s">
        <v>1673</v>
      </c>
      <c r="BT71" t="str">
        <f>HYPERLINK("https%3A%2F%2Fwww.webofscience.com%2Fwos%2Fwoscc%2Ffull-record%2FWOS:000433538100012","View Full Record in Web of Science")</f>
        <v>View Full Record in Web of Science</v>
      </c>
    </row>
    <row r="72" spans="1:72" x14ac:dyDescent="0.15">
      <c r="A72" t="s">
        <v>72</v>
      </c>
      <c r="B72" t="s">
        <v>1674</v>
      </c>
      <c r="C72" t="s">
        <v>74</v>
      </c>
      <c r="D72" t="s">
        <v>74</v>
      </c>
      <c r="E72" t="s">
        <v>74</v>
      </c>
      <c r="F72" t="s">
        <v>1675</v>
      </c>
      <c r="G72" t="s">
        <v>74</v>
      </c>
      <c r="H72" t="s">
        <v>74</v>
      </c>
      <c r="I72" t="s">
        <v>1676</v>
      </c>
      <c r="J72" t="s">
        <v>1677</v>
      </c>
      <c r="K72" t="s">
        <v>74</v>
      </c>
      <c r="L72" t="s">
        <v>74</v>
      </c>
      <c r="M72" t="s">
        <v>78</v>
      </c>
      <c r="N72" t="s">
        <v>79</v>
      </c>
      <c r="O72" t="s">
        <v>74</v>
      </c>
      <c r="P72" t="s">
        <v>74</v>
      </c>
      <c r="Q72" t="s">
        <v>74</v>
      </c>
      <c r="R72" t="s">
        <v>74</v>
      </c>
      <c r="S72" t="s">
        <v>74</v>
      </c>
      <c r="T72" t="s">
        <v>74</v>
      </c>
      <c r="U72" t="s">
        <v>1678</v>
      </c>
      <c r="V72" t="s">
        <v>1679</v>
      </c>
      <c r="W72" t="s">
        <v>1680</v>
      </c>
      <c r="X72" t="s">
        <v>1681</v>
      </c>
      <c r="Y72" t="s">
        <v>1682</v>
      </c>
      <c r="Z72" t="s">
        <v>1683</v>
      </c>
      <c r="AA72" t="s">
        <v>1684</v>
      </c>
      <c r="AB72" t="s">
        <v>1685</v>
      </c>
      <c r="AC72" t="s">
        <v>1686</v>
      </c>
      <c r="AD72" t="s">
        <v>1687</v>
      </c>
      <c r="AE72" t="s">
        <v>1688</v>
      </c>
      <c r="AF72" t="s">
        <v>74</v>
      </c>
      <c r="AG72">
        <v>55</v>
      </c>
      <c r="AH72">
        <v>38</v>
      </c>
      <c r="AI72">
        <v>41</v>
      </c>
      <c r="AJ72">
        <v>1</v>
      </c>
      <c r="AK72">
        <v>7</v>
      </c>
      <c r="AL72" t="s">
        <v>1689</v>
      </c>
      <c r="AM72" t="s">
        <v>1540</v>
      </c>
      <c r="AN72" t="s">
        <v>1690</v>
      </c>
      <c r="AO72" t="s">
        <v>1691</v>
      </c>
      <c r="AP72" t="s">
        <v>74</v>
      </c>
      <c r="AQ72" t="s">
        <v>74</v>
      </c>
      <c r="AR72" t="s">
        <v>1692</v>
      </c>
      <c r="AS72" t="s">
        <v>1693</v>
      </c>
      <c r="AT72" t="s">
        <v>1694</v>
      </c>
      <c r="AU72">
        <v>2018</v>
      </c>
      <c r="AV72">
        <v>9</v>
      </c>
      <c r="AW72" t="s">
        <v>74</v>
      </c>
      <c r="AX72" t="s">
        <v>74</v>
      </c>
      <c r="AY72" t="s">
        <v>74</v>
      </c>
      <c r="AZ72" t="s">
        <v>74</v>
      </c>
      <c r="BA72" t="s">
        <v>74</v>
      </c>
      <c r="BB72" t="s">
        <v>74</v>
      </c>
      <c r="BC72" t="s">
        <v>74</v>
      </c>
      <c r="BD72">
        <v>2104</v>
      </c>
      <c r="BE72" t="s">
        <v>1695</v>
      </c>
      <c r="BF72" t="str">
        <f>HYPERLINK("http://dx.doi.org/10.1038/s41467-018-04573-2","http://dx.doi.org/10.1038/s41467-018-04573-2")</f>
        <v>http://dx.doi.org/10.1038/s41467-018-04573-2</v>
      </c>
      <c r="BG72" t="s">
        <v>74</v>
      </c>
      <c r="BH72" t="s">
        <v>74</v>
      </c>
      <c r="BI72">
        <v>11</v>
      </c>
      <c r="BJ72" t="s">
        <v>1670</v>
      </c>
      <c r="BK72" t="s">
        <v>101</v>
      </c>
      <c r="BL72" t="s">
        <v>1671</v>
      </c>
      <c r="BM72" t="s">
        <v>1696</v>
      </c>
      <c r="BN72">
        <v>29844384</v>
      </c>
      <c r="BO72" t="s">
        <v>1697</v>
      </c>
      <c r="BP72" t="s">
        <v>74</v>
      </c>
      <c r="BQ72" t="s">
        <v>74</v>
      </c>
      <c r="BR72" t="s">
        <v>105</v>
      </c>
      <c r="BS72" t="s">
        <v>1698</v>
      </c>
      <c r="BT72" t="str">
        <f>HYPERLINK("https%3A%2F%2Fwww.webofscience.com%2Fwos%2Fwoscc%2Ffull-record%2FWOS:000433298500005","View Full Record in Web of Science")</f>
        <v>View Full Record in Web of Science</v>
      </c>
    </row>
    <row r="73" spans="1:72" x14ac:dyDescent="0.15">
      <c r="A73" t="s">
        <v>72</v>
      </c>
      <c r="B73" t="s">
        <v>1699</v>
      </c>
      <c r="C73" t="s">
        <v>74</v>
      </c>
      <c r="D73" t="s">
        <v>74</v>
      </c>
      <c r="E73" t="s">
        <v>74</v>
      </c>
      <c r="F73" t="s">
        <v>1700</v>
      </c>
      <c r="G73" t="s">
        <v>74</v>
      </c>
      <c r="H73" t="s">
        <v>74</v>
      </c>
      <c r="I73" t="s">
        <v>1701</v>
      </c>
      <c r="J73" t="s">
        <v>1702</v>
      </c>
      <c r="K73" t="s">
        <v>74</v>
      </c>
      <c r="L73" t="s">
        <v>74</v>
      </c>
      <c r="M73" t="s">
        <v>78</v>
      </c>
      <c r="N73" t="s">
        <v>466</v>
      </c>
      <c r="O73" t="s">
        <v>74</v>
      </c>
      <c r="P73" t="s">
        <v>74</v>
      </c>
      <c r="Q73" t="s">
        <v>74</v>
      </c>
      <c r="R73" t="s">
        <v>74</v>
      </c>
      <c r="S73" t="s">
        <v>74</v>
      </c>
      <c r="T73" t="s">
        <v>74</v>
      </c>
      <c r="U73" t="s">
        <v>1703</v>
      </c>
      <c r="V73" t="s">
        <v>1704</v>
      </c>
      <c r="W73" t="s">
        <v>1705</v>
      </c>
      <c r="X73" t="s">
        <v>1706</v>
      </c>
      <c r="Y73" t="s">
        <v>1707</v>
      </c>
      <c r="Z73" t="s">
        <v>1708</v>
      </c>
      <c r="AA73" t="s">
        <v>74</v>
      </c>
      <c r="AB73" t="s">
        <v>1709</v>
      </c>
      <c r="AC73" t="s">
        <v>1710</v>
      </c>
      <c r="AD73" t="s">
        <v>1711</v>
      </c>
      <c r="AE73" t="s">
        <v>1712</v>
      </c>
      <c r="AF73" t="s">
        <v>74</v>
      </c>
      <c r="AG73">
        <v>283</v>
      </c>
      <c r="AH73">
        <v>106</v>
      </c>
      <c r="AI73">
        <v>119</v>
      </c>
      <c r="AJ73">
        <v>3</v>
      </c>
      <c r="AK73">
        <v>38</v>
      </c>
      <c r="AL73" t="s">
        <v>1563</v>
      </c>
      <c r="AM73" t="s">
        <v>1564</v>
      </c>
      <c r="AN73" t="s">
        <v>1565</v>
      </c>
      <c r="AO73" t="s">
        <v>1713</v>
      </c>
      <c r="AP73" t="s">
        <v>1714</v>
      </c>
      <c r="AQ73" t="s">
        <v>74</v>
      </c>
      <c r="AR73" t="s">
        <v>1715</v>
      </c>
      <c r="AS73" t="s">
        <v>1716</v>
      </c>
      <c r="AT73" t="s">
        <v>1694</v>
      </c>
      <c r="AU73">
        <v>2018</v>
      </c>
      <c r="AV73">
        <v>6</v>
      </c>
      <c r="AW73">
        <v>2</v>
      </c>
      <c r="AX73" t="s">
        <v>74</v>
      </c>
      <c r="AY73" t="s">
        <v>74</v>
      </c>
      <c r="AZ73" t="s">
        <v>74</v>
      </c>
      <c r="BA73" t="s">
        <v>74</v>
      </c>
      <c r="BB73">
        <v>401</v>
      </c>
      <c r="BC73">
        <v>429</v>
      </c>
      <c r="BD73" t="s">
        <v>74</v>
      </c>
      <c r="BE73" t="s">
        <v>1717</v>
      </c>
      <c r="BF73" t="str">
        <f>HYPERLINK("http://dx.doi.org/10.5194/esurf-6-401-2018","http://dx.doi.org/10.5194/esurf-6-401-2018")</f>
        <v>http://dx.doi.org/10.5194/esurf-6-401-2018</v>
      </c>
      <c r="BG73" t="s">
        <v>74</v>
      </c>
      <c r="BH73" t="s">
        <v>74</v>
      </c>
      <c r="BI73">
        <v>29</v>
      </c>
      <c r="BJ73" t="s">
        <v>338</v>
      </c>
      <c r="BK73" t="s">
        <v>101</v>
      </c>
      <c r="BL73" t="s">
        <v>339</v>
      </c>
      <c r="BM73" t="s">
        <v>1718</v>
      </c>
      <c r="BN73" t="s">
        <v>74</v>
      </c>
      <c r="BO73" t="s">
        <v>1719</v>
      </c>
      <c r="BP73" t="s">
        <v>74</v>
      </c>
      <c r="BQ73" t="s">
        <v>74</v>
      </c>
      <c r="BR73" t="s">
        <v>105</v>
      </c>
      <c r="BS73" t="s">
        <v>1720</v>
      </c>
      <c r="BT73" t="str">
        <f>HYPERLINK("https%3A%2F%2Fwww.webofscience.com%2Fwos%2Fwoscc%2Ffull-record%2FWOS:000433381900001","View Full Record in Web of Science")</f>
        <v>View Full Record in Web of Science</v>
      </c>
    </row>
    <row r="74" spans="1:72" x14ac:dyDescent="0.15">
      <c r="A74" t="s">
        <v>72</v>
      </c>
      <c r="B74" t="s">
        <v>1721</v>
      </c>
      <c r="C74" t="s">
        <v>74</v>
      </c>
      <c r="D74" t="s">
        <v>74</v>
      </c>
      <c r="E74" t="s">
        <v>74</v>
      </c>
      <c r="F74" t="s">
        <v>1722</v>
      </c>
      <c r="G74" t="s">
        <v>74</v>
      </c>
      <c r="H74" t="s">
        <v>74</v>
      </c>
      <c r="I74" t="s">
        <v>1723</v>
      </c>
      <c r="J74" t="s">
        <v>1724</v>
      </c>
      <c r="K74" t="s">
        <v>74</v>
      </c>
      <c r="L74" t="s">
        <v>74</v>
      </c>
      <c r="M74" t="s">
        <v>78</v>
      </c>
      <c r="N74" t="s">
        <v>79</v>
      </c>
      <c r="O74" t="s">
        <v>74</v>
      </c>
      <c r="P74" t="s">
        <v>74</v>
      </c>
      <c r="Q74" t="s">
        <v>74</v>
      </c>
      <c r="R74" t="s">
        <v>74</v>
      </c>
      <c r="S74" t="s">
        <v>74</v>
      </c>
      <c r="T74" t="s">
        <v>1725</v>
      </c>
      <c r="U74" t="s">
        <v>1726</v>
      </c>
      <c r="V74" t="s">
        <v>1727</v>
      </c>
      <c r="W74" t="s">
        <v>1728</v>
      </c>
      <c r="X74" t="s">
        <v>1729</v>
      </c>
      <c r="Y74" t="s">
        <v>1730</v>
      </c>
      <c r="Z74" t="s">
        <v>1731</v>
      </c>
      <c r="AA74" t="s">
        <v>1732</v>
      </c>
      <c r="AB74" t="s">
        <v>1733</v>
      </c>
      <c r="AC74" t="s">
        <v>74</v>
      </c>
      <c r="AD74" t="s">
        <v>74</v>
      </c>
      <c r="AE74" t="s">
        <v>74</v>
      </c>
      <c r="AF74" t="s">
        <v>74</v>
      </c>
      <c r="AG74">
        <v>109</v>
      </c>
      <c r="AH74">
        <v>24</v>
      </c>
      <c r="AI74">
        <v>25</v>
      </c>
      <c r="AJ74">
        <v>2</v>
      </c>
      <c r="AK74">
        <v>19</v>
      </c>
      <c r="AL74" t="s">
        <v>1734</v>
      </c>
      <c r="AM74" t="s">
        <v>575</v>
      </c>
      <c r="AN74" t="s">
        <v>1735</v>
      </c>
      <c r="AO74" t="s">
        <v>1736</v>
      </c>
      <c r="AP74" t="s">
        <v>1737</v>
      </c>
      <c r="AQ74" t="s">
        <v>74</v>
      </c>
      <c r="AR74" t="s">
        <v>1738</v>
      </c>
      <c r="AS74" t="s">
        <v>1739</v>
      </c>
      <c r="AT74" t="s">
        <v>1694</v>
      </c>
      <c r="AU74">
        <v>2018</v>
      </c>
      <c r="AV74">
        <v>115</v>
      </c>
      <c r="AW74">
        <v>22</v>
      </c>
      <c r="AX74" t="s">
        <v>74</v>
      </c>
      <c r="AY74" t="s">
        <v>74</v>
      </c>
      <c r="AZ74" t="s">
        <v>74</v>
      </c>
      <c r="BA74" t="s">
        <v>74</v>
      </c>
      <c r="BB74" t="s">
        <v>1740</v>
      </c>
      <c r="BC74" t="s">
        <v>1741</v>
      </c>
      <c r="BD74" t="s">
        <v>74</v>
      </c>
      <c r="BE74" t="s">
        <v>1742</v>
      </c>
      <c r="BF74" t="str">
        <f>HYPERLINK("http://dx.doi.org/10.1073/pnas.1720577115","http://dx.doi.org/10.1073/pnas.1720577115")</f>
        <v>http://dx.doi.org/10.1073/pnas.1720577115</v>
      </c>
      <c r="BG74" t="s">
        <v>74</v>
      </c>
      <c r="BH74" t="s">
        <v>74</v>
      </c>
      <c r="BI74">
        <v>8</v>
      </c>
      <c r="BJ74" t="s">
        <v>1670</v>
      </c>
      <c r="BK74" t="s">
        <v>101</v>
      </c>
      <c r="BL74" t="s">
        <v>1671</v>
      </c>
      <c r="BM74" t="s">
        <v>1743</v>
      </c>
      <c r="BN74">
        <v>29760093</v>
      </c>
      <c r="BO74" t="s">
        <v>1744</v>
      </c>
      <c r="BP74" t="s">
        <v>74</v>
      </c>
      <c r="BQ74" t="s">
        <v>74</v>
      </c>
      <c r="BR74" t="s">
        <v>105</v>
      </c>
      <c r="BS74" t="s">
        <v>1745</v>
      </c>
      <c r="BT74" t="str">
        <f>HYPERLINK("https%3A%2F%2Fwww.webofscience.com%2Fwos%2Fwoscc%2Ffull-record%2FWOS:000433283700013","View Full Record in Web of Science")</f>
        <v>View Full Record in Web of Science</v>
      </c>
    </row>
    <row r="75" spans="1:72" x14ac:dyDescent="0.15">
      <c r="A75" t="s">
        <v>72</v>
      </c>
      <c r="B75" t="s">
        <v>1746</v>
      </c>
      <c r="C75" t="s">
        <v>74</v>
      </c>
      <c r="D75" t="s">
        <v>74</v>
      </c>
      <c r="E75" t="s">
        <v>74</v>
      </c>
      <c r="F75" t="s">
        <v>1747</v>
      </c>
      <c r="G75" t="s">
        <v>74</v>
      </c>
      <c r="H75" t="s">
        <v>74</v>
      </c>
      <c r="I75" t="s">
        <v>1748</v>
      </c>
      <c r="J75" t="s">
        <v>1749</v>
      </c>
      <c r="K75" t="s">
        <v>74</v>
      </c>
      <c r="L75" t="s">
        <v>74</v>
      </c>
      <c r="M75" t="s">
        <v>78</v>
      </c>
      <c r="N75" t="s">
        <v>79</v>
      </c>
      <c r="O75" t="s">
        <v>74</v>
      </c>
      <c r="P75" t="s">
        <v>74</v>
      </c>
      <c r="Q75" t="s">
        <v>74</v>
      </c>
      <c r="R75" t="s">
        <v>74</v>
      </c>
      <c r="S75" t="s">
        <v>74</v>
      </c>
      <c r="T75" t="s">
        <v>74</v>
      </c>
      <c r="U75" t="s">
        <v>1750</v>
      </c>
      <c r="V75" t="s">
        <v>1751</v>
      </c>
      <c r="W75" t="s">
        <v>1752</v>
      </c>
      <c r="X75" t="s">
        <v>1753</v>
      </c>
      <c r="Y75" t="s">
        <v>1754</v>
      </c>
      <c r="Z75" t="s">
        <v>1755</v>
      </c>
      <c r="AA75" t="s">
        <v>1756</v>
      </c>
      <c r="AB75" t="s">
        <v>1757</v>
      </c>
      <c r="AC75" t="s">
        <v>1758</v>
      </c>
      <c r="AD75" t="s">
        <v>1759</v>
      </c>
      <c r="AE75" t="s">
        <v>1760</v>
      </c>
      <c r="AF75" t="s">
        <v>74</v>
      </c>
      <c r="AG75">
        <v>88</v>
      </c>
      <c r="AH75">
        <v>22</v>
      </c>
      <c r="AI75">
        <v>22</v>
      </c>
      <c r="AJ75">
        <v>0</v>
      </c>
      <c r="AK75">
        <v>10</v>
      </c>
      <c r="AL75" t="s">
        <v>574</v>
      </c>
      <c r="AM75" t="s">
        <v>575</v>
      </c>
      <c r="AN75" t="s">
        <v>576</v>
      </c>
      <c r="AO75" t="s">
        <v>1761</v>
      </c>
      <c r="AP75" t="s">
        <v>1762</v>
      </c>
      <c r="AQ75" t="s">
        <v>74</v>
      </c>
      <c r="AR75" t="s">
        <v>1763</v>
      </c>
      <c r="AS75" t="s">
        <v>1764</v>
      </c>
      <c r="AT75" t="s">
        <v>1765</v>
      </c>
      <c r="AU75">
        <v>2018</v>
      </c>
      <c r="AV75">
        <v>45</v>
      </c>
      <c r="AW75">
        <v>10</v>
      </c>
      <c r="AX75" t="s">
        <v>74</v>
      </c>
      <c r="AY75" t="s">
        <v>74</v>
      </c>
      <c r="AZ75" t="s">
        <v>74</v>
      </c>
      <c r="BA75" t="s">
        <v>74</v>
      </c>
      <c r="BB75">
        <v>4788</v>
      </c>
      <c r="BC75">
        <v>4798</v>
      </c>
      <c r="BD75" t="s">
        <v>74</v>
      </c>
      <c r="BE75" t="s">
        <v>1766</v>
      </c>
      <c r="BF75" t="str">
        <f>HYPERLINK("http://dx.doi.org/10.1029/2018GL077490","http://dx.doi.org/10.1029/2018GL077490")</f>
        <v>http://dx.doi.org/10.1029/2018GL077490</v>
      </c>
      <c r="BG75" t="s">
        <v>74</v>
      </c>
      <c r="BH75" t="s">
        <v>74</v>
      </c>
      <c r="BI75">
        <v>11</v>
      </c>
      <c r="BJ75" t="s">
        <v>1243</v>
      </c>
      <c r="BK75" t="s">
        <v>101</v>
      </c>
      <c r="BL75" t="s">
        <v>1181</v>
      </c>
      <c r="BM75" t="s">
        <v>1767</v>
      </c>
      <c r="BN75" t="s">
        <v>74</v>
      </c>
      <c r="BO75" t="s">
        <v>162</v>
      </c>
      <c r="BP75" t="s">
        <v>74</v>
      </c>
      <c r="BQ75" t="s">
        <v>74</v>
      </c>
      <c r="BR75" t="s">
        <v>105</v>
      </c>
      <c r="BS75" t="s">
        <v>1768</v>
      </c>
      <c r="BT75" t="str">
        <f>HYPERLINK("https%3A%2F%2Fwww.webofscience.com%2Fwos%2Fwoscc%2Ffull-record%2FWOS:000435262000030","View Full Record in Web of Science")</f>
        <v>View Full Record in Web of Science</v>
      </c>
    </row>
    <row r="76" spans="1:72" x14ac:dyDescent="0.15">
      <c r="A76" t="s">
        <v>72</v>
      </c>
      <c r="B76" t="s">
        <v>1769</v>
      </c>
      <c r="C76" t="s">
        <v>74</v>
      </c>
      <c r="D76" t="s">
        <v>74</v>
      </c>
      <c r="E76" t="s">
        <v>74</v>
      </c>
      <c r="F76" t="s">
        <v>1770</v>
      </c>
      <c r="G76" t="s">
        <v>74</v>
      </c>
      <c r="H76" t="s">
        <v>74</v>
      </c>
      <c r="I76" t="s">
        <v>1771</v>
      </c>
      <c r="J76" t="s">
        <v>1749</v>
      </c>
      <c r="K76" t="s">
        <v>74</v>
      </c>
      <c r="L76" t="s">
        <v>74</v>
      </c>
      <c r="M76" t="s">
        <v>78</v>
      </c>
      <c r="N76" t="s">
        <v>79</v>
      </c>
      <c r="O76" t="s">
        <v>74</v>
      </c>
      <c r="P76" t="s">
        <v>74</v>
      </c>
      <c r="Q76" t="s">
        <v>74</v>
      </c>
      <c r="R76" t="s">
        <v>74</v>
      </c>
      <c r="S76" t="s">
        <v>74</v>
      </c>
      <c r="T76" t="s">
        <v>1772</v>
      </c>
      <c r="U76" t="s">
        <v>1773</v>
      </c>
      <c r="V76" t="s">
        <v>1774</v>
      </c>
      <c r="W76" t="s">
        <v>1775</v>
      </c>
      <c r="X76" t="s">
        <v>1776</v>
      </c>
      <c r="Y76" t="s">
        <v>1777</v>
      </c>
      <c r="Z76" t="s">
        <v>1778</v>
      </c>
      <c r="AA76" t="s">
        <v>1779</v>
      </c>
      <c r="AB76" t="s">
        <v>1780</v>
      </c>
      <c r="AC76" t="s">
        <v>1781</v>
      </c>
      <c r="AD76" t="s">
        <v>1782</v>
      </c>
      <c r="AE76" t="s">
        <v>1783</v>
      </c>
      <c r="AF76" t="s">
        <v>74</v>
      </c>
      <c r="AG76">
        <v>43</v>
      </c>
      <c r="AH76">
        <v>9</v>
      </c>
      <c r="AI76">
        <v>10</v>
      </c>
      <c r="AJ76">
        <v>0</v>
      </c>
      <c r="AK76">
        <v>5</v>
      </c>
      <c r="AL76" t="s">
        <v>574</v>
      </c>
      <c r="AM76" t="s">
        <v>575</v>
      </c>
      <c r="AN76" t="s">
        <v>576</v>
      </c>
      <c r="AO76" t="s">
        <v>1761</v>
      </c>
      <c r="AP76" t="s">
        <v>1762</v>
      </c>
      <c r="AQ76" t="s">
        <v>74</v>
      </c>
      <c r="AR76" t="s">
        <v>1763</v>
      </c>
      <c r="AS76" t="s">
        <v>1764</v>
      </c>
      <c r="AT76" t="s">
        <v>1765</v>
      </c>
      <c r="AU76">
        <v>2018</v>
      </c>
      <c r="AV76">
        <v>45</v>
      </c>
      <c r="AW76">
        <v>10</v>
      </c>
      <c r="AX76" t="s">
        <v>74</v>
      </c>
      <c r="AY76" t="s">
        <v>74</v>
      </c>
      <c r="AZ76" t="s">
        <v>74</v>
      </c>
      <c r="BA76" t="s">
        <v>74</v>
      </c>
      <c r="BB76">
        <v>4899</v>
      </c>
      <c r="BC76">
        <v>4907</v>
      </c>
      <c r="BD76" t="s">
        <v>74</v>
      </c>
      <c r="BE76" t="s">
        <v>1784</v>
      </c>
      <c r="BF76" t="str">
        <f>HYPERLINK("http://dx.doi.org/10.1029/2018GL077504","http://dx.doi.org/10.1029/2018GL077504")</f>
        <v>http://dx.doi.org/10.1029/2018GL077504</v>
      </c>
      <c r="BG76" t="s">
        <v>74</v>
      </c>
      <c r="BH76" t="s">
        <v>74</v>
      </c>
      <c r="BI76">
        <v>9</v>
      </c>
      <c r="BJ76" t="s">
        <v>1243</v>
      </c>
      <c r="BK76" t="s">
        <v>101</v>
      </c>
      <c r="BL76" t="s">
        <v>1181</v>
      </c>
      <c r="BM76" t="s">
        <v>1767</v>
      </c>
      <c r="BN76" t="s">
        <v>74</v>
      </c>
      <c r="BO76" t="s">
        <v>1785</v>
      </c>
      <c r="BP76" t="s">
        <v>74</v>
      </c>
      <c r="BQ76" t="s">
        <v>74</v>
      </c>
      <c r="BR76" t="s">
        <v>105</v>
      </c>
      <c r="BS76" t="s">
        <v>1786</v>
      </c>
      <c r="BT76" t="str">
        <f>HYPERLINK("https%3A%2F%2Fwww.webofscience.com%2Fwos%2Fwoscc%2Ffull-record%2FWOS:000435262000041","View Full Record in Web of Science")</f>
        <v>View Full Record in Web of Science</v>
      </c>
    </row>
    <row r="77" spans="1:72" x14ac:dyDescent="0.15">
      <c r="A77" t="s">
        <v>72</v>
      </c>
      <c r="B77" t="s">
        <v>1787</v>
      </c>
      <c r="C77" t="s">
        <v>74</v>
      </c>
      <c r="D77" t="s">
        <v>74</v>
      </c>
      <c r="E77" t="s">
        <v>74</v>
      </c>
      <c r="F77" t="s">
        <v>1788</v>
      </c>
      <c r="G77" t="s">
        <v>74</v>
      </c>
      <c r="H77" t="s">
        <v>74</v>
      </c>
      <c r="I77" t="s">
        <v>1789</v>
      </c>
      <c r="J77" t="s">
        <v>1749</v>
      </c>
      <c r="K77" t="s">
        <v>74</v>
      </c>
      <c r="L77" t="s">
        <v>74</v>
      </c>
      <c r="M77" t="s">
        <v>78</v>
      </c>
      <c r="N77" t="s">
        <v>79</v>
      </c>
      <c r="O77" t="s">
        <v>74</v>
      </c>
      <c r="P77" t="s">
        <v>74</v>
      </c>
      <c r="Q77" t="s">
        <v>74</v>
      </c>
      <c r="R77" t="s">
        <v>74</v>
      </c>
      <c r="S77" t="s">
        <v>74</v>
      </c>
      <c r="T77" t="s">
        <v>1790</v>
      </c>
      <c r="U77" t="s">
        <v>1791</v>
      </c>
      <c r="V77" t="s">
        <v>1792</v>
      </c>
      <c r="W77" t="s">
        <v>1793</v>
      </c>
      <c r="X77" t="s">
        <v>1794</v>
      </c>
      <c r="Y77" t="s">
        <v>1795</v>
      </c>
      <c r="Z77" t="s">
        <v>1796</v>
      </c>
      <c r="AA77" t="s">
        <v>74</v>
      </c>
      <c r="AB77" t="s">
        <v>1797</v>
      </c>
      <c r="AC77" t="s">
        <v>1798</v>
      </c>
      <c r="AD77" t="s">
        <v>1799</v>
      </c>
      <c r="AE77" t="s">
        <v>1800</v>
      </c>
      <c r="AF77" t="s">
        <v>74</v>
      </c>
      <c r="AG77">
        <v>35</v>
      </c>
      <c r="AH77">
        <v>35</v>
      </c>
      <c r="AI77">
        <v>37</v>
      </c>
      <c r="AJ77">
        <v>12</v>
      </c>
      <c r="AK77">
        <v>40</v>
      </c>
      <c r="AL77" t="s">
        <v>574</v>
      </c>
      <c r="AM77" t="s">
        <v>575</v>
      </c>
      <c r="AN77" t="s">
        <v>576</v>
      </c>
      <c r="AO77" t="s">
        <v>1761</v>
      </c>
      <c r="AP77" t="s">
        <v>1762</v>
      </c>
      <c r="AQ77" t="s">
        <v>74</v>
      </c>
      <c r="AR77" t="s">
        <v>1763</v>
      </c>
      <c r="AS77" t="s">
        <v>1764</v>
      </c>
      <c r="AT77" t="s">
        <v>1765</v>
      </c>
      <c r="AU77">
        <v>2018</v>
      </c>
      <c r="AV77">
        <v>45</v>
      </c>
      <c r="AW77">
        <v>10</v>
      </c>
      <c r="AX77" t="s">
        <v>74</v>
      </c>
      <c r="AY77" t="s">
        <v>74</v>
      </c>
      <c r="AZ77" t="s">
        <v>74</v>
      </c>
      <c r="BA77" t="s">
        <v>74</v>
      </c>
      <c r="BB77">
        <v>5158</v>
      </c>
      <c r="BC77">
        <v>5165</v>
      </c>
      <c r="BD77" t="s">
        <v>74</v>
      </c>
      <c r="BE77" t="s">
        <v>1801</v>
      </c>
      <c r="BF77" t="str">
        <f>HYPERLINK("http://dx.doi.org/10.1029/2018GL077955","http://dx.doi.org/10.1029/2018GL077955")</f>
        <v>http://dx.doi.org/10.1029/2018GL077955</v>
      </c>
      <c r="BG77" t="s">
        <v>74</v>
      </c>
      <c r="BH77" t="s">
        <v>74</v>
      </c>
      <c r="BI77">
        <v>8</v>
      </c>
      <c r="BJ77" t="s">
        <v>1243</v>
      </c>
      <c r="BK77" t="s">
        <v>101</v>
      </c>
      <c r="BL77" t="s">
        <v>1181</v>
      </c>
      <c r="BM77" t="s">
        <v>1767</v>
      </c>
      <c r="BN77" t="s">
        <v>74</v>
      </c>
      <c r="BO77" t="s">
        <v>1802</v>
      </c>
      <c r="BP77" t="s">
        <v>74</v>
      </c>
      <c r="BQ77" t="s">
        <v>74</v>
      </c>
      <c r="BR77" t="s">
        <v>105</v>
      </c>
      <c r="BS77" t="s">
        <v>1803</v>
      </c>
      <c r="BT77" t="str">
        <f>HYPERLINK("https%3A%2F%2Fwww.webofscience.com%2Fwos%2Fwoscc%2Ffull-record%2FWOS:000435262000069","View Full Record in Web of Science")</f>
        <v>View Full Record in Web of Science</v>
      </c>
    </row>
    <row r="78" spans="1:72" x14ac:dyDescent="0.15">
      <c r="A78" t="s">
        <v>72</v>
      </c>
      <c r="B78" t="s">
        <v>1804</v>
      </c>
      <c r="C78" t="s">
        <v>74</v>
      </c>
      <c r="D78" t="s">
        <v>74</v>
      </c>
      <c r="E78" t="s">
        <v>74</v>
      </c>
      <c r="F78" t="s">
        <v>1805</v>
      </c>
      <c r="G78" t="s">
        <v>74</v>
      </c>
      <c r="H78" t="s">
        <v>74</v>
      </c>
      <c r="I78" t="s">
        <v>1806</v>
      </c>
      <c r="J78" t="s">
        <v>1807</v>
      </c>
      <c r="K78" t="s">
        <v>74</v>
      </c>
      <c r="L78" t="s">
        <v>74</v>
      </c>
      <c r="M78" t="s">
        <v>78</v>
      </c>
      <c r="N78" t="s">
        <v>79</v>
      </c>
      <c r="O78" t="s">
        <v>74</v>
      </c>
      <c r="P78" t="s">
        <v>74</v>
      </c>
      <c r="Q78" t="s">
        <v>74</v>
      </c>
      <c r="R78" t="s">
        <v>74</v>
      </c>
      <c r="S78" t="s">
        <v>74</v>
      </c>
      <c r="T78" t="s">
        <v>1808</v>
      </c>
      <c r="U78" t="s">
        <v>1809</v>
      </c>
      <c r="V78" t="s">
        <v>1810</v>
      </c>
      <c r="W78" t="s">
        <v>1811</v>
      </c>
      <c r="X78" t="s">
        <v>1812</v>
      </c>
      <c r="Y78" t="s">
        <v>1813</v>
      </c>
      <c r="Z78" t="s">
        <v>1814</v>
      </c>
      <c r="AA78" t="s">
        <v>1815</v>
      </c>
      <c r="AB78" t="s">
        <v>1816</v>
      </c>
      <c r="AC78" t="s">
        <v>1817</v>
      </c>
      <c r="AD78" t="s">
        <v>1818</v>
      </c>
      <c r="AE78" t="s">
        <v>1819</v>
      </c>
      <c r="AF78" t="s">
        <v>74</v>
      </c>
      <c r="AG78">
        <v>64</v>
      </c>
      <c r="AH78">
        <v>18</v>
      </c>
      <c r="AI78">
        <v>20</v>
      </c>
      <c r="AJ78">
        <v>0</v>
      </c>
      <c r="AK78">
        <v>22</v>
      </c>
      <c r="AL78" t="s">
        <v>1820</v>
      </c>
      <c r="AM78" t="s">
        <v>1821</v>
      </c>
      <c r="AN78" t="s">
        <v>1822</v>
      </c>
      <c r="AO78" t="s">
        <v>1823</v>
      </c>
      <c r="AP78" t="s">
        <v>1824</v>
      </c>
      <c r="AQ78" t="s">
        <v>74</v>
      </c>
      <c r="AR78" t="s">
        <v>1825</v>
      </c>
      <c r="AS78" t="s">
        <v>1826</v>
      </c>
      <c r="AT78" t="s">
        <v>1765</v>
      </c>
      <c r="AU78">
        <v>2018</v>
      </c>
      <c r="AV78">
        <v>596</v>
      </c>
      <c r="AW78" t="s">
        <v>74</v>
      </c>
      <c r="AX78" t="s">
        <v>74</v>
      </c>
      <c r="AY78" t="s">
        <v>74</v>
      </c>
      <c r="AZ78" t="s">
        <v>74</v>
      </c>
      <c r="BA78" t="s">
        <v>74</v>
      </c>
      <c r="BB78">
        <v>233</v>
      </c>
      <c r="BC78">
        <v>245</v>
      </c>
      <c r="BD78" t="s">
        <v>74</v>
      </c>
      <c r="BE78" t="s">
        <v>1827</v>
      </c>
      <c r="BF78" t="str">
        <f>HYPERLINK("http://dx.doi.org/10.3354/meps12557","http://dx.doi.org/10.3354/meps12557")</f>
        <v>http://dx.doi.org/10.3354/meps12557</v>
      </c>
      <c r="BG78" t="s">
        <v>74</v>
      </c>
      <c r="BH78" t="s">
        <v>74</v>
      </c>
      <c r="BI78">
        <v>13</v>
      </c>
      <c r="BJ78" t="s">
        <v>1828</v>
      </c>
      <c r="BK78" t="s">
        <v>101</v>
      </c>
      <c r="BL78" t="s">
        <v>1829</v>
      </c>
      <c r="BM78" t="s">
        <v>1830</v>
      </c>
      <c r="BN78" t="s">
        <v>74</v>
      </c>
      <c r="BO78" t="s">
        <v>74</v>
      </c>
      <c r="BP78" t="s">
        <v>74</v>
      </c>
      <c r="BQ78" t="s">
        <v>74</v>
      </c>
      <c r="BR78" t="s">
        <v>105</v>
      </c>
      <c r="BS78" t="s">
        <v>1831</v>
      </c>
      <c r="BT78" t="str">
        <f>HYPERLINK("https%3A%2F%2Fwww.webofscience.com%2Fwos%2Fwoscc%2Ffull-record%2FWOS:000434051700017","View Full Record in Web of Science")</f>
        <v>View Full Record in Web of Science</v>
      </c>
    </row>
    <row r="79" spans="1:72" x14ac:dyDescent="0.15">
      <c r="A79" t="s">
        <v>72</v>
      </c>
      <c r="B79" t="s">
        <v>1832</v>
      </c>
      <c r="C79" t="s">
        <v>74</v>
      </c>
      <c r="D79" t="s">
        <v>74</v>
      </c>
      <c r="E79" t="s">
        <v>74</v>
      </c>
      <c r="F79" t="s">
        <v>1833</v>
      </c>
      <c r="G79" t="s">
        <v>74</v>
      </c>
      <c r="H79" t="s">
        <v>74</v>
      </c>
      <c r="I79" t="s">
        <v>1834</v>
      </c>
      <c r="J79" t="s">
        <v>1749</v>
      </c>
      <c r="K79" t="s">
        <v>74</v>
      </c>
      <c r="L79" t="s">
        <v>74</v>
      </c>
      <c r="M79" t="s">
        <v>78</v>
      </c>
      <c r="N79" t="s">
        <v>79</v>
      </c>
      <c r="O79" t="s">
        <v>74</v>
      </c>
      <c r="P79" t="s">
        <v>74</v>
      </c>
      <c r="Q79" t="s">
        <v>74</v>
      </c>
      <c r="R79" t="s">
        <v>74</v>
      </c>
      <c r="S79" t="s">
        <v>74</v>
      </c>
      <c r="T79" t="s">
        <v>74</v>
      </c>
      <c r="U79" t="s">
        <v>1835</v>
      </c>
      <c r="V79" t="s">
        <v>1836</v>
      </c>
      <c r="W79" t="s">
        <v>1837</v>
      </c>
      <c r="X79" t="s">
        <v>1838</v>
      </c>
      <c r="Y79" t="s">
        <v>1839</v>
      </c>
      <c r="Z79" t="s">
        <v>1840</v>
      </c>
      <c r="AA79" t="s">
        <v>1841</v>
      </c>
      <c r="AB79" t="s">
        <v>1842</v>
      </c>
      <c r="AC79" t="s">
        <v>1843</v>
      </c>
      <c r="AD79" t="s">
        <v>1844</v>
      </c>
      <c r="AE79" t="s">
        <v>1845</v>
      </c>
      <c r="AF79" t="s">
        <v>74</v>
      </c>
      <c r="AG79">
        <v>23</v>
      </c>
      <c r="AH79">
        <v>0</v>
      </c>
      <c r="AI79">
        <v>0</v>
      </c>
      <c r="AJ79">
        <v>0</v>
      </c>
      <c r="AK79">
        <v>15</v>
      </c>
      <c r="AL79" t="s">
        <v>574</v>
      </c>
      <c r="AM79" t="s">
        <v>575</v>
      </c>
      <c r="AN79" t="s">
        <v>576</v>
      </c>
      <c r="AO79" t="s">
        <v>1761</v>
      </c>
      <c r="AP79" t="s">
        <v>1762</v>
      </c>
      <c r="AQ79" t="s">
        <v>74</v>
      </c>
      <c r="AR79" t="s">
        <v>1763</v>
      </c>
      <c r="AS79" t="s">
        <v>1764</v>
      </c>
      <c r="AT79" t="s">
        <v>1765</v>
      </c>
      <c r="AU79">
        <v>2018</v>
      </c>
      <c r="AV79">
        <v>45</v>
      </c>
      <c r="AW79">
        <v>10</v>
      </c>
      <c r="AX79" t="s">
        <v>74</v>
      </c>
      <c r="AY79" t="s">
        <v>74</v>
      </c>
      <c r="AZ79" t="s">
        <v>74</v>
      </c>
      <c r="BA79" t="s">
        <v>74</v>
      </c>
      <c r="BB79">
        <v>4927</v>
      </c>
      <c r="BC79">
        <v>4932</v>
      </c>
      <c r="BD79" t="s">
        <v>74</v>
      </c>
      <c r="BE79" t="s">
        <v>1846</v>
      </c>
      <c r="BF79" t="str">
        <f>HYPERLINK("http://dx.doi.org/10.1029/2018GL078068","http://dx.doi.org/10.1029/2018GL078068")</f>
        <v>http://dx.doi.org/10.1029/2018GL078068</v>
      </c>
      <c r="BG79" t="s">
        <v>74</v>
      </c>
      <c r="BH79" t="s">
        <v>74</v>
      </c>
      <c r="BI79">
        <v>6</v>
      </c>
      <c r="BJ79" t="s">
        <v>1243</v>
      </c>
      <c r="BK79" t="s">
        <v>101</v>
      </c>
      <c r="BL79" t="s">
        <v>1181</v>
      </c>
      <c r="BM79" t="s">
        <v>1767</v>
      </c>
      <c r="BN79" t="s">
        <v>74</v>
      </c>
      <c r="BO79" t="s">
        <v>1802</v>
      </c>
      <c r="BP79" t="s">
        <v>74</v>
      </c>
      <c r="BQ79" t="s">
        <v>74</v>
      </c>
      <c r="BR79" t="s">
        <v>105</v>
      </c>
      <c r="BS79" t="s">
        <v>1847</v>
      </c>
      <c r="BT79" t="str">
        <f>HYPERLINK("https%3A%2F%2Fwww.webofscience.com%2Fwos%2Fwoscc%2Ffull-record%2FWOS:000435262000044","View Full Record in Web of Science")</f>
        <v>View Full Record in Web of Science</v>
      </c>
    </row>
    <row r="80" spans="1:72" x14ac:dyDescent="0.15">
      <c r="A80" t="s">
        <v>72</v>
      </c>
      <c r="B80" t="s">
        <v>1848</v>
      </c>
      <c r="C80" t="s">
        <v>74</v>
      </c>
      <c r="D80" t="s">
        <v>74</v>
      </c>
      <c r="E80" t="s">
        <v>74</v>
      </c>
      <c r="F80" t="s">
        <v>1849</v>
      </c>
      <c r="G80" t="s">
        <v>74</v>
      </c>
      <c r="H80" t="s">
        <v>74</v>
      </c>
      <c r="I80" t="s">
        <v>1850</v>
      </c>
      <c r="J80" t="s">
        <v>1749</v>
      </c>
      <c r="K80" t="s">
        <v>74</v>
      </c>
      <c r="L80" t="s">
        <v>74</v>
      </c>
      <c r="M80" t="s">
        <v>78</v>
      </c>
      <c r="N80" t="s">
        <v>79</v>
      </c>
      <c r="O80" t="s">
        <v>74</v>
      </c>
      <c r="P80" t="s">
        <v>74</v>
      </c>
      <c r="Q80" t="s">
        <v>74</v>
      </c>
      <c r="R80" t="s">
        <v>74</v>
      </c>
      <c r="S80" t="s">
        <v>74</v>
      </c>
      <c r="T80" t="s">
        <v>1851</v>
      </c>
      <c r="U80" t="s">
        <v>1852</v>
      </c>
      <c r="V80" t="s">
        <v>1853</v>
      </c>
      <c r="W80" t="s">
        <v>1854</v>
      </c>
      <c r="X80" t="s">
        <v>1855</v>
      </c>
      <c r="Y80" t="s">
        <v>1856</v>
      </c>
      <c r="Z80" t="s">
        <v>1857</v>
      </c>
      <c r="AA80" t="s">
        <v>1858</v>
      </c>
      <c r="AB80" t="s">
        <v>1859</v>
      </c>
      <c r="AC80" t="s">
        <v>1860</v>
      </c>
      <c r="AD80" t="s">
        <v>1861</v>
      </c>
      <c r="AE80" t="s">
        <v>1862</v>
      </c>
      <c r="AF80" t="s">
        <v>74</v>
      </c>
      <c r="AG80">
        <v>33</v>
      </c>
      <c r="AH80">
        <v>27</v>
      </c>
      <c r="AI80">
        <v>31</v>
      </c>
      <c r="AJ80">
        <v>2</v>
      </c>
      <c r="AK80">
        <v>9</v>
      </c>
      <c r="AL80" t="s">
        <v>574</v>
      </c>
      <c r="AM80" t="s">
        <v>575</v>
      </c>
      <c r="AN80" t="s">
        <v>576</v>
      </c>
      <c r="AO80" t="s">
        <v>1761</v>
      </c>
      <c r="AP80" t="s">
        <v>1762</v>
      </c>
      <c r="AQ80" t="s">
        <v>74</v>
      </c>
      <c r="AR80" t="s">
        <v>1763</v>
      </c>
      <c r="AS80" t="s">
        <v>1764</v>
      </c>
      <c r="AT80" t="s">
        <v>1765</v>
      </c>
      <c r="AU80">
        <v>2018</v>
      </c>
      <c r="AV80">
        <v>45</v>
      </c>
      <c r="AW80">
        <v>10</v>
      </c>
      <c r="AX80" t="s">
        <v>74</v>
      </c>
      <c r="AY80" t="s">
        <v>74</v>
      </c>
      <c r="AZ80" t="s">
        <v>74</v>
      </c>
      <c r="BA80" t="s">
        <v>74</v>
      </c>
      <c r="BB80">
        <v>4982</v>
      </c>
      <c r="BC80">
        <v>4990</v>
      </c>
      <c r="BD80" t="s">
        <v>74</v>
      </c>
      <c r="BE80" t="s">
        <v>1863</v>
      </c>
      <c r="BF80" t="str">
        <f>HYPERLINK("http://dx.doi.org/10.1029/2018GL077430","http://dx.doi.org/10.1029/2018GL077430")</f>
        <v>http://dx.doi.org/10.1029/2018GL077430</v>
      </c>
      <c r="BG80" t="s">
        <v>74</v>
      </c>
      <c r="BH80" t="s">
        <v>74</v>
      </c>
      <c r="BI80">
        <v>9</v>
      </c>
      <c r="BJ80" t="s">
        <v>1243</v>
      </c>
      <c r="BK80" t="s">
        <v>101</v>
      </c>
      <c r="BL80" t="s">
        <v>1181</v>
      </c>
      <c r="BM80" t="s">
        <v>1767</v>
      </c>
      <c r="BN80" t="s">
        <v>74</v>
      </c>
      <c r="BO80" t="s">
        <v>104</v>
      </c>
      <c r="BP80" t="s">
        <v>74</v>
      </c>
      <c r="BQ80" t="s">
        <v>74</v>
      </c>
      <c r="BR80" t="s">
        <v>105</v>
      </c>
      <c r="BS80" t="s">
        <v>1864</v>
      </c>
      <c r="BT80" t="str">
        <f>HYPERLINK("https%3A%2F%2Fwww.webofscience.com%2Fwos%2Fwoscc%2Ffull-record%2FWOS:000435262000050","View Full Record in Web of Science")</f>
        <v>View Full Record in Web of Science</v>
      </c>
    </row>
    <row r="81" spans="1:72" x14ac:dyDescent="0.15">
      <c r="A81" t="s">
        <v>72</v>
      </c>
      <c r="B81" t="s">
        <v>1865</v>
      </c>
      <c r="C81" t="s">
        <v>74</v>
      </c>
      <c r="D81" t="s">
        <v>74</v>
      </c>
      <c r="E81" t="s">
        <v>74</v>
      </c>
      <c r="F81" t="s">
        <v>1866</v>
      </c>
      <c r="G81" t="s">
        <v>74</v>
      </c>
      <c r="H81" t="s">
        <v>74</v>
      </c>
      <c r="I81" t="s">
        <v>1867</v>
      </c>
      <c r="J81" t="s">
        <v>1749</v>
      </c>
      <c r="K81" t="s">
        <v>74</v>
      </c>
      <c r="L81" t="s">
        <v>74</v>
      </c>
      <c r="M81" t="s">
        <v>78</v>
      </c>
      <c r="N81" t="s">
        <v>79</v>
      </c>
      <c r="O81" t="s">
        <v>74</v>
      </c>
      <c r="P81" t="s">
        <v>74</v>
      </c>
      <c r="Q81" t="s">
        <v>74</v>
      </c>
      <c r="R81" t="s">
        <v>74</v>
      </c>
      <c r="S81" t="s">
        <v>74</v>
      </c>
      <c r="T81" t="s">
        <v>1868</v>
      </c>
      <c r="U81" t="s">
        <v>1869</v>
      </c>
      <c r="V81" t="s">
        <v>1870</v>
      </c>
      <c r="W81" t="s">
        <v>1871</v>
      </c>
      <c r="X81" t="s">
        <v>1872</v>
      </c>
      <c r="Y81" t="s">
        <v>1873</v>
      </c>
      <c r="Z81" t="s">
        <v>1874</v>
      </c>
      <c r="AA81" t="s">
        <v>1875</v>
      </c>
      <c r="AB81" t="s">
        <v>1876</v>
      </c>
      <c r="AC81" t="s">
        <v>1877</v>
      </c>
      <c r="AD81" t="s">
        <v>1878</v>
      </c>
      <c r="AE81" t="s">
        <v>1879</v>
      </c>
      <c r="AF81" t="s">
        <v>74</v>
      </c>
      <c r="AG81">
        <v>42</v>
      </c>
      <c r="AH81">
        <v>28</v>
      </c>
      <c r="AI81">
        <v>29</v>
      </c>
      <c r="AJ81">
        <v>0</v>
      </c>
      <c r="AK81">
        <v>11</v>
      </c>
      <c r="AL81" t="s">
        <v>574</v>
      </c>
      <c r="AM81" t="s">
        <v>575</v>
      </c>
      <c r="AN81" t="s">
        <v>576</v>
      </c>
      <c r="AO81" t="s">
        <v>1761</v>
      </c>
      <c r="AP81" t="s">
        <v>1762</v>
      </c>
      <c r="AQ81" t="s">
        <v>74</v>
      </c>
      <c r="AR81" t="s">
        <v>1763</v>
      </c>
      <c r="AS81" t="s">
        <v>1764</v>
      </c>
      <c r="AT81" t="s">
        <v>1765</v>
      </c>
      <c r="AU81">
        <v>2018</v>
      </c>
      <c r="AV81">
        <v>45</v>
      </c>
      <c r="AW81">
        <v>10</v>
      </c>
      <c r="AX81" t="s">
        <v>74</v>
      </c>
      <c r="AY81" t="s">
        <v>74</v>
      </c>
      <c r="AZ81" t="s">
        <v>74</v>
      </c>
      <c r="BA81" t="s">
        <v>74</v>
      </c>
      <c r="BB81">
        <v>5002</v>
      </c>
      <c r="BC81">
        <v>5010</v>
      </c>
      <c r="BD81" t="s">
        <v>74</v>
      </c>
      <c r="BE81" t="s">
        <v>1880</v>
      </c>
      <c r="BF81" t="str">
        <f>HYPERLINK("http://dx.doi.org/10.1029/2017GL076909","http://dx.doi.org/10.1029/2017GL076909")</f>
        <v>http://dx.doi.org/10.1029/2017GL076909</v>
      </c>
      <c r="BG81" t="s">
        <v>74</v>
      </c>
      <c r="BH81" t="s">
        <v>74</v>
      </c>
      <c r="BI81">
        <v>9</v>
      </c>
      <c r="BJ81" t="s">
        <v>1243</v>
      </c>
      <c r="BK81" t="s">
        <v>101</v>
      </c>
      <c r="BL81" t="s">
        <v>1181</v>
      </c>
      <c r="BM81" t="s">
        <v>1767</v>
      </c>
      <c r="BN81" t="s">
        <v>74</v>
      </c>
      <c r="BO81" t="s">
        <v>1881</v>
      </c>
      <c r="BP81" t="s">
        <v>74</v>
      </c>
      <c r="BQ81" t="s">
        <v>74</v>
      </c>
      <c r="BR81" t="s">
        <v>105</v>
      </c>
      <c r="BS81" t="s">
        <v>1882</v>
      </c>
      <c r="BT81" t="str">
        <f>HYPERLINK("https%3A%2F%2Fwww.webofscience.com%2Fwos%2Fwoscc%2Ffull-record%2FWOS:000435262000052","View Full Record in Web of Science")</f>
        <v>View Full Record in Web of Science</v>
      </c>
    </row>
    <row r="82" spans="1:72" x14ac:dyDescent="0.15">
      <c r="A82" t="s">
        <v>72</v>
      </c>
      <c r="B82" t="s">
        <v>1883</v>
      </c>
      <c r="C82" t="s">
        <v>74</v>
      </c>
      <c r="D82" t="s">
        <v>74</v>
      </c>
      <c r="E82" t="s">
        <v>74</v>
      </c>
      <c r="F82" t="s">
        <v>1884</v>
      </c>
      <c r="G82" t="s">
        <v>74</v>
      </c>
      <c r="H82" t="s">
        <v>74</v>
      </c>
      <c r="I82" t="s">
        <v>1885</v>
      </c>
      <c r="J82" t="s">
        <v>1749</v>
      </c>
      <c r="K82" t="s">
        <v>74</v>
      </c>
      <c r="L82" t="s">
        <v>74</v>
      </c>
      <c r="M82" t="s">
        <v>78</v>
      </c>
      <c r="N82" t="s">
        <v>79</v>
      </c>
      <c r="O82" t="s">
        <v>74</v>
      </c>
      <c r="P82" t="s">
        <v>74</v>
      </c>
      <c r="Q82" t="s">
        <v>74</v>
      </c>
      <c r="R82" t="s">
        <v>74</v>
      </c>
      <c r="S82" t="s">
        <v>74</v>
      </c>
      <c r="T82" t="s">
        <v>1886</v>
      </c>
      <c r="U82" t="s">
        <v>1887</v>
      </c>
      <c r="V82" t="s">
        <v>1888</v>
      </c>
      <c r="W82" t="s">
        <v>1889</v>
      </c>
      <c r="X82" t="s">
        <v>1890</v>
      </c>
      <c r="Y82" t="s">
        <v>1891</v>
      </c>
      <c r="Z82" t="s">
        <v>1892</v>
      </c>
      <c r="AA82" t="s">
        <v>1893</v>
      </c>
      <c r="AB82" t="s">
        <v>1894</v>
      </c>
      <c r="AC82" t="s">
        <v>1895</v>
      </c>
      <c r="AD82" t="s">
        <v>1896</v>
      </c>
      <c r="AE82" t="s">
        <v>1897</v>
      </c>
      <c r="AF82" t="s">
        <v>74</v>
      </c>
      <c r="AG82">
        <v>31</v>
      </c>
      <c r="AH82">
        <v>27</v>
      </c>
      <c r="AI82">
        <v>29</v>
      </c>
      <c r="AJ82">
        <v>1</v>
      </c>
      <c r="AK82">
        <v>19</v>
      </c>
      <c r="AL82" t="s">
        <v>574</v>
      </c>
      <c r="AM82" t="s">
        <v>575</v>
      </c>
      <c r="AN82" t="s">
        <v>576</v>
      </c>
      <c r="AO82" t="s">
        <v>1761</v>
      </c>
      <c r="AP82" t="s">
        <v>1762</v>
      </c>
      <c r="AQ82" t="s">
        <v>74</v>
      </c>
      <c r="AR82" t="s">
        <v>1763</v>
      </c>
      <c r="AS82" t="s">
        <v>1764</v>
      </c>
      <c r="AT82" t="s">
        <v>1765</v>
      </c>
      <c r="AU82">
        <v>2018</v>
      </c>
      <c r="AV82">
        <v>45</v>
      </c>
      <c r="AW82">
        <v>10</v>
      </c>
      <c r="AX82" t="s">
        <v>74</v>
      </c>
      <c r="AY82" t="s">
        <v>74</v>
      </c>
      <c r="AZ82" t="s">
        <v>74</v>
      </c>
      <c r="BA82" t="s">
        <v>74</v>
      </c>
      <c r="BB82">
        <v>5011</v>
      </c>
      <c r="BC82">
        <v>5019</v>
      </c>
      <c r="BD82" t="s">
        <v>74</v>
      </c>
      <c r="BE82" t="s">
        <v>1898</v>
      </c>
      <c r="BF82" t="str">
        <f>HYPERLINK("http://dx.doi.org/10.1029/2017GL076246","http://dx.doi.org/10.1029/2017GL076246")</f>
        <v>http://dx.doi.org/10.1029/2017GL076246</v>
      </c>
      <c r="BG82" t="s">
        <v>74</v>
      </c>
      <c r="BH82" t="s">
        <v>74</v>
      </c>
      <c r="BI82">
        <v>9</v>
      </c>
      <c r="BJ82" t="s">
        <v>1243</v>
      </c>
      <c r="BK82" t="s">
        <v>101</v>
      </c>
      <c r="BL82" t="s">
        <v>1181</v>
      </c>
      <c r="BM82" t="s">
        <v>1767</v>
      </c>
      <c r="BN82" t="s">
        <v>74</v>
      </c>
      <c r="BO82" t="s">
        <v>1316</v>
      </c>
      <c r="BP82" t="s">
        <v>74</v>
      </c>
      <c r="BQ82" t="s">
        <v>74</v>
      </c>
      <c r="BR82" t="s">
        <v>105</v>
      </c>
      <c r="BS82" t="s">
        <v>1899</v>
      </c>
      <c r="BT82" t="str">
        <f>HYPERLINK("https%3A%2F%2Fwww.webofscience.com%2Fwos%2Fwoscc%2Ffull-record%2FWOS:000435262000053","View Full Record in Web of Science")</f>
        <v>View Full Record in Web of Science</v>
      </c>
    </row>
    <row r="83" spans="1:72" x14ac:dyDescent="0.15">
      <c r="A83" t="s">
        <v>72</v>
      </c>
      <c r="B83" t="s">
        <v>1900</v>
      </c>
      <c r="C83" t="s">
        <v>74</v>
      </c>
      <c r="D83" t="s">
        <v>74</v>
      </c>
      <c r="E83" t="s">
        <v>74</v>
      </c>
      <c r="F83" t="s">
        <v>1901</v>
      </c>
      <c r="G83" t="s">
        <v>74</v>
      </c>
      <c r="H83" t="s">
        <v>74</v>
      </c>
      <c r="I83" t="s">
        <v>1902</v>
      </c>
      <c r="J83" t="s">
        <v>1807</v>
      </c>
      <c r="K83" t="s">
        <v>74</v>
      </c>
      <c r="L83" t="s">
        <v>74</v>
      </c>
      <c r="M83" t="s">
        <v>78</v>
      </c>
      <c r="N83" t="s">
        <v>79</v>
      </c>
      <c r="O83" t="s">
        <v>74</v>
      </c>
      <c r="P83" t="s">
        <v>74</v>
      </c>
      <c r="Q83" t="s">
        <v>74</v>
      </c>
      <c r="R83" t="s">
        <v>74</v>
      </c>
      <c r="S83" t="s">
        <v>74</v>
      </c>
      <c r="T83" t="s">
        <v>1903</v>
      </c>
      <c r="U83" t="s">
        <v>1904</v>
      </c>
      <c r="V83" t="s">
        <v>1905</v>
      </c>
      <c r="W83" t="s">
        <v>1906</v>
      </c>
      <c r="X83" t="s">
        <v>1907</v>
      </c>
      <c r="Y83" t="s">
        <v>1908</v>
      </c>
      <c r="Z83" t="s">
        <v>1909</v>
      </c>
      <c r="AA83" t="s">
        <v>1910</v>
      </c>
      <c r="AB83" t="s">
        <v>1911</v>
      </c>
      <c r="AC83" t="s">
        <v>1912</v>
      </c>
      <c r="AD83" t="s">
        <v>1913</v>
      </c>
      <c r="AE83" t="s">
        <v>1914</v>
      </c>
      <c r="AF83" t="s">
        <v>74</v>
      </c>
      <c r="AG83">
        <v>93</v>
      </c>
      <c r="AH83">
        <v>6</v>
      </c>
      <c r="AI83">
        <v>6</v>
      </c>
      <c r="AJ83">
        <v>1</v>
      </c>
      <c r="AK83">
        <v>28</v>
      </c>
      <c r="AL83" t="s">
        <v>1820</v>
      </c>
      <c r="AM83" t="s">
        <v>1821</v>
      </c>
      <c r="AN83" t="s">
        <v>1822</v>
      </c>
      <c r="AO83" t="s">
        <v>1823</v>
      </c>
      <c r="AP83" t="s">
        <v>1824</v>
      </c>
      <c r="AQ83" t="s">
        <v>74</v>
      </c>
      <c r="AR83" t="s">
        <v>1825</v>
      </c>
      <c r="AS83" t="s">
        <v>1826</v>
      </c>
      <c r="AT83" t="s">
        <v>1765</v>
      </c>
      <c r="AU83">
        <v>2018</v>
      </c>
      <c r="AV83">
        <v>596</v>
      </c>
      <c r="AW83" t="s">
        <v>74</v>
      </c>
      <c r="AX83" t="s">
        <v>74</v>
      </c>
      <c r="AY83" t="s">
        <v>74</v>
      </c>
      <c r="AZ83" t="s">
        <v>74</v>
      </c>
      <c r="BA83" t="s">
        <v>74</v>
      </c>
      <c r="BB83">
        <v>143</v>
      </c>
      <c r="BC83">
        <v>153</v>
      </c>
      <c r="BD83" t="s">
        <v>74</v>
      </c>
      <c r="BE83" t="s">
        <v>1915</v>
      </c>
      <c r="BF83" t="str">
        <f>HYPERLINK("http://dx.doi.org/10.3354/meps12544","http://dx.doi.org/10.3354/meps12544")</f>
        <v>http://dx.doi.org/10.3354/meps12544</v>
      </c>
      <c r="BG83" t="s">
        <v>74</v>
      </c>
      <c r="BH83" t="s">
        <v>74</v>
      </c>
      <c r="BI83">
        <v>11</v>
      </c>
      <c r="BJ83" t="s">
        <v>1828</v>
      </c>
      <c r="BK83" t="s">
        <v>101</v>
      </c>
      <c r="BL83" t="s">
        <v>1829</v>
      </c>
      <c r="BM83" t="s">
        <v>1830</v>
      </c>
      <c r="BN83" t="s">
        <v>74</v>
      </c>
      <c r="BO83" t="s">
        <v>1085</v>
      </c>
      <c r="BP83" t="s">
        <v>74</v>
      </c>
      <c r="BQ83" t="s">
        <v>74</v>
      </c>
      <c r="BR83" t="s">
        <v>105</v>
      </c>
      <c r="BS83" t="s">
        <v>1916</v>
      </c>
      <c r="BT83" t="str">
        <f>HYPERLINK("https%3A%2F%2Fwww.webofscience.com%2Fwos%2Fwoscc%2Ffull-record%2FWOS:000434051700011","View Full Record in Web of Science")</f>
        <v>View Full Record in Web of Science</v>
      </c>
    </row>
    <row r="84" spans="1:72" x14ac:dyDescent="0.15">
      <c r="A84" t="s">
        <v>72</v>
      </c>
      <c r="B84" t="s">
        <v>1917</v>
      </c>
      <c r="C84" t="s">
        <v>74</v>
      </c>
      <c r="D84" t="s">
        <v>74</v>
      </c>
      <c r="E84" t="s">
        <v>74</v>
      </c>
      <c r="F84" t="s">
        <v>1918</v>
      </c>
      <c r="G84" t="s">
        <v>74</v>
      </c>
      <c r="H84" t="s">
        <v>74</v>
      </c>
      <c r="I84" t="s">
        <v>1919</v>
      </c>
      <c r="J84" t="s">
        <v>1749</v>
      </c>
      <c r="K84" t="s">
        <v>74</v>
      </c>
      <c r="L84" t="s">
        <v>74</v>
      </c>
      <c r="M84" t="s">
        <v>78</v>
      </c>
      <c r="N84" t="s">
        <v>79</v>
      </c>
      <c r="O84" t="s">
        <v>74</v>
      </c>
      <c r="P84" t="s">
        <v>74</v>
      </c>
      <c r="Q84" t="s">
        <v>74</v>
      </c>
      <c r="R84" t="s">
        <v>74</v>
      </c>
      <c r="S84" t="s">
        <v>74</v>
      </c>
      <c r="T84" t="s">
        <v>1920</v>
      </c>
      <c r="U84" t="s">
        <v>1921</v>
      </c>
      <c r="V84" t="s">
        <v>1922</v>
      </c>
      <c r="W84" t="s">
        <v>1923</v>
      </c>
      <c r="X84" t="s">
        <v>1924</v>
      </c>
      <c r="Y84" t="s">
        <v>1925</v>
      </c>
      <c r="Z84" t="s">
        <v>1926</v>
      </c>
      <c r="AA84" t="s">
        <v>1927</v>
      </c>
      <c r="AB84" t="s">
        <v>1928</v>
      </c>
      <c r="AC84" t="s">
        <v>1929</v>
      </c>
      <c r="AD84" t="s">
        <v>1930</v>
      </c>
      <c r="AE84" t="s">
        <v>1931</v>
      </c>
      <c r="AF84" t="s">
        <v>74</v>
      </c>
      <c r="AG84">
        <v>33</v>
      </c>
      <c r="AH84">
        <v>10</v>
      </c>
      <c r="AI84">
        <v>10</v>
      </c>
      <c r="AJ84">
        <v>0</v>
      </c>
      <c r="AK84">
        <v>5</v>
      </c>
      <c r="AL84" t="s">
        <v>574</v>
      </c>
      <c r="AM84" t="s">
        <v>575</v>
      </c>
      <c r="AN84" t="s">
        <v>576</v>
      </c>
      <c r="AO84" t="s">
        <v>1761</v>
      </c>
      <c r="AP84" t="s">
        <v>1762</v>
      </c>
      <c r="AQ84" t="s">
        <v>74</v>
      </c>
      <c r="AR84" t="s">
        <v>1763</v>
      </c>
      <c r="AS84" t="s">
        <v>1764</v>
      </c>
      <c r="AT84" t="s">
        <v>1765</v>
      </c>
      <c r="AU84">
        <v>2018</v>
      </c>
      <c r="AV84">
        <v>45</v>
      </c>
      <c r="AW84">
        <v>10</v>
      </c>
      <c r="AX84" t="s">
        <v>74</v>
      </c>
      <c r="AY84" t="s">
        <v>74</v>
      </c>
      <c r="AZ84" t="s">
        <v>74</v>
      </c>
      <c r="BA84" t="s">
        <v>74</v>
      </c>
      <c r="BB84">
        <v>5151</v>
      </c>
      <c r="BC84">
        <v>5157</v>
      </c>
      <c r="BD84" t="s">
        <v>74</v>
      </c>
      <c r="BE84" t="s">
        <v>1932</v>
      </c>
      <c r="BF84" t="str">
        <f>HYPERLINK("http://dx.doi.org/10.1029/2018GL078264","http://dx.doi.org/10.1029/2018GL078264")</f>
        <v>http://dx.doi.org/10.1029/2018GL078264</v>
      </c>
      <c r="BG84" t="s">
        <v>74</v>
      </c>
      <c r="BH84" t="s">
        <v>74</v>
      </c>
      <c r="BI84">
        <v>7</v>
      </c>
      <c r="BJ84" t="s">
        <v>1243</v>
      </c>
      <c r="BK84" t="s">
        <v>101</v>
      </c>
      <c r="BL84" t="s">
        <v>1181</v>
      </c>
      <c r="BM84" t="s">
        <v>1767</v>
      </c>
      <c r="BN84" t="s">
        <v>74</v>
      </c>
      <c r="BO84" t="s">
        <v>1933</v>
      </c>
      <c r="BP84" t="s">
        <v>74</v>
      </c>
      <c r="BQ84" t="s">
        <v>74</v>
      </c>
      <c r="BR84" t="s">
        <v>105</v>
      </c>
      <c r="BS84" t="s">
        <v>1934</v>
      </c>
      <c r="BT84" t="str">
        <f>HYPERLINK("https%3A%2F%2Fwww.webofscience.com%2Fwos%2Fwoscc%2Ffull-record%2FWOS:000435262000068","View Full Record in Web of Science")</f>
        <v>View Full Record in Web of Science</v>
      </c>
    </row>
    <row r="85" spans="1:72" x14ac:dyDescent="0.15">
      <c r="A85" t="s">
        <v>72</v>
      </c>
      <c r="B85" t="s">
        <v>1935</v>
      </c>
      <c r="C85" t="s">
        <v>74</v>
      </c>
      <c r="D85" t="s">
        <v>74</v>
      </c>
      <c r="E85" t="s">
        <v>74</v>
      </c>
      <c r="F85" t="s">
        <v>1936</v>
      </c>
      <c r="G85" t="s">
        <v>74</v>
      </c>
      <c r="H85" t="s">
        <v>74</v>
      </c>
      <c r="I85" t="s">
        <v>1937</v>
      </c>
      <c r="J85" t="s">
        <v>1938</v>
      </c>
      <c r="K85" t="s">
        <v>74</v>
      </c>
      <c r="L85" t="s">
        <v>74</v>
      </c>
      <c r="M85" t="s">
        <v>78</v>
      </c>
      <c r="N85" t="s">
        <v>79</v>
      </c>
      <c r="O85" t="s">
        <v>74</v>
      </c>
      <c r="P85" t="s">
        <v>74</v>
      </c>
      <c r="Q85" t="s">
        <v>74</v>
      </c>
      <c r="R85" t="s">
        <v>74</v>
      </c>
      <c r="S85" t="s">
        <v>74</v>
      </c>
      <c r="T85" t="s">
        <v>1939</v>
      </c>
      <c r="U85" t="s">
        <v>1940</v>
      </c>
      <c r="V85" t="s">
        <v>1941</v>
      </c>
      <c r="W85" t="s">
        <v>1942</v>
      </c>
      <c r="X85" t="s">
        <v>1943</v>
      </c>
      <c r="Y85" t="s">
        <v>1944</v>
      </c>
      <c r="Z85" t="s">
        <v>1945</v>
      </c>
      <c r="AA85" t="s">
        <v>1946</v>
      </c>
      <c r="AB85" t="s">
        <v>1947</v>
      </c>
      <c r="AC85" t="s">
        <v>1948</v>
      </c>
      <c r="AD85" t="s">
        <v>1949</v>
      </c>
      <c r="AE85" t="s">
        <v>1950</v>
      </c>
      <c r="AF85" t="s">
        <v>74</v>
      </c>
      <c r="AG85">
        <v>89</v>
      </c>
      <c r="AH85">
        <v>13</v>
      </c>
      <c r="AI85">
        <v>14</v>
      </c>
      <c r="AJ85">
        <v>2</v>
      </c>
      <c r="AK85">
        <v>20</v>
      </c>
      <c r="AL85" t="s">
        <v>574</v>
      </c>
      <c r="AM85" t="s">
        <v>575</v>
      </c>
      <c r="AN85" t="s">
        <v>576</v>
      </c>
      <c r="AO85" t="s">
        <v>1951</v>
      </c>
      <c r="AP85" t="s">
        <v>1952</v>
      </c>
      <c r="AQ85" t="s">
        <v>74</v>
      </c>
      <c r="AR85" t="s">
        <v>1953</v>
      </c>
      <c r="AS85" t="s">
        <v>1954</v>
      </c>
      <c r="AT85" t="s">
        <v>1955</v>
      </c>
      <c r="AU85">
        <v>2018</v>
      </c>
      <c r="AV85">
        <v>123</v>
      </c>
      <c r="AW85">
        <v>10</v>
      </c>
      <c r="AX85" t="s">
        <v>74</v>
      </c>
      <c r="AY85" t="s">
        <v>74</v>
      </c>
      <c r="AZ85" t="s">
        <v>74</v>
      </c>
      <c r="BA85" t="s">
        <v>74</v>
      </c>
      <c r="BB85">
        <v>4958</v>
      </c>
      <c r="BC85">
        <v>4976</v>
      </c>
      <c r="BD85" t="s">
        <v>74</v>
      </c>
      <c r="BE85" t="s">
        <v>1956</v>
      </c>
      <c r="BF85" t="str">
        <f>HYPERLINK("http://dx.doi.org/10.1029/2017JD027998","http://dx.doi.org/10.1029/2017JD027998")</f>
        <v>http://dx.doi.org/10.1029/2017JD027998</v>
      </c>
      <c r="BG85" t="s">
        <v>74</v>
      </c>
      <c r="BH85" t="s">
        <v>74</v>
      </c>
      <c r="BI85">
        <v>19</v>
      </c>
      <c r="BJ85" t="s">
        <v>131</v>
      </c>
      <c r="BK85" t="s">
        <v>101</v>
      </c>
      <c r="BL85" t="s">
        <v>131</v>
      </c>
      <c r="BM85" t="s">
        <v>1957</v>
      </c>
      <c r="BN85" t="s">
        <v>74</v>
      </c>
      <c r="BO85" t="s">
        <v>162</v>
      </c>
      <c r="BP85" t="s">
        <v>74</v>
      </c>
      <c r="BQ85" t="s">
        <v>74</v>
      </c>
      <c r="BR85" t="s">
        <v>105</v>
      </c>
      <c r="BS85" t="s">
        <v>1958</v>
      </c>
      <c r="BT85" t="str">
        <f>HYPERLINK("https%3A%2F%2Fwww.webofscience.com%2Fwos%2Fwoscc%2Ffull-record%2FWOS:000435445600011","View Full Record in Web of Science")</f>
        <v>View Full Record in Web of Science</v>
      </c>
    </row>
    <row r="86" spans="1:72" x14ac:dyDescent="0.15">
      <c r="A86" t="s">
        <v>72</v>
      </c>
      <c r="B86" t="s">
        <v>1959</v>
      </c>
      <c r="C86" t="s">
        <v>74</v>
      </c>
      <c r="D86" t="s">
        <v>74</v>
      </c>
      <c r="E86" t="s">
        <v>74</v>
      </c>
      <c r="F86" t="s">
        <v>1960</v>
      </c>
      <c r="G86" t="s">
        <v>74</v>
      </c>
      <c r="H86" t="s">
        <v>74</v>
      </c>
      <c r="I86" t="s">
        <v>1961</v>
      </c>
      <c r="J86" t="s">
        <v>1938</v>
      </c>
      <c r="K86" t="s">
        <v>74</v>
      </c>
      <c r="L86" t="s">
        <v>74</v>
      </c>
      <c r="M86" t="s">
        <v>78</v>
      </c>
      <c r="N86" t="s">
        <v>79</v>
      </c>
      <c r="O86" t="s">
        <v>74</v>
      </c>
      <c r="P86" t="s">
        <v>74</v>
      </c>
      <c r="Q86" t="s">
        <v>74</v>
      </c>
      <c r="R86" t="s">
        <v>74</v>
      </c>
      <c r="S86" t="s">
        <v>74</v>
      </c>
      <c r="T86" t="s">
        <v>1962</v>
      </c>
      <c r="U86" t="s">
        <v>1963</v>
      </c>
      <c r="V86" t="s">
        <v>1964</v>
      </c>
      <c r="W86" t="s">
        <v>1965</v>
      </c>
      <c r="X86" t="s">
        <v>1966</v>
      </c>
      <c r="Y86" t="s">
        <v>1967</v>
      </c>
      <c r="Z86" t="s">
        <v>1968</v>
      </c>
      <c r="AA86" t="s">
        <v>1969</v>
      </c>
      <c r="AB86" t="s">
        <v>1970</v>
      </c>
      <c r="AC86" t="s">
        <v>1971</v>
      </c>
      <c r="AD86" t="s">
        <v>1972</v>
      </c>
      <c r="AE86" t="s">
        <v>1973</v>
      </c>
      <c r="AF86" t="s">
        <v>74</v>
      </c>
      <c r="AG86">
        <v>134</v>
      </c>
      <c r="AH86">
        <v>34</v>
      </c>
      <c r="AI86">
        <v>39</v>
      </c>
      <c r="AJ86">
        <v>1</v>
      </c>
      <c r="AK86">
        <v>36</v>
      </c>
      <c r="AL86" t="s">
        <v>574</v>
      </c>
      <c r="AM86" t="s">
        <v>575</v>
      </c>
      <c r="AN86" t="s">
        <v>576</v>
      </c>
      <c r="AO86" t="s">
        <v>1951</v>
      </c>
      <c r="AP86" t="s">
        <v>1952</v>
      </c>
      <c r="AQ86" t="s">
        <v>74</v>
      </c>
      <c r="AR86" t="s">
        <v>1953</v>
      </c>
      <c r="AS86" t="s">
        <v>1954</v>
      </c>
      <c r="AT86" t="s">
        <v>1955</v>
      </c>
      <c r="AU86">
        <v>2018</v>
      </c>
      <c r="AV86">
        <v>123</v>
      </c>
      <c r="AW86">
        <v>10</v>
      </c>
      <c r="AX86" t="s">
        <v>74</v>
      </c>
      <c r="AY86" t="s">
        <v>74</v>
      </c>
      <c r="AZ86" t="s">
        <v>74</v>
      </c>
      <c r="BA86" t="s">
        <v>74</v>
      </c>
      <c r="BB86">
        <v>5690</v>
      </c>
      <c r="BC86">
        <v>5719</v>
      </c>
      <c r="BD86" t="s">
        <v>74</v>
      </c>
      <c r="BE86" t="s">
        <v>1974</v>
      </c>
      <c r="BF86" t="str">
        <f>HYPERLINK("http://dx.doi.org/10.1029/2017JD027978","http://dx.doi.org/10.1029/2017JD027978")</f>
        <v>http://dx.doi.org/10.1029/2017JD027978</v>
      </c>
      <c r="BG86" t="s">
        <v>74</v>
      </c>
      <c r="BH86" t="s">
        <v>74</v>
      </c>
      <c r="BI86">
        <v>30</v>
      </c>
      <c r="BJ86" t="s">
        <v>131</v>
      </c>
      <c r="BK86" t="s">
        <v>101</v>
      </c>
      <c r="BL86" t="s">
        <v>131</v>
      </c>
      <c r="BM86" t="s">
        <v>1957</v>
      </c>
      <c r="BN86" t="s">
        <v>74</v>
      </c>
      <c r="BO86" t="s">
        <v>536</v>
      </c>
      <c r="BP86" t="s">
        <v>74</v>
      </c>
      <c r="BQ86" t="s">
        <v>74</v>
      </c>
      <c r="BR86" t="s">
        <v>105</v>
      </c>
      <c r="BS86" t="s">
        <v>1975</v>
      </c>
      <c r="BT86" t="str">
        <f>HYPERLINK("https%3A%2F%2Fwww.webofscience.com%2Fwos%2Fwoscc%2Ffull-record%2FWOS:000435445600054","View Full Record in Web of Science")</f>
        <v>View Full Record in Web of Science</v>
      </c>
    </row>
    <row r="87" spans="1:72" x14ac:dyDescent="0.15">
      <c r="A87" t="s">
        <v>72</v>
      </c>
      <c r="B87" t="s">
        <v>1976</v>
      </c>
      <c r="C87" t="s">
        <v>74</v>
      </c>
      <c r="D87" t="s">
        <v>74</v>
      </c>
      <c r="E87" t="s">
        <v>74</v>
      </c>
      <c r="F87" t="s">
        <v>1977</v>
      </c>
      <c r="G87" t="s">
        <v>74</v>
      </c>
      <c r="H87" t="s">
        <v>74</v>
      </c>
      <c r="I87" t="s">
        <v>1978</v>
      </c>
      <c r="J87" t="s">
        <v>1938</v>
      </c>
      <c r="K87" t="s">
        <v>74</v>
      </c>
      <c r="L87" t="s">
        <v>74</v>
      </c>
      <c r="M87" t="s">
        <v>78</v>
      </c>
      <c r="N87" t="s">
        <v>79</v>
      </c>
      <c r="O87" t="s">
        <v>74</v>
      </c>
      <c r="P87" t="s">
        <v>74</v>
      </c>
      <c r="Q87" t="s">
        <v>74</v>
      </c>
      <c r="R87" t="s">
        <v>74</v>
      </c>
      <c r="S87" t="s">
        <v>74</v>
      </c>
      <c r="T87" t="s">
        <v>1979</v>
      </c>
      <c r="U87" t="s">
        <v>1980</v>
      </c>
      <c r="V87" t="s">
        <v>1981</v>
      </c>
      <c r="W87" t="s">
        <v>1982</v>
      </c>
      <c r="X87" t="s">
        <v>1983</v>
      </c>
      <c r="Y87" t="s">
        <v>1984</v>
      </c>
      <c r="Z87" t="s">
        <v>1985</v>
      </c>
      <c r="AA87" t="s">
        <v>1986</v>
      </c>
      <c r="AB87" t="s">
        <v>1987</v>
      </c>
      <c r="AC87" t="s">
        <v>1988</v>
      </c>
      <c r="AD87" t="s">
        <v>1989</v>
      </c>
      <c r="AE87" t="s">
        <v>1990</v>
      </c>
      <c r="AF87" t="s">
        <v>74</v>
      </c>
      <c r="AG87">
        <v>50</v>
      </c>
      <c r="AH87">
        <v>28</v>
      </c>
      <c r="AI87">
        <v>28</v>
      </c>
      <c r="AJ87">
        <v>0</v>
      </c>
      <c r="AK87">
        <v>11</v>
      </c>
      <c r="AL87" t="s">
        <v>574</v>
      </c>
      <c r="AM87" t="s">
        <v>575</v>
      </c>
      <c r="AN87" t="s">
        <v>576</v>
      </c>
      <c r="AO87" t="s">
        <v>1951</v>
      </c>
      <c r="AP87" t="s">
        <v>1952</v>
      </c>
      <c r="AQ87" t="s">
        <v>74</v>
      </c>
      <c r="AR87" t="s">
        <v>1953</v>
      </c>
      <c r="AS87" t="s">
        <v>1954</v>
      </c>
      <c r="AT87" t="s">
        <v>1955</v>
      </c>
      <c r="AU87">
        <v>2018</v>
      </c>
      <c r="AV87">
        <v>123</v>
      </c>
      <c r="AW87">
        <v>10</v>
      </c>
      <c r="AX87" t="s">
        <v>74</v>
      </c>
      <c r="AY87" t="s">
        <v>74</v>
      </c>
      <c r="AZ87" t="s">
        <v>74</v>
      </c>
      <c r="BA87" t="s">
        <v>74</v>
      </c>
      <c r="BB87">
        <v>5149</v>
      </c>
      <c r="BC87">
        <v>5162</v>
      </c>
      <c r="BD87" t="s">
        <v>74</v>
      </c>
      <c r="BE87" t="s">
        <v>1991</v>
      </c>
      <c r="BF87" t="str">
        <f>HYPERLINK("http://dx.doi.org/10.1029/2017JD028224","http://dx.doi.org/10.1029/2017JD028224")</f>
        <v>http://dx.doi.org/10.1029/2017JD028224</v>
      </c>
      <c r="BG87" t="s">
        <v>74</v>
      </c>
      <c r="BH87" t="s">
        <v>74</v>
      </c>
      <c r="BI87">
        <v>14</v>
      </c>
      <c r="BJ87" t="s">
        <v>131</v>
      </c>
      <c r="BK87" t="s">
        <v>101</v>
      </c>
      <c r="BL87" t="s">
        <v>131</v>
      </c>
      <c r="BM87" t="s">
        <v>1957</v>
      </c>
      <c r="BN87" t="s">
        <v>74</v>
      </c>
      <c r="BO87" t="s">
        <v>162</v>
      </c>
      <c r="BP87" t="s">
        <v>74</v>
      </c>
      <c r="BQ87" t="s">
        <v>74</v>
      </c>
      <c r="BR87" t="s">
        <v>105</v>
      </c>
      <c r="BS87" t="s">
        <v>1992</v>
      </c>
      <c r="BT87" t="str">
        <f>HYPERLINK("https%3A%2F%2Fwww.webofscience.com%2Fwos%2Fwoscc%2Ffull-record%2FWOS:000435445600022","View Full Record in Web of Science")</f>
        <v>View Full Record in Web of Science</v>
      </c>
    </row>
    <row r="88" spans="1:72" x14ac:dyDescent="0.15">
      <c r="A88" t="s">
        <v>72</v>
      </c>
      <c r="B88" t="s">
        <v>1993</v>
      </c>
      <c r="C88" t="s">
        <v>74</v>
      </c>
      <c r="D88" t="s">
        <v>74</v>
      </c>
      <c r="E88" t="s">
        <v>74</v>
      </c>
      <c r="F88" t="s">
        <v>1994</v>
      </c>
      <c r="G88" t="s">
        <v>74</v>
      </c>
      <c r="H88" t="s">
        <v>74</v>
      </c>
      <c r="I88" t="s">
        <v>1995</v>
      </c>
      <c r="J88" t="s">
        <v>1552</v>
      </c>
      <c r="K88" t="s">
        <v>74</v>
      </c>
      <c r="L88" t="s">
        <v>74</v>
      </c>
      <c r="M88" t="s">
        <v>78</v>
      </c>
      <c r="N88" t="s">
        <v>79</v>
      </c>
      <c r="O88" t="s">
        <v>74</v>
      </c>
      <c r="P88" t="s">
        <v>74</v>
      </c>
      <c r="Q88" t="s">
        <v>74</v>
      </c>
      <c r="R88" t="s">
        <v>74</v>
      </c>
      <c r="S88" t="s">
        <v>74</v>
      </c>
      <c r="T88" t="s">
        <v>74</v>
      </c>
      <c r="U88" t="s">
        <v>1996</v>
      </c>
      <c r="V88" t="s">
        <v>1997</v>
      </c>
      <c r="W88" t="s">
        <v>1998</v>
      </c>
      <c r="X88" t="s">
        <v>1999</v>
      </c>
      <c r="Y88" t="s">
        <v>2000</v>
      </c>
      <c r="Z88" t="s">
        <v>2001</v>
      </c>
      <c r="AA88" t="s">
        <v>2002</v>
      </c>
      <c r="AB88" t="s">
        <v>2003</v>
      </c>
      <c r="AC88" t="s">
        <v>2004</v>
      </c>
      <c r="AD88" t="s">
        <v>2005</v>
      </c>
      <c r="AE88" t="s">
        <v>2006</v>
      </c>
      <c r="AF88" t="s">
        <v>74</v>
      </c>
      <c r="AG88">
        <v>69</v>
      </c>
      <c r="AH88">
        <v>27</v>
      </c>
      <c r="AI88">
        <v>28</v>
      </c>
      <c r="AJ88">
        <v>0</v>
      </c>
      <c r="AK88">
        <v>14</v>
      </c>
      <c r="AL88" t="s">
        <v>1563</v>
      </c>
      <c r="AM88" t="s">
        <v>1564</v>
      </c>
      <c r="AN88" t="s">
        <v>1565</v>
      </c>
      <c r="AO88" t="s">
        <v>1566</v>
      </c>
      <c r="AP88" t="s">
        <v>1567</v>
      </c>
      <c r="AQ88" t="s">
        <v>74</v>
      </c>
      <c r="AR88" t="s">
        <v>1568</v>
      </c>
      <c r="AS88" t="s">
        <v>1569</v>
      </c>
      <c r="AT88" t="s">
        <v>2007</v>
      </c>
      <c r="AU88">
        <v>2018</v>
      </c>
      <c r="AV88">
        <v>18</v>
      </c>
      <c r="AW88">
        <v>10</v>
      </c>
      <c r="AX88" t="s">
        <v>74</v>
      </c>
      <c r="AY88" t="s">
        <v>74</v>
      </c>
      <c r="AZ88" t="s">
        <v>74</v>
      </c>
      <c r="BA88" t="s">
        <v>74</v>
      </c>
      <c r="BB88">
        <v>7217</v>
      </c>
      <c r="BC88">
        <v>7235</v>
      </c>
      <c r="BD88" t="s">
        <v>74</v>
      </c>
      <c r="BE88" t="s">
        <v>2008</v>
      </c>
      <c r="BF88" t="str">
        <f>HYPERLINK("http://dx.doi.org/10.5194/acp-18-7217-2018","http://dx.doi.org/10.5194/acp-18-7217-2018")</f>
        <v>http://dx.doi.org/10.5194/acp-18-7217-2018</v>
      </c>
      <c r="BG88" t="s">
        <v>74</v>
      </c>
      <c r="BH88" t="s">
        <v>74</v>
      </c>
      <c r="BI88">
        <v>19</v>
      </c>
      <c r="BJ88" t="s">
        <v>285</v>
      </c>
      <c r="BK88" t="s">
        <v>101</v>
      </c>
      <c r="BL88" t="s">
        <v>286</v>
      </c>
      <c r="BM88" t="s">
        <v>2009</v>
      </c>
      <c r="BN88" t="s">
        <v>74</v>
      </c>
      <c r="BO88" t="s">
        <v>2010</v>
      </c>
      <c r="BP88" t="s">
        <v>74</v>
      </c>
      <c r="BQ88" t="s">
        <v>74</v>
      </c>
      <c r="BR88" t="s">
        <v>105</v>
      </c>
      <c r="BS88" t="s">
        <v>2011</v>
      </c>
      <c r="BT88" t="str">
        <f>HYPERLINK("https%3A%2F%2Fwww.webofscience.com%2Fwos%2Fwoscc%2Ffull-record%2FWOS:000433159600001","View Full Record in Web of Science")</f>
        <v>View Full Record in Web of Science</v>
      </c>
    </row>
    <row r="89" spans="1:72" x14ac:dyDescent="0.15">
      <c r="A89" t="s">
        <v>72</v>
      </c>
      <c r="B89" t="s">
        <v>2012</v>
      </c>
      <c r="C89" t="s">
        <v>74</v>
      </c>
      <c r="D89" t="s">
        <v>74</v>
      </c>
      <c r="E89" t="s">
        <v>74</v>
      </c>
      <c r="F89" t="s">
        <v>2013</v>
      </c>
      <c r="G89" t="s">
        <v>74</v>
      </c>
      <c r="H89" t="s">
        <v>74</v>
      </c>
      <c r="I89" t="s">
        <v>2014</v>
      </c>
      <c r="J89" t="s">
        <v>2015</v>
      </c>
      <c r="K89" t="s">
        <v>74</v>
      </c>
      <c r="L89" t="s">
        <v>74</v>
      </c>
      <c r="M89" t="s">
        <v>78</v>
      </c>
      <c r="N89" t="s">
        <v>79</v>
      </c>
      <c r="O89" t="s">
        <v>74</v>
      </c>
      <c r="P89" t="s">
        <v>74</v>
      </c>
      <c r="Q89" t="s">
        <v>74</v>
      </c>
      <c r="R89" t="s">
        <v>74</v>
      </c>
      <c r="S89" t="s">
        <v>74</v>
      </c>
      <c r="T89" t="s">
        <v>2016</v>
      </c>
      <c r="U89" t="s">
        <v>2017</v>
      </c>
      <c r="V89" t="s">
        <v>2018</v>
      </c>
      <c r="W89" t="s">
        <v>2019</v>
      </c>
      <c r="X89" t="s">
        <v>2020</v>
      </c>
      <c r="Y89" t="s">
        <v>2021</v>
      </c>
      <c r="Z89" t="s">
        <v>2022</v>
      </c>
      <c r="AA89" t="s">
        <v>2023</v>
      </c>
      <c r="AB89" t="s">
        <v>74</v>
      </c>
      <c r="AC89" t="s">
        <v>2024</v>
      </c>
      <c r="AD89" t="s">
        <v>2025</v>
      </c>
      <c r="AE89" t="s">
        <v>2026</v>
      </c>
      <c r="AF89" t="s">
        <v>74</v>
      </c>
      <c r="AG89">
        <v>25</v>
      </c>
      <c r="AH89">
        <v>6</v>
      </c>
      <c r="AI89">
        <v>9</v>
      </c>
      <c r="AJ89">
        <v>0</v>
      </c>
      <c r="AK89">
        <v>42</v>
      </c>
      <c r="AL89" t="s">
        <v>2027</v>
      </c>
      <c r="AM89" t="s">
        <v>2028</v>
      </c>
      <c r="AN89" t="s">
        <v>2029</v>
      </c>
      <c r="AO89" t="s">
        <v>2030</v>
      </c>
      <c r="AP89" t="s">
        <v>74</v>
      </c>
      <c r="AQ89" t="s">
        <v>74</v>
      </c>
      <c r="AR89" t="s">
        <v>2031</v>
      </c>
      <c r="AS89" t="s">
        <v>2032</v>
      </c>
      <c r="AT89" t="s">
        <v>2007</v>
      </c>
      <c r="AU89">
        <v>2018</v>
      </c>
      <c r="AV89">
        <v>38</v>
      </c>
      <c r="AW89">
        <v>5</v>
      </c>
      <c r="AX89" t="s">
        <v>74</v>
      </c>
      <c r="AY89" t="s">
        <v>74</v>
      </c>
      <c r="AZ89" t="s">
        <v>74</v>
      </c>
      <c r="BA89" t="s">
        <v>74</v>
      </c>
      <c r="BB89">
        <v>1185</v>
      </c>
      <c r="BC89">
        <v>1192</v>
      </c>
      <c r="BD89" t="s">
        <v>74</v>
      </c>
      <c r="BE89" t="s">
        <v>2033</v>
      </c>
      <c r="BF89" t="str">
        <f>HYPERLINK("http://dx.doi.org/10.6023/cjoc201710019","http://dx.doi.org/10.6023/cjoc201710019")</f>
        <v>http://dx.doi.org/10.6023/cjoc201710019</v>
      </c>
      <c r="BG89" t="s">
        <v>74</v>
      </c>
      <c r="BH89" t="s">
        <v>74</v>
      </c>
      <c r="BI89">
        <v>8</v>
      </c>
      <c r="BJ89" t="s">
        <v>2034</v>
      </c>
      <c r="BK89" t="s">
        <v>101</v>
      </c>
      <c r="BL89" t="s">
        <v>2035</v>
      </c>
      <c r="BM89" t="s">
        <v>2036</v>
      </c>
      <c r="BN89" t="s">
        <v>74</v>
      </c>
      <c r="BO89" t="s">
        <v>162</v>
      </c>
      <c r="BP89" t="s">
        <v>74</v>
      </c>
      <c r="BQ89" t="s">
        <v>74</v>
      </c>
      <c r="BR89" t="s">
        <v>105</v>
      </c>
      <c r="BS89" t="s">
        <v>2037</v>
      </c>
      <c r="BT89" t="str">
        <f>HYPERLINK("https%3A%2F%2Fwww.webofscience.com%2Fwos%2Fwoscc%2Ffull-record%2FWOS:000440483900018","View Full Record in Web of Science")</f>
        <v>View Full Record in Web of Science</v>
      </c>
    </row>
    <row r="90" spans="1:72" x14ac:dyDescent="0.15">
      <c r="A90" t="s">
        <v>72</v>
      </c>
      <c r="B90" t="s">
        <v>2038</v>
      </c>
      <c r="C90" t="s">
        <v>74</v>
      </c>
      <c r="D90" t="s">
        <v>74</v>
      </c>
      <c r="E90" t="s">
        <v>74</v>
      </c>
      <c r="F90" t="s">
        <v>2039</v>
      </c>
      <c r="G90" t="s">
        <v>74</v>
      </c>
      <c r="H90" t="s">
        <v>74</v>
      </c>
      <c r="I90" t="s">
        <v>2040</v>
      </c>
      <c r="J90" t="s">
        <v>1576</v>
      </c>
      <c r="K90" t="s">
        <v>74</v>
      </c>
      <c r="L90" t="s">
        <v>74</v>
      </c>
      <c r="M90" t="s">
        <v>78</v>
      </c>
      <c r="N90" t="s">
        <v>79</v>
      </c>
      <c r="O90" t="s">
        <v>74</v>
      </c>
      <c r="P90" t="s">
        <v>74</v>
      </c>
      <c r="Q90" t="s">
        <v>74</v>
      </c>
      <c r="R90" t="s">
        <v>74</v>
      </c>
      <c r="S90" t="s">
        <v>74</v>
      </c>
      <c r="T90" t="s">
        <v>74</v>
      </c>
      <c r="U90" t="s">
        <v>2041</v>
      </c>
      <c r="V90" t="s">
        <v>2042</v>
      </c>
      <c r="W90" t="s">
        <v>2043</v>
      </c>
      <c r="X90" t="s">
        <v>2044</v>
      </c>
      <c r="Y90" t="s">
        <v>2045</v>
      </c>
      <c r="Z90" t="s">
        <v>2046</v>
      </c>
      <c r="AA90" t="s">
        <v>2047</v>
      </c>
      <c r="AB90" t="s">
        <v>2048</v>
      </c>
      <c r="AC90" t="s">
        <v>2049</v>
      </c>
      <c r="AD90" t="s">
        <v>2050</v>
      </c>
      <c r="AE90" t="s">
        <v>2051</v>
      </c>
      <c r="AF90" t="s">
        <v>74</v>
      </c>
      <c r="AG90">
        <v>43</v>
      </c>
      <c r="AH90">
        <v>16</v>
      </c>
      <c r="AI90">
        <v>18</v>
      </c>
      <c r="AJ90">
        <v>1</v>
      </c>
      <c r="AK90">
        <v>7</v>
      </c>
      <c r="AL90" t="s">
        <v>1563</v>
      </c>
      <c r="AM90" t="s">
        <v>1564</v>
      </c>
      <c r="AN90" t="s">
        <v>1565</v>
      </c>
      <c r="AO90" t="s">
        <v>1588</v>
      </c>
      <c r="AP90" t="s">
        <v>1589</v>
      </c>
      <c r="AQ90" t="s">
        <v>74</v>
      </c>
      <c r="AR90" t="s">
        <v>1576</v>
      </c>
      <c r="AS90" t="s">
        <v>1590</v>
      </c>
      <c r="AT90" t="s">
        <v>2007</v>
      </c>
      <c r="AU90">
        <v>2018</v>
      </c>
      <c r="AV90">
        <v>12</v>
      </c>
      <c r="AW90">
        <v>5</v>
      </c>
      <c r="AX90" t="s">
        <v>74</v>
      </c>
      <c r="AY90" t="s">
        <v>74</v>
      </c>
      <c r="AZ90" t="s">
        <v>74</v>
      </c>
      <c r="BA90" t="s">
        <v>74</v>
      </c>
      <c r="BB90">
        <v>1767</v>
      </c>
      <c r="BC90">
        <v>1778</v>
      </c>
      <c r="BD90" t="s">
        <v>74</v>
      </c>
      <c r="BE90" t="s">
        <v>2052</v>
      </c>
      <c r="BF90" t="str">
        <f>HYPERLINK("http://dx.doi.org/10.5194/tc-12-1767-2018","http://dx.doi.org/10.5194/tc-12-1767-2018")</f>
        <v>http://dx.doi.org/10.5194/tc-12-1767-2018</v>
      </c>
      <c r="BG90" t="s">
        <v>74</v>
      </c>
      <c r="BH90" t="s">
        <v>74</v>
      </c>
      <c r="BI90">
        <v>12</v>
      </c>
      <c r="BJ90" t="s">
        <v>338</v>
      </c>
      <c r="BK90" t="s">
        <v>101</v>
      </c>
      <c r="BL90" t="s">
        <v>339</v>
      </c>
      <c r="BM90" t="s">
        <v>2053</v>
      </c>
      <c r="BN90" t="s">
        <v>74</v>
      </c>
      <c r="BO90" t="s">
        <v>830</v>
      </c>
      <c r="BP90" t="s">
        <v>74</v>
      </c>
      <c r="BQ90" t="s">
        <v>74</v>
      </c>
      <c r="BR90" t="s">
        <v>105</v>
      </c>
      <c r="BS90" t="s">
        <v>2054</v>
      </c>
      <c r="BT90" t="str">
        <f>HYPERLINK("https%3A%2F%2Fwww.webofscience.com%2Fwos%2Fwoscc%2Ffull-record%2FWOS:000433149400001","View Full Record in Web of Science")</f>
        <v>View Full Record in Web of Science</v>
      </c>
    </row>
    <row r="91" spans="1:72" x14ac:dyDescent="0.15">
      <c r="A91" t="s">
        <v>72</v>
      </c>
      <c r="B91" t="s">
        <v>2055</v>
      </c>
      <c r="C91" t="s">
        <v>74</v>
      </c>
      <c r="D91" t="s">
        <v>74</v>
      </c>
      <c r="E91" t="s">
        <v>74</v>
      </c>
      <c r="F91" t="s">
        <v>2056</v>
      </c>
      <c r="G91" t="s">
        <v>74</v>
      </c>
      <c r="H91" t="s">
        <v>74</v>
      </c>
      <c r="I91" t="s">
        <v>2057</v>
      </c>
      <c r="J91" t="s">
        <v>1576</v>
      </c>
      <c r="K91" t="s">
        <v>74</v>
      </c>
      <c r="L91" t="s">
        <v>74</v>
      </c>
      <c r="M91" t="s">
        <v>78</v>
      </c>
      <c r="N91" t="s">
        <v>79</v>
      </c>
      <c r="O91" t="s">
        <v>74</v>
      </c>
      <c r="P91" t="s">
        <v>74</v>
      </c>
      <c r="Q91" t="s">
        <v>74</v>
      </c>
      <c r="R91" t="s">
        <v>74</v>
      </c>
      <c r="S91" t="s">
        <v>74</v>
      </c>
      <c r="T91" t="s">
        <v>74</v>
      </c>
      <c r="U91" t="s">
        <v>2058</v>
      </c>
      <c r="V91" t="s">
        <v>2059</v>
      </c>
      <c r="W91" t="s">
        <v>2060</v>
      </c>
      <c r="X91" t="s">
        <v>2061</v>
      </c>
      <c r="Y91" t="s">
        <v>2062</v>
      </c>
      <c r="Z91" t="s">
        <v>2063</v>
      </c>
      <c r="AA91" t="s">
        <v>2064</v>
      </c>
      <c r="AB91" t="s">
        <v>2065</v>
      </c>
      <c r="AC91" t="s">
        <v>2066</v>
      </c>
      <c r="AD91" t="s">
        <v>2067</v>
      </c>
      <c r="AE91" t="s">
        <v>2068</v>
      </c>
      <c r="AF91" t="s">
        <v>74</v>
      </c>
      <c r="AG91">
        <v>85</v>
      </c>
      <c r="AH91">
        <v>44</v>
      </c>
      <c r="AI91">
        <v>48</v>
      </c>
      <c r="AJ91">
        <v>1</v>
      </c>
      <c r="AK91">
        <v>23</v>
      </c>
      <c r="AL91" t="s">
        <v>1563</v>
      </c>
      <c r="AM91" t="s">
        <v>1564</v>
      </c>
      <c r="AN91" t="s">
        <v>1565</v>
      </c>
      <c r="AO91" t="s">
        <v>1588</v>
      </c>
      <c r="AP91" t="s">
        <v>1589</v>
      </c>
      <c r="AQ91" t="s">
        <v>74</v>
      </c>
      <c r="AR91" t="s">
        <v>1576</v>
      </c>
      <c r="AS91" t="s">
        <v>1590</v>
      </c>
      <c r="AT91" t="s">
        <v>2069</v>
      </c>
      <c r="AU91">
        <v>2018</v>
      </c>
      <c r="AV91">
        <v>12</v>
      </c>
      <c r="AW91">
        <v>5</v>
      </c>
      <c r="AX91" t="s">
        <v>74</v>
      </c>
      <c r="AY91" t="s">
        <v>74</v>
      </c>
      <c r="AZ91" t="s">
        <v>74</v>
      </c>
      <c r="BA91" t="s">
        <v>74</v>
      </c>
      <c r="BB91">
        <v>1745</v>
      </c>
      <c r="BC91">
        <v>1766</v>
      </c>
      <c r="BD91" t="s">
        <v>74</v>
      </c>
      <c r="BE91" t="s">
        <v>2070</v>
      </c>
      <c r="BF91" t="str">
        <f>HYPERLINK("http://dx.doi.org/10.5194/tc-12-1745-2018","http://dx.doi.org/10.5194/tc-12-1745-2018")</f>
        <v>http://dx.doi.org/10.5194/tc-12-1745-2018</v>
      </c>
      <c r="BG91" t="s">
        <v>74</v>
      </c>
      <c r="BH91" t="s">
        <v>74</v>
      </c>
      <c r="BI91">
        <v>22</v>
      </c>
      <c r="BJ91" t="s">
        <v>338</v>
      </c>
      <c r="BK91" t="s">
        <v>101</v>
      </c>
      <c r="BL91" t="s">
        <v>339</v>
      </c>
      <c r="BM91" t="s">
        <v>2071</v>
      </c>
      <c r="BN91" t="s">
        <v>74</v>
      </c>
      <c r="BO91" t="s">
        <v>830</v>
      </c>
      <c r="BP91" t="s">
        <v>74</v>
      </c>
      <c r="BQ91" t="s">
        <v>74</v>
      </c>
      <c r="BR91" t="s">
        <v>105</v>
      </c>
      <c r="BS91" t="s">
        <v>2072</v>
      </c>
      <c r="BT91" t="str">
        <f>HYPERLINK("https%3A%2F%2Fwww.webofscience.com%2Fwos%2Fwoscc%2Ffull-record%2FWOS:000433005400002","View Full Record in Web of Science")</f>
        <v>View Full Record in Web of Science</v>
      </c>
    </row>
    <row r="92" spans="1:72" x14ac:dyDescent="0.15">
      <c r="A92" t="s">
        <v>72</v>
      </c>
      <c r="B92" t="s">
        <v>2073</v>
      </c>
      <c r="C92" t="s">
        <v>74</v>
      </c>
      <c r="D92" t="s">
        <v>74</v>
      </c>
      <c r="E92" t="s">
        <v>74</v>
      </c>
      <c r="F92" t="s">
        <v>2074</v>
      </c>
      <c r="G92" t="s">
        <v>74</v>
      </c>
      <c r="H92" t="s">
        <v>74</v>
      </c>
      <c r="I92" t="s">
        <v>2075</v>
      </c>
      <c r="J92" t="s">
        <v>1598</v>
      </c>
      <c r="K92" t="s">
        <v>74</v>
      </c>
      <c r="L92" t="s">
        <v>74</v>
      </c>
      <c r="M92" t="s">
        <v>78</v>
      </c>
      <c r="N92" t="s">
        <v>79</v>
      </c>
      <c r="O92" t="s">
        <v>74</v>
      </c>
      <c r="P92" t="s">
        <v>74</v>
      </c>
      <c r="Q92" t="s">
        <v>74</v>
      </c>
      <c r="R92" t="s">
        <v>74</v>
      </c>
      <c r="S92" t="s">
        <v>74</v>
      </c>
      <c r="T92" t="s">
        <v>2076</v>
      </c>
      <c r="U92" t="s">
        <v>2077</v>
      </c>
      <c r="V92" t="s">
        <v>2078</v>
      </c>
      <c r="W92" t="s">
        <v>2079</v>
      </c>
      <c r="X92" t="s">
        <v>2080</v>
      </c>
      <c r="Y92" t="s">
        <v>2081</v>
      </c>
      <c r="Z92" t="s">
        <v>2082</v>
      </c>
      <c r="AA92" t="s">
        <v>2083</v>
      </c>
      <c r="AB92" t="s">
        <v>2084</v>
      </c>
      <c r="AC92" t="s">
        <v>2085</v>
      </c>
      <c r="AD92" t="s">
        <v>2086</v>
      </c>
      <c r="AE92" t="s">
        <v>2087</v>
      </c>
      <c r="AF92" t="s">
        <v>74</v>
      </c>
      <c r="AG92">
        <v>48</v>
      </c>
      <c r="AH92">
        <v>28</v>
      </c>
      <c r="AI92">
        <v>30</v>
      </c>
      <c r="AJ92">
        <v>11</v>
      </c>
      <c r="AK92">
        <v>68</v>
      </c>
      <c r="AL92" t="s">
        <v>123</v>
      </c>
      <c r="AM92" t="s">
        <v>124</v>
      </c>
      <c r="AN92" t="s">
        <v>125</v>
      </c>
      <c r="AO92" t="s">
        <v>1609</v>
      </c>
      <c r="AP92" t="s">
        <v>1610</v>
      </c>
      <c r="AQ92" t="s">
        <v>74</v>
      </c>
      <c r="AR92" t="s">
        <v>1611</v>
      </c>
      <c r="AS92" t="s">
        <v>1612</v>
      </c>
      <c r="AT92" t="s">
        <v>2088</v>
      </c>
      <c r="AU92">
        <v>2018</v>
      </c>
      <c r="AV92">
        <v>50</v>
      </c>
      <c r="AW92">
        <v>1</v>
      </c>
      <c r="AX92" t="s">
        <v>74</v>
      </c>
      <c r="AY92" t="s">
        <v>74</v>
      </c>
      <c r="AZ92" t="s">
        <v>74</v>
      </c>
      <c r="BA92" t="s">
        <v>74</v>
      </c>
      <c r="BB92" t="s">
        <v>74</v>
      </c>
      <c r="BC92" t="s">
        <v>74</v>
      </c>
      <c r="BD92" t="s">
        <v>2089</v>
      </c>
      <c r="BE92" t="s">
        <v>2090</v>
      </c>
      <c r="BF92" t="str">
        <f>HYPERLINK("http://dx.doi.org/10.1080/15230430.2018.1439155","http://dx.doi.org/10.1080/15230430.2018.1439155")</f>
        <v>http://dx.doi.org/10.1080/15230430.2018.1439155</v>
      </c>
      <c r="BG92" t="s">
        <v>74</v>
      </c>
      <c r="BH92" t="s">
        <v>74</v>
      </c>
      <c r="BI92">
        <v>11</v>
      </c>
      <c r="BJ92" t="s">
        <v>1616</v>
      </c>
      <c r="BK92" t="s">
        <v>101</v>
      </c>
      <c r="BL92" t="s">
        <v>1617</v>
      </c>
      <c r="BM92" t="s">
        <v>2091</v>
      </c>
      <c r="BN92" t="s">
        <v>74</v>
      </c>
      <c r="BO92" t="s">
        <v>133</v>
      </c>
      <c r="BP92" t="s">
        <v>74</v>
      </c>
      <c r="BQ92" t="s">
        <v>74</v>
      </c>
      <c r="BR92" t="s">
        <v>105</v>
      </c>
      <c r="BS92" t="s">
        <v>2092</v>
      </c>
      <c r="BT92" t="str">
        <f>HYPERLINK("https%3A%2F%2Fwww.webofscience.com%2Fwos%2Fwoscc%2Ffull-record%2FWOS:000438736900001","View Full Record in Web of Science")</f>
        <v>View Full Record in Web of Science</v>
      </c>
    </row>
    <row r="93" spans="1:72" x14ac:dyDescent="0.15">
      <c r="A93" t="s">
        <v>72</v>
      </c>
      <c r="B93" t="s">
        <v>2093</v>
      </c>
      <c r="C93" t="s">
        <v>74</v>
      </c>
      <c r="D93" t="s">
        <v>74</v>
      </c>
      <c r="E93" t="s">
        <v>74</v>
      </c>
      <c r="F93" t="s">
        <v>2094</v>
      </c>
      <c r="G93" t="s">
        <v>74</v>
      </c>
      <c r="H93" t="s">
        <v>74</v>
      </c>
      <c r="I93" t="s">
        <v>2095</v>
      </c>
      <c r="J93" t="s">
        <v>2096</v>
      </c>
      <c r="K93" t="s">
        <v>74</v>
      </c>
      <c r="L93" t="s">
        <v>74</v>
      </c>
      <c r="M93" t="s">
        <v>78</v>
      </c>
      <c r="N93" t="s">
        <v>79</v>
      </c>
      <c r="O93" t="s">
        <v>74</v>
      </c>
      <c r="P93" t="s">
        <v>74</v>
      </c>
      <c r="Q93" t="s">
        <v>74</v>
      </c>
      <c r="R93" t="s">
        <v>74</v>
      </c>
      <c r="S93" t="s">
        <v>74</v>
      </c>
      <c r="T93" t="s">
        <v>2097</v>
      </c>
      <c r="U93" t="s">
        <v>2098</v>
      </c>
      <c r="V93" t="s">
        <v>2099</v>
      </c>
      <c r="W93" t="s">
        <v>2100</v>
      </c>
      <c r="X93" t="s">
        <v>2101</v>
      </c>
      <c r="Y93" t="s">
        <v>2102</v>
      </c>
      <c r="Z93" t="s">
        <v>2103</v>
      </c>
      <c r="AA93" t="s">
        <v>2104</v>
      </c>
      <c r="AB93" t="s">
        <v>2105</v>
      </c>
      <c r="AC93" t="s">
        <v>2106</v>
      </c>
      <c r="AD93" t="s">
        <v>2107</v>
      </c>
      <c r="AE93" t="s">
        <v>2108</v>
      </c>
      <c r="AF93" t="s">
        <v>74</v>
      </c>
      <c r="AG93">
        <v>67</v>
      </c>
      <c r="AH93">
        <v>10</v>
      </c>
      <c r="AI93">
        <v>10</v>
      </c>
      <c r="AJ93">
        <v>0</v>
      </c>
      <c r="AK93">
        <v>18</v>
      </c>
      <c r="AL93" t="s">
        <v>2109</v>
      </c>
      <c r="AM93" t="s">
        <v>1540</v>
      </c>
      <c r="AN93" t="s">
        <v>2110</v>
      </c>
      <c r="AO93" t="s">
        <v>2111</v>
      </c>
      <c r="AP93" t="s">
        <v>74</v>
      </c>
      <c r="AQ93" t="s">
        <v>74</v>
      </c>
      <c r="AR93" t="s">
        <v>2096</v>
      </c>
      <c r="AS93" t="s">
        <v>2112</v>
      </c>
      <c r="AT93" t="s">
        <v>2088</v>
      </c>
      <c r="AU93">
        <v>2018</v>
      </c>
      <c r="AV93">
        <v>6</v>
      </c>
      <c r="AW93" t="s">
        <v>74</v>
      </c>
      <c r="AX93" t="s">
        <v>74</v>
      </c>
      <c r="AY93" t="s">
        <v>74</v>
      </c>
      <c r="AZ93" t="s">
        <v>74</v>
      </c>
      <c r="BA93" t="s">
        <v>74</v>
      </c>
      <c r="BB93" t="s">
        <v>74</v>
      </c>
      <c r="BC93" t="s">
        <v>74</v>
      </c>
      <c r="BD93" t="s">
        <v>2113</v>
      </c>
      <c r="BE93" t="s">
        <v>2114</v>
      </c>
      <c r="BF93" t="str">
        <f>HYPERLINK("http://dx.doi.org/10.7717/peerj.4723","http://dx.doi.org/10.7717/peerj.4723")</f>
        <v>http://dx.doi.org/10.7717/peerj.4723</v>
      </c>
      <c r="BG93" t="s">
        <v>74</v>
      </c>
      <c r="BH93" t="s">
        <v>74</v>
      </c>
      <c r="BI93">
        <v>23</v>
      </c>
      <c r="BJ93" t="s">
        <v>1670</v>
      </c>
      <c r="BK93" t="s">
        <v>101</v>
      </c>
      <c r="BL93" t="s">
        <v>1671</v>
      </c>
      <c r="BM93" t="s">
        <v>2115</v>
      </c>
      <c r="BN93">
        <v>29844954</v>
      </c>
      <c r="BO93" t="s">
        <v>764</v>
      </c>
      <c r="BP93" t="s">
        <v>74</v>
      </c>
      <c r="BQ93" t="s">
        <v>74</v>
      </c>
      <c r="BR93" t="s">
        <v>105</v>
      </c>
      <c r="BS93" t="s">
        <v>2116</v>
      </c>
      <c r="BT93" t="str">
        <f>HYPERLINK("https%3A%2F%2Fwww.webofscience.com%2Fwos%2Fwoscc%2Ffull-record%2FWOS:000434230700001","View Full Record in Web of Science")</f>
        <v>View Full Record in Web of Science</v>
      </c>
    </row>
    <row r="94" spans="1:72" x14ac:dyDescent="0.15">
      <c r="A94" t="s">
        <v>72</v>
      </c>
      <c r="B94" t="s">
        <v>2117</v>
      </c>
      <c r="C94" t="s">
        <v>74</v>
      </c>
      <c r="D94" t="s">
        <v>74</v>
      </c>
      <c r="E94" t="s">
        <v>74</v>
      </c>
      <c r="F94" t="s">
        <v>2118</v>
      </c>
      <c r="G94" t="s">
        <v>74</v>
      </c>
      <c r="H94" t="s">
        <v>74</v>
      </c>
      <c r="I94" t="s">
        <v>2119</v>
      </c>
      <c r="J94" t="s">
        <v>1623</v>
      </c>
      <c r="K94" t="s">
        <v>74</v>
      </c>
      <c r="L94" t="s">
        <v>74</v>
      </c>
      <c r="M94" t="s">
        <v>78</v>
      </c>
      <c r="N94" t="s">
        <v>79</v>
      </c>
      <c r="O94" t="s">
        <v>74</v>
      </c>
      <c r="P94" t="s">
        <v>74</v>
      </c>
      <c r="Q94" t="s">
        <v>74</v>
      </c>
      <c r="R94" t="s">
        <v>74</v>
      </c>
      <c r="S94" t="s">
        <v>74</v>
      </c>
      <c r="T94" t="s">
        <v>2120</v>
      </c>
      <c r="U94" t="s">
        <v>2121</v>
      </c>
      <c r="V94" t="s">
        <v>2122</v>
      </c>
      <c r="W94" t="s">
        <v>2123</v>
      </c>
      <c r="X94" t="s">
        <v>2124</v>
      </c>
      <c r="Y94" t="s">
        <v>2125</v>
      </c>
      <c r="Z94" t="s">
        <v>2126</v>
      </c>
      <c r="AA94" t="s">
        <v>2127</v>
      </c>
      <c r="AB94" t="s">
        <v>2128</v>
      </c>
      <c r="AC94" t="s">
        <v>2129</v>
      </c>
      <c r="AD94" t="s">
        <v>2130</v>
      </c>
      <c r="AE94" t="s">
        <v>2131</v>
      </c>
      <c r="AF94" t="s">
        <v>74</v>
      </c>
      <c r="AG94">
        <v>50</v>
      </c>
      <c r="AH94">
        <v>3</v>
      </c>
      <c r="AI94">
        <v>3</v>
      </c>
      <c r="AJ94">
        <v>1</v>
      </c>
      <c r="AK94">
        <v>23</v>
      </c>
      <c r="AL94" t="s">
        <v>123</v>
      </c>
      <c r="AM94" t="s">
        <v>124</v>
      </c>
      <c r="AN94" t="s">
        <v>125</v>
      </c>
      <c r="AO94" t="s">
        <v>1639</v>
      </c>
      <c r="AP94" t="s">
        <v>1640</v>
      </c>
      <c r="AQ94" t="s">
        <v>74</v>
      </c>
      <c r="AR94" t="s">
        <v>2132</v>
      </c>
      <c r="AS94" t="s">
        <v>1642</v>
      </c>
      <c r="AT94" t="s">
        <v>2088</v>
      </c>
      <c r="AU94">
        <v>2018</v>
      </c>
      <c r="AV94">
        <v>37</v>
      </c>
      <c r="AW94">
        <v>1</v>
      </c>
      <c r="AX94" t="s">
        <v>74</v>
      </c>
      <c r="AY94" t="s">
        <v>74</v>
      </c>
      <c r="AZ94" t="s">
        <v>74</v>
      </c>
      <c r="BA94" t="s">
        <v>74</v>
      </c>
      <c r="BB94" t="s">
        <v>74</v>
      </c>
      <c r="BC94" t="s">
        <v>74</v>
      </c>
      <c r="BD94">
        <v>1468195</v>
      </c>
      <c r="BE94" t="s">
        <v>2133</v>
      </c>
      <c r="BF94" t="str">
        <f>HYPERLINK("http://dx.doi.org/10.1080/17518369.2018.1468195","http://dx.doi.org/10.1080/17518369.2018.1468195")</f>
        <v>http://dx.doi.org/10.1080/17518369.2018.1468195</v>
      </c>
      <c r="BG94" t="s">
        <v>74</v>
      </c>
      <c r="BH94" t="s">
        <v>74</v>
      </c>
      <c r="BI94">
        <v>10</v>
      </c>
      <c r="BJ94" t="s">
        <v>1644</v>
      </c>
      <c r="BK94" t="s">
        <v>484</v>
      </c>
      <c r="BL94" t="s">
        <v>1645</v>
      </c>
      <c r="BM94" t="s">
        <v>2134</v>
      </c>
      <c r="BN94" t="s">
        <v>74</v>
      </c>
      <c r="BO94" t="s">
        <v>1593</v>
      </c>
      <c r="BP94" t="s">
        <v>74</v>
      </c>
      <c r="BQ94" t="s">
        <v>74</v>
      </c>
      <c r="BR94" t="s">
        <v>105</v>
      </c>
      <c r="BS94" t="s">
        <v>2135</v>
      </c>
      <c r="BT94" t="str">
        <f>HYPERLINK("https%3A%2F%2Fwww.webofscience.com%2Fwos%2Fwoscc%2Ffull-record%2FWOS:000432906400001","View Full Record in Web of Science")</f>
        <v>View Full Record in Web of Science</v>
      </c>
    </row>
    <row r="95" spans="1:72" x14ac:dyDescent="0.15">
      <c r="A95" t="s">
        <v>72</v>
      </c>
      <c r="B95" t="s">
        <v>2136</v>
      </c>
      <c r="C95" t="s">
        <v>74</v>
      </c>
      <c r="D95" t="s">
        <v>74</v>
      </c>
      <c r="E95" t="s">
        <v>74</v>
      </c>
      <c r="F95" t="s">
        <v>2137</v>
      </c>
      <c r="G95" t="s">
        <v>74</v>
      </c>
      <c r="H95" t="s">
        <v>74</v>
      </c>
      <c r="I95" t="s">
        <v>2138</v>
      </c>
      <c r="J95" t="s">
        <v>2139</v>
      </c>
      <c r="K95" t="s">
        <v>74</v>
      </c>
      <c r="L95" t="s">
        <v>74</v>
      </c>
      <c r="M95" t="s">
        <v>78</v>
      </c>
      <c r="N95" t="s">
        <v>466</v>
      </c>
      <c r="O95" t="s">
        <v>74</v>
      </c>
      <c r="P95" t="s">
        <v>74</v>
      </c>
      <c r="Q95" t="s">
        <v>74</v>
      </c>
      <c r="R95" t="s">
        <v>74</v>
      </c>
      <c r="S95" t="s">
        <v>74</v>
      </c>
      <c r="T95" t="s">
        <v>2140</v>
      </c>
      <c r="U95" t="s">
        <v>2141</v>
      </c>
      <c r="V95" t="s">
        <v>2142</v>
      </c>
      <c r="W95" t="s">
        <v>2143</v>
      </c>
      <c r="X95" t="s">
        <v>2144</v>
      </c>
      <c r="Y95" t="s">
        <v>2145</v>
      </c>
      <c r="Z95" t="s">
        <v>2146</v>
      </c>
      <c r="AA95" t="s">
        <v>2147</v>
      </c>
      <c r="AB95" t="s">
        <v>2148</v>
      </c>
      <c r="AC95" t="s">
        <v>2149</v>
      </c>
      <c r="AD95" t="s">
        <v>2150</v>
      </c>
      <c r="AE95" t="s">
        <v>2151</v>
      </c>
      <c r="AF95" t="s">
        <v>74</v>
      </c>
      <c r="AG95">
        <v>95</v>
      </c>
      <c r="AH95">
        <v>80</v>
      </c>
      <c r="AI95">
        <v>87</v>
      </c>
      <c r="AJ95">
        <v>12</v>
      </c>
      <c r="AK95">
        <v>70</v>
      </c>
      <c r="AL95" t="s">
        <v>2152</v>
      </c>
      <c r="AM95" t="s">
        <v>2153</v>
      </c>
      <c r="AN95" t="s">
        <v>2154</v>
      </c>
      <c r="AO95" t="s">
        <v>74</v>
      </c>
      <c r="AP95" t="s">
        <v>2155</v>
      </c>
      <c r="AQ95" t="s">
        <v>74</v>
      </c>
      <c r="AR95" t="s">
        <v>2156</v>
      </c>
      <c r="AS95" t="s">
        <v>2157</v>
      </c>
      <c r="AT95" t="s">
        <v>2088</v>
      </c>
      <c r="AU95">
        <v>2018</v>
      </c>
      <c r="AV95">
        <v>5</v>
      </c>
      <c r="AW95" t="s">
        <v>74</v>
      </c>
      <c r="AX95" t="s">
        <v>74</v>
      </c>
      <c r="AY95" t="s">
        <v>74</v>
      </c>
      <c r="AZ95" t="s">
        <v>74</v>
      </c>
      <c r="BA95" t="s">
        <v>74</v>
      </c>
      <c r="BB95" t="s">
        <v>74</v>
      </c>
      <c r="BC95" t="s">
        <v>74</v>
      </c>
      <c r="BD95">
        <v>173</v>
      </c>
      <c r="BE95" t="s">
        <v>2158</v>
      </c>
      <c r="BF95" t="str">
        <f>HYPERLINK("http://dx.doi.org/10.3389/fmars.2018.00173","http://dx.doi.org/10.3389/fmars.2018.00173")</f>
        <v>http://dx.doi.org/10.3389/fmars.2018.00173</v>
      </c>
      <c r="BG95" t="s">
        <v>74</v>
      </c>
      <c r="BH95" t="s">
        <v>74</v>
      </c>
      <c r="BI95">
        <v>10</v>
      </c>
      <c r="BJ95" t="s">
        <v>2159</v>
      </c>
      <c r="BK95" t="s">
        <v>101</v>
      </c>
      <c r="BL95" t="s">
        <v>1268</v>
      </c>
      <c r="BM95" t="s">
        <v>2160</v>
      </c>
      <c r="BN95" t="s">
        <v>74</v>
      </c>
      <c r="BO95" t="s">
        <v>2161</v>
      </c>
      <c r="BP95" t="s">
        <v>74</v>
      </c>
      <c r="BQ95" t="s">
        <v>74</v>
      </c>
      <c r="BR95" t="s">
        <v>105</v>
      </c>
      <c r="BS95" t="s">
        <v>2162</v>
      </c>
      <c r="BT95" t="str">
        <f>HYPERLINK("https%3A%2F%2Fwww.webofscience.com%2Fwos%2Fwoscc%2Ffull-record%2FWOS:000457150400001","View Full Record in Web of Science")</f>
        <v>View Full Record in Web of Science</v>
      </c>
    </row>
    <row r="96" spans="1:72" x14ac:dyDescent="0.15">
      <c r="A96" t="s">
        <v>72</v>
      </c>
      <c r="B96" t="s">
        <v>2163</v>
      </c>
      <c r="C96" t="s">
        <v>74</v>
      </c>
      <c r="D96" t="s">
        <v>74</v>
      </c>
      <c r="E96" t="s">
        <v>74</v>
      </c>
      <c r="F96" t="s">
        <v>2164</v>
      </c>
      <c r="G96" t="s">
        <v>74</v>
      </c>
      <c r="H96" t="s">
        <v>74</v>
      </c>
      <c r="I96" t="s">
        <v>2165</v>
      </c>
      <c r="J96" t="s">
        <v>1598</v>
      </c>
      <c r="K96" t="s">
        <v>74</v>
      </c>
      <c r="L96" t="s">
        <v>74</v>
      </c>
      <c r="M96" t="s">
        <v>78</v>
      </c>
      <c r="N96" t="s">
        <v>79</v>
      </c>
      <c r="O96" t="s">
        <v>74</v>
      </c>
      <c r="P96" t="s">
        <v>74</v>
      </c>
      <c r="Q96" t="s">
        <v>74</v>
      </c>
      <c r="R96" t="s">
        <v>74</v>
      </c>
      <c r="S96" t="s">
        <v>74</v>
      </c>
      <c r="T96" t="s">
        <v>2166</v>
      </c>
      <c r="U96" t="s">
        <v>2167</v>
      </c>
      <c r="V96" t="s">
        <v>2168</v>
      </c>
      <c r="W96" t="s">
        <v>2169</v>
      </c>
      <c r="X96" t="s">
        <v>2170</v>
      </c>
      <c r="Y96" t="s">
        <v>2171</v>
      </c>
      <c r="Z96" t="s">
        <v>2172</v>
      </c>
      <c r="AA96" t="s">
        <v>2173</v>
      </c>
      <c r="AB96" t="s">
        <v>2174</v>
      </c>
      <c r="AC96" t="s">
        <v>2175</v>
      </c>
      <c r="AD96" t="s">
        <v>2176</v>
      </c>
      <c r="AE96" t="s">
        <v>2177</v>
      </c>
      <c r="AF96" t="s">
        <v>74</v>
      </c>
      <c r="AG96">
        <v>49</v>
      </c>
      <c r="AH96">
        <v>5</v>
      </c>
      <c r="AI96">
        <v>5</v>
      </c>
      <c r="AJ96">
        <v>1</v>
      </c>
      <c r="AK96">
        <v>18</v>
      </c>
      <c r="AL96" t="s">
        <v>123</v>
      </c>
      <c r="AM96" t="s">
        <v>124</v>
      </c>
      <c r="AN96" t="s">
        <v>125</v>
      </c>
      <c r="AO96" t="s">
        <v>1609</v>
      </c>
      <c r="AP96" t="s">
        <v>1610</v>
      </c>
      <c r="AQ96" t="s">
        <v>74</v>
      </c>
      <c r="AR96" t="s">
        <v>1611</v>
      </c>
      <c r="AS96" t="s">
        <v>1612</v>
      </c>
      <c r="AT96" t="s">
        <v>2178</v>
      </c>
      <c r="AU96">
        <v>2018</v>
      </c>
      <c r="AV96">
        <v>50</v>
      </c>
      <c r="AW96">
        <v>1</v>
      </c>
      <c r="AX96" t="s">
        <v>74</v>
      </c>
      <c r="AY96" t="s">
        <v>74</v>
      </c>
      <c r="AZ96" t="s">
        <v>74</v>
      </c>
      <c r="BA96" t="s">
        <v>74</v>
      </c>
      <c r="BB96" t="s">
        <v>74</v>
      </c>
      <c r="BC96" t="s">
        <v>74</v>
      </c>
      <c r="BD96" t="s">
        <v>2179</v>
      </c>
      <c r="BE96" t="s">
        <v>2180</v>
      </c>
      <c r="BF96" t="str">
        <f>HYPERLINK("http://dx.doi.org/10.1080/15230430.2018.1438347","http://dx.doi.org/10.1080/15230430.2018.1438347")</f>
        <v>http://dx.doi.org/10.1080/15230430.2018.1438347</v>
      </c>
      <c r="BG96" t="s">
        <v>74</v>
      </c>
      <c r="BH96" t="s">
        <v>74</v>
      </c>
      <c r="BI96">
        <v>13</v>
      </c>
      <c r="BJ96" t="s">
        <v>1616</v>
      </c>
      <c r="BK96" t="s">
        <v>101</v>
      </c>
      <c r="BL96" t="s">
        <v>1617</v>
      </c>
      <c r="BM96" t="s">
        <v>2181</v>
      </c>
      <c r="BN96" t="s">
        <v>74</v>
      </c>
      <c r="BO96" t="s">
        <v>764</v>
      </c>
      <c r="BP96" t="s">
        <v>74</v>
      </c>
      <c r="BQ96" t="s">
        <v>74</v>
      </c>
      <c r="BR96" t="s">
        <v>105</v>
      </c>
      <c r="BS96" t="s">
        <v>2182</v>
      </c>
      <c r="BT96" t="str">
        <f>HYPERLINK("https%3A%2F%2Fwww.webofscience.com%2Fwos%2Fwoscc%2Ffull-record%2FWOS:000438730900001","View Full Record in Web of Science")</f>
        <v>View Full Record in Web of Science</v>
      </c>
    </row>
    <row r="97" spans="1:72" x14ac:dyDescent="0.15">
      <c r="A97" t="s">
        <v>72</v>
      </c>
      <c r="B97" t="s">
        <v>2183</v>
      </c>
      <c r="C97" t="s">
        <v>74</v>
      </c>
      <c r="D97" t="s">
        <v>74</v>
      </c>
      <c r="E97" t="s">
        <v>74</v>
      </c>
      <c r="F97" t="s">
        <v>2184</v>
      </c>
      <c r="G97" t="s">
        <v>74</v>
      </c>
      <c r="H97" t="s">
        <v>74</v>
      </c>
      <c r="I97" t="s">
        <v>2185</v>
      </c>
      <c r="J97" t="s">
        <v>1598</v>
      </c>
      <c r="K97" t="s">
        <v>74</v>
      </c>
      <c r="L97" t="s">
        <v>74</v>
      </c>
      <c r="M97" t="s">
        <v>78</v>
      </c>
      <c r="N97" t="s">
        <v>79</v>
      </c>
      <c r="O97" t="s">
        <v>74</v>
      </c>
      <c r="P97" t="s">
        <v>74</v>
      </c>
      <c r="Q97" t="s">
        <v>74</v>
      </c>
      <c r="R97" t="s">
        <v>74</v>
      </c>
      <c r="S97" t="s">
        <v>74</v>
      </c>
      <c r="T97" t="s">
        <v>2186</v>
      </c>
      <c r="U97" t="s">
        <v>2187</v>
      </c>
      <c r="V97" t="s">
        <v>2188</v>
      </c>
      <c r="W97" t="s">
        <v>2189</v>
      </c>
      <c r="X97" t="s">
        <v>2190</v>
      </c>
      <c r="Y97" t="s">
        <v>2191</v>
      </c>
      <c r="Z97" t="s">
        <v>2192</v>
      </c>
      <c r="AA97" t="s">
        <v>2193</v>
      </c>
      <c r="AB97" t="s">
        <v>2194</v>
      </c>
      <c r="AC97" t="s">
        <v>74</v>
      </c>
      <c r="AD97" t="s">
        <v>74</v>
      </c>
      <c r="AE97" t="s">
        <v>74</v>
      </c>
      <c r="AF97" t="s">
        <v>74</v>
      </c>
      <c r="AG97">
        <v>62</v>
      </c>
      <c r="AH97">
        <v>7</v>
      </c>
      <c r="AI97">
        <v>7</v>
      </c>
      <c r="AJ97">
        <v>3</v>
      </c>
      <c r="AK97">
        <v>15</v>
      </c>
      <c r="AL97" t="s">
        <v>123</v>
      </c>
      <c r="AM97" t="s">
        <v>124</v>
      </c>
      <c r="AN97" t="s">
        <v>125</v>
      </c>
      <c r="AO97" t="s">
        <v>1609</v>
      </c>
      <c r="AP97" t="s">
        <v>1610</v>
      </c>
      <c r="AQ97" t="s">
        <v>74</v>
      </c>
      <c r="AR97" t="s">
        <v>1611</v>
      </c>
      <c r="AS97" t="s">
        <v>1612</v>
      </c>
      <c r="AT97" t="s">
        <v>2195</v>
      </c>
      <c r="AU97">
        <v>2018</v>
      </c>
      <c r="AV97">
        <v>50</v>
      </c>
      <c r="AW97">
        <v>1</v>
      </c>
      <c r="AX97" t="s">
        <v>74</v>
      </c>
      <c r="AY97" t="s">
        <v>74</v>
      </c>
      <c r="AZ97" t="s">
        <v>74</v>
      </c>
      <c r="BA97" t="s">
        <v>74</v>
      </c>
      <c r="BB97" t="s">
        <v>74</v>
      </c>
      <c r="BC97" t="s">
        <v>74</v>
      </c>
      <c r="BD97" t="s">
        <v>2196</v>
      </c>
      <c r="BE97" t="s">
        <v>2197</v>
      </c>
      <c r="BF97" t="str">
        <f>HYPERLINK("http://dx.doi.org/10.1080/15230430.2017.1420246","http://dx.doi.org/10.1080/15230430.2017.1420246")</f>
        <v>http://dx.doi.org/10.1080/15230430.2017.1420246</v>
      </c>
      <c r="BG97" t="s">
        <v>74</v>
      </c>
      <c r="BH97" t="s">
        <v>74</v>
      </c>
      <c r="BI97">
        <v>12</v>
      </c>
      <c r="BJ97" t="s">
        <v>1616</v>
      </c>
      <c r="BK97" t="s">
        <v>101</v>
      </c>
      <c r="BL97" t="s">
        <v>1617</v>
      </c>
      <c r="BM97" t="s">
        <v>2198</v>
      </c>
      <c r="BN97" t="s">
        <v>74</v>
      </c>
      <c r="BO97" t="s">
        <v>133</v>
      </c>
      <c r="BP97" t="s">
        <v>74</v>
      </c>
      <c r="BQ97" t="s">
        <v>74</v>
      </c>
      <c r="BR97" t="s">
        <v>105</v>
      </c>
      <c r="BS97" t="s">
        <v>2199</v>
      </c>
      <c r="BT97" t="str">
        <f>HYPERLINK("https%3A%2F%2Fwww.webofscience.com%2Fwos%2Fwoscc%2Ffull-record%2FWOS:000438727800001","View Full Record in Web of Science")</f>
        <v>View Full Record in Web of Science</v>
      </c>
    </row>
    <row r="98" spans="1:72" x14ac:dyDescent="0.15">
      <c r="A98" t="s">
        <v>72</v>
      </c>
      <c r="B98" t="s">
        <v>2200</v>
      </c>
      <c r="C98" t="s">
        <v>74</v>
      </c>
      <c r="D98" t="s">
        <v>74</v>
      </c>
      <c r="E98" t="s">
        <v>74</v>
      </c>
      <c r="F98" t="s">
        <v>2201</v>
      </c>
      <c r="G98" t="s">
        <v>74</v>
      </c>
      <c r="H98" t="s">
        <v>74</v>
      </c>
      <c r="I98" t="s">
        <v>2202</v>
      </c>
      <c r="J98" t="s">
        <v>1598</v>
      </c>
      <c r="K98" t="s">
        <v>74</v>
      </c>
      <c r="L98" t="s">
        <v>74</v>
      </c>
      <c r="M98" t="s">
        <v>78</v>
      </c>
      <c r="N98" t="s">
        <v>79</v>
      </c>
      <c r="O98" t="s">
        <v>74</v>
      </c>
      <c r="P98" t="s">
        <v>74</v>
      </c>
      <c r="Q98" t="s">
        <v>74</v>
      </c>
      <c r="R98" t="s">
        <v>74</v>
      </c>
      <c r="S98" t="s">
        <v>74</v>
      </c>
      <c r="T98" t="s">
        <v>2203</v>
      </c>
      <c r="U98" t="s">
        <v>2204</v>
      </c>
      <c r="V98" t="s">
        <v>2205</v>
      </c>
      <c r="W98" t="s">
        <v>2206</v>
      </c>
      <c r="X98" t="s">
        <v>2207</v>
      </c>
      <c r="Y98" t="s">
        <v>2208</v>
      </c>
      <c r="Z98" t="s">
        <v>2209</v>
      </c>
      <c r="AA98" t="s">
        <v>2210</v>
      </c>
      <c r="AB98" t="s">
        <v>2211</v>
      </c>
      <c r="AC98" t="s">
        <v>74</v>
      </c>
      <c r="AD98" t="s">
        <v>74</v>
      </c>
      <c r="AE98" t="s">
        <v>74</v>
      </c>
      <c r="AF98" t="s">
        <v>74</v>
      </c>
      <c r="AG98">
        <v>63</v>
      </c>
      <c r="AH98">
        <v>22</v>
      </c>
      <c r="AI98">
        <v>23</v>
      </c>
      <c r="AJ98">
        <v>1</v>
      </c>
      <c r="AK98">
        <v>28</v>
      </c>
      <c r="AL98" t="s">
        <v>123</v>
      </c>
      <c r="AM98" t="s">
        <v>124</v>
      </c>
      <c r="AN98" t="s">
        <v>125</v>
      </c>
      <c r="AO98" t="s">
        <v>1609</v>
      </c>
      <c r="AP98" t="s">
        <v>1610</v>
      </c>
      <c r="AQ98" t="s">
        <v>74</v>
      </c>
      <c r="AR98" t="s">
        <v>1611</v>
      </c>
      <c r="AS98" t="s">
        <v>1612</v>
      </c>
      <c r="AT98" t="s">
        <v>2195</v>
      </c>
      <c r="AU98">
        <v>2018</v>
      </c>
      <c r="AV98">
        <v>50</v>
      </c>
      <c r="AW98">
        <v>1</v>
      </c>
      <c r="AX98" t="s">
        <v>74</v>
      </c>
      <c r="AY98" t="s">
        <v>74</v>
      </c>
      <c r="AZ98" t="s">
        <v>74</v>
      </c>
      <c r="BA98" t="s">
        <v>74</v>
      </c>
      <c r="BB98" t="s">
        <v>74</v>
      </c>
      <c r="BC98" t="s">
        <v>74</v>
      </c>
      <c r="BD98" t="s">
        <v>2212</v>
      </c>
      <c r="BE98" t="s">
        <v>2213</v>
      </c>
      <c r="BF98" t="str">
        <f>HYPERLINK("http://dx.doi.org/10.1080/15230430.2018.1438345","http://dx.doi.org/10.1080/15230430.2018.1438345")</f>
        <v>http://dx.doi.org/10.1080/15230430.2018.1438345</v>
      </c>
      <c r="BG98" t="s">
        <v>74</v>
      </c>
      <c r="BH98" t="s">
        <v>74</v>
      </c>
      <c r="BI98">
        <v>10</v>
      </c>
      <c r="BJ98" t="s">
        <v>1616</v>
      </c>
      <c r="BK98" t="s">
        <v>484</v>
      </c>
      <c r="BL98" t="s">
        <v>1617</v>
      </c>
      <c r="BM98" t="s">
        <v>2214</v>
      </c>
      <c r="BN98" t="s">
        <v>74</v>
      </c>
      <c r="BO98" t="s">
        <v>133</v>
      </c>
      <c r="BP98" t="s">
        <v>74</v>
      </c>
      <c r="BQ98" t="s">
        <v>74</v>
      </c>
      <c r="BR98" t="s">
        <v>105</v>
      </c>
      <c r="BS98" t="s">
        <v>2215</v>
      </c>
      <c r="BT98" t="str">
        <f>HYPERLINK("https%3A%2F%2Fwww.webofscience.com%2Fwos%2Fwoscc%2Ffull-record%2FWOS:000438730600001","View Full Record in Web of Science")</f>
        <v>View Full Record in Web of Science</v>
      </c>
    </row>
    <row r="99" spans="1:72" x14ac:dyDescent="0.15">
      <c r="A99" t="s">
        <v>72</v>
      </c>
      <c r="B99" t="s">
        <v>2216</v>
      </c>
      <c r="C99" t="s">
        <v>74</v>
      </c>
      <c r="D99" t="s">
        <v>74</v>
      </c>
      <c r="E99" t="s">
        <v>74</v>
      </c>
      <c r="F99" t="s">
        <v>2217</v>
      </c>
      <c r="G99" t="s">
        <v>74</v>
      </c>
      <c r="H99" t="s">
        <v>74</v>
      </c>
      <c r="I99" t="s">
        <v>2218</v>
      </c>
      <c r="J99" t="s">
        <v>1598</v>
      </c>
      <c r="K99" t="s">
        <v>74</v>
      </c>
      <c r="L99" t="s">
        <v>74</v>
      </c>
      <c r="M99" t="s">
        <v>78</v>
      </c>
      <c r="N99" t="s">
        <v>79</v>
      </c>
      <c r="O99" t="s">
        <v>74</v>
      </c>
      <c r="P99" t="s">
        <v>74</v>
      </c>
      <c r="Q99" t="s">
        <v>74</v>
      </c>
      <c r="R99" t="s">
        <v>74</v>
      </c>
      <c r="S99" t="s">
        <v>74</v>
      </c>
      <c r="T99" t="s">
        <v>2219</v>
      </c>
      <c r="U99" t="s">
        <v>2220</v>
      </c>
      <c r="V99" t="s">
        <v>2221</v>
      </c>
      <c r="W99" t="s">
        <v>2222</v>
      </c>
      <c r="X99" t="s">
        <v>2223</v>
      </c>
      <c r="Y99" t="s">
        <v>2224</v>
      </c>
      <c r="Z99" t="s">
        <v>2225</v>
      </c>
      <c r="AA99" t="s">
        <v>2226</v>
      </c>
      <c r="AB99" t="s">
        <v>74</v>
      </c>
      <c r="AC99" t="s">
        <v>2227</v>
      </c>
      <c r="AD99" t="s">
        <v>2228</v>
      </c>
      <c r="AE99" t="s">
        <v>2229</v>
      </c>
      <c r="AF99" t="s">
        <v>74</v>
      </c>
      <c r="AG99">
        <v>41</v>
      </c>
      <c r="AH99">
        <v>9</v>
      </c>
      <c r="AI99">
        <v>10</v>
      </c>
      <c r="AJ99">
        <v>0</v>
      </c>
      <c r="AK99">
        <v>15</v>
      </c>
      <c r="AL99" t="s">
        <v>123</v>
      </c>
      <c r="AM99" t="s">
        <v>124</v>
      </c>
      <c r="AN99" t="s">
        <v>125</v>
      </c>
      <c r="AO99" t="s">
        <v>1609</v>
      </c>
      <c r="AP99" t="s">
        <v>1610</v>
      </c>
      <c r="AQ99" t="s">
        <v>74</v>
      </c>
      <c r="AR99" t="s">
        <v>1611</v>
      </c>
      <c r="AS99" t="s">
        <v>1612</v>
      </c>
      <c r="AT99" t="s">
        <v>2195</v>
      </c>
      <c r="AU99">
        <v>2018</v>
      </c>
      <c r="AV99">
        <v>50</v>
      </c>
      <c r="AW99">
        <v>1</v>
      </c>
      <c r="AX99" t="s">
        <v>74</v>
      </c>
      <c r="AY99" t="s">
        <v>74</v>
      </c>
      <c r="AZ99" t="s">
        <v>74</v>
      </c>
      <c r="BA99" t="s">
        <v>74</v>
      </c>
      <c r="BB99" t="s">
        <v>74</v>
      </c>
      <c r="BC99" t="s">
        <v>74</v>
      </c>
      <c r="BD99" t="s">
        <v>2230</v>
      </c>
      <c r="BE99" t="s">
        <v>2231</v>
      </c>
      <c r="BF99" t="str">
        <f>HYPERLINK("http://dx.doi.org/10.1080/15230430.2018.1435931","http://dx.doi.org/10.1080/15230430.2018.1435931")</f>
        <v>http://dx.doi.org/10.1080/15230430.2018.1435931</v>
      </c>
      <c r="BG99" t="s">
        <v>74</v>
      </c>
      <c r="BH99" t="s">
        <v>74</v>
      </c>
      <c r="BI99">
        <v>14</v>
      </c>
      <c r="BJ99" t="s">
        <v>1616</v>
      </c>
      <c r="BK99" t="s">
        <v>101</v>
      </c>
      <c r="BL99" t="s">
        <v>1617</v>
      </c>
      <c r="BM99" t="s">
        <v>2232</v>
      </c>
      <c r="BN99" t="s">
        <v>74</v>
      </c>
      <c r="BO99" t="s">
        <v>2233</v>
      </c>
      <c r="BP99" t="s">
        <v>74</v>
      </c>
      <c r="BQ99" t="s">
        <v>74</v>
      </c>
      <c r="BR99" t="s">
        <v>105</v>
      </c>
      <c r="BS99" t="s">
        <v>2234</v>
      </c>
      <c r="BT99" t="str">
        <f>HYPERLINK("https%3A%2F%2Fwww.webofscience.com%2Fwos%2Fwoscc%2Ffull-record%2FWOS:000438729500001","View Full Record in Web of Science")</f>
        <v>View Full Record in Web of Science</v>
      </c>
    </row>
    <row r="100" spans="1:72" x14ac:dyDescent="0.15">
      <c r="A100" t="s">
        <v>72</v>
      </c>
      <c r="B100" t="s">
        <v>2235</v>
      </c>
      <c r="C100" t="s">
        <v>74</v>
      </c>
      <c r="D100" t="s">
        <v>74</v>
      </c>
      <c r="E100" t="s">
        <v>74</v>
      </c>
      <c r="F100" t="s">
        <v>2236</v>
      </c>
      <c r="G100" t="s">
        <v>74</v>
      </c>
      <c r="H100" t="s">
        <v>74</v>
      </c>
      <c r="I100" t="s">
        <v>2237</v>
      </c>
      <c r="J100" t="s">
        <v>2238</v>
      </c>
      <c r="K100" t="s">
        <v>74</v>
      </c>
      <c r="L100" t="s">
        <v>74</v>
      </c>
      <c r="M100" t="s">
        <v>78</v>
      </c>
      <c r="N100" t="s">
        <v>79</v>
      </c>
      <c r="O100" t="s">
        <v>74</v>
      </c>
      <c r="P100" t="s">
        <v>74</v>
      </c>
      <c r="Q100" t="s">
        <v>74</v>
      </c>
      <c r="R100" t="s">
        <v>74</v>
      </c>
      <c r="S100" t="s">
        <v>74</v>
      </c>
      <c r="T100" t="s">
        <v>2239</v>
      </c>
      <c r="U100" t="s">
        <v>2240</v>
      </c>
      <c r="V100" t="s">
        <v>2241</v>
      </c>
      <c r="W100" t="s">
        <v>2242</v>
      </c>
      <c r="X100" t="s">
        <v>2243</v>
      </c>
      <c r="Y100" t="s">
        <v>2244</v>
      </c>
      <c r="Z100" t="s">
        <v>2245</v>
      </c>
      <c r="AA100" t="s">
        <v>2246</v>
      </c>
      <c r="AB100" t="s">
        <v>2247</v>
      </c>
      <c r="AC100" t="s">
        <v>2248</v>
      </c>
      <c r="AD100" t="s">
        <v>2249</v>
      </c>
      <c r="AE100" t="s">
        <v>2250</v>
      </c>
      <c r="AF100" t="s">
        <v>74</v>
      </c>
      <c r="AG100">
        <v>34</v>
      </c>
      <c r="AH100">
        <v>15</v>
      </c>
      <c r="AI100">
        <v>16</v>
      </c>
      <c r="AJ100">
        <v>0</v>
      </c>
      <c r="AK100">
        <v>9</v>
      </c>
      <c r="AL100" t="s">
        <v>397</v>
      </c>
      <c r="AM100" t="s">
        <v>398</v>
      </c>
      <c r="AN100" t="s">
        <v>399</v>
      </c>
      <c r="AO100" t="s">
        <v>2251</v>
      </c>
      <c r="AP100" t="s">
        <v>74</v>
      </c>
      <c r="AQ100" t="s">
        <v>74</v>
      </c>
      <c r="AR100" t="s">
        <v>2252</v>
      </c>
      <c r="AS100" t="s">
        <v>2253</v>
      </c>
      <c r="AT100" t="s">
        <v>2195</v>
      </c>
      <c r="AU100">
        <v>2018</v>
      </c>
      <c r="AV100">
        <v>70</v>
      </c>
      <c r="AW100" t="s">
        <v>74</v>
      </c>
      <c r="AX100" t="s">
        <v>74</v>
      </c>
      <c r="AY100" t="s">
        <v>74</v>
      </c>
      <c r="AZ100" t="s">
        <v>74</v>
      </c>
      <c r="BA100" t="s">
        <v>74</v>
      </c>
      <c r="BB100" t="s">
        <v>74</v>
      </c>
      <c r="BC100" t="s">
        <v>74</v>
      </c>
      <c r="BD100">
        <v>84</v>
      </c>
      <c r="BE100" t="s">
        <v>2254</v>
      </c>
      <c r="BF100" t="str">
        <f>HYPERLINK("http://dx.doi.org/10.1186/s40623-018-0861-1","http://dx.doi.org/10.1186/s40623-018-0861-1")</f>
        <v>http://dx.doi.org/10.1186/s40623-018-0861-1</v>
      </c>
      <c r="BG100" t="s">
        <v>74</v>
      </c>
      <c r="BH100" t="s">
        <v>74</v>
      </c>
      <c r="BI100">
        <v>16</v>
      </c>
      <c r="BJ100" t="s">
        <v>1243</v>
      </c>
      <c r="BK100" t="s">
        <v>101</v>
      </c>
      <c r="BL100" t="s">
        <v>1181</v>
      </c>
      <c r="BM100" t="s">
        <v>2255</v>
      </c>
      <c r="BN100" t="s">
        <v>74</v>
      </c>
      <c r="BO100" t="s">
        <v>764</v>
      </c>
      <c r="BP100" t="s">
        <v>74</v>
      </c>
      <c r="BQ100" t="s">
        <v>74</v>
      </c>
      <c r="BR100" t="s">
        <v>105</v>
      </c>
      <c r="BS100" t="s">
        <v>2256</v>
      </c>
      <c r="BT100" t="str">
        <f>HYPERLINK("https%3A%2F%2Fwww.webofscience.com%2Fwos%2Fwoscc%2Ffull-record%2FWOS:000432856800001","View Full Record in Web of Science")</f>
        <v>View Full Record in Web of Science</v>
      </c>
    </row>
    <row r="101" spans="1:72" x14ac:dyDescent="0.15">
      <c r="A101" t="s">
        <v>72</v>
      </c>
      <c r="B101" t="s">
        <v>2257</v>
      </c>
      <c r="C101" t="s">
        <v>74</v>
      </c>
      <c r="D101" t="s">
        <v>74</v>
      </c>
      <c r="E101" t="s">
        <v>74</v>
      </c>
      <c r="F101" t="s">
        <v>2258</v>
      </c>
      <c r="G101" t="s">
        <v>74</v>
      </c>
      <c r="H101" t="s">
        <v>74</v>
      </c>
      <c r="I101" t="s">
        <v>2259</v>
      </c>
      <c r="J101" t="s">
        <v>1576</v>
      </c>
      <c r="K101" t="s">
        <v>74</v>
      </c>
      <c r="L101" t="s">
        <v>74</v>
      </c>
      <c r="M101" t="s">
        <v>78</v>
      </c>
      <c r="N101" t="s">
        <v>79</v>
      </c>
      <c r="O101" t="s">
        <v>74</v>
      </c>
      <c r="P101" t="s">
        <v>74</v>
      </c>
      <c r="Q101" t="s">
        <v>74</v>
      </c>
      <c r="R101" t="s">
        <v>74</v>
      </c>
      <c r="S101" t="s">
        <v>74</v>
      </c>
      <c r="T101" t="s">
        <v>74</v>
      </c>
      <c r="U101" t="s">
        <v>2260</v>
      </c>
      <c r="V101" t="s">
        <v>2261</v>
      </c>
      <c r="W101" t="s">
        <v>2262</v>
      </c>
      <c r="X101" t="s">
        <v>2263</v>
      </c>
      <c r="Y101" t="s">
        <v>2264</v>
      </c>
      <c r="Z101" t="s">
        <v>2265</v>
      </c>
      <c r="AA101" t="s">
        <v>2266</v>
      </c>
      <c r="AB101" t="s">
        <v>2267</v>
      </c>
      <c r="AC101" t="s">
        <v>2268</v>
      </c>
      <c r="AD101" t="s">
        <v>2269</v>
      </c>
      <c r="AE101" t="s">
        <v>2270</v>
      </c>
      <c r="AF101" t="s">
        <v>74</v>
      </c>
      <c r="AG101">
        <v>76</v>
      </c>
      <c r="AH101">
        <v>9</v>
      </c>
      <c r="AI101">
        <v>10</v>
      </c>
      <c r="AJ101">
        <v>0</v>
      </c>
      <c r="AK101">
        <v>13</v>
      </c>
      <c r="AL101" t="s">
        <v>1563</v>
      </c>
      <c r="AM101" t="s">
        <v>1564</v>
      </c>
      <c r="AN101" t="s">
        <v>1565</v>
      </c>
      <c r="AO101" t="s">
        <v>1588</v>
      </c>
      <c r="AP101" t="s">
        <v>1589</v>
      </c>
      <c r="AQ101" t="s">
        <v>74</v>
      </c>
      <c r="AR101" t="s">
        <v>1576</v>
      </c>
      <c r="AS101" t="s">
        <v>1590</v>
      </c>
      <c r="AT101" t="s">
        <v>2271</v>
      </c>
      <c r="AU101">
        <v>2018</v>
      </c>
      <c r="AV101">
        <v>12</v>
      </c>
      <c r="AW101">
        <v>5</v>
      </c>
      <c r="AX101" t="s">
        <v>74</v>
      </c>
      <c r="AY101" t="s">
        <v>74</v>
      </c>
      <c r="AZ101" t="s">
        <v>74</v>
      </c>
      <c r="BA101" t="s">
        <v>74</v>
      </c>
      <c r="BB101">
        <v>1681</v>
      </c>
      <c r="BC101">
        <v>1697</v>
      </c>
      <c r="BD101" t="s">
        <v>74</v>
      </c>
      <c r="BE101" t="s">
        <v>2272</v>
      </c>
      <c r="BF101" t="str">
        <f>HYPERLINK("http://dx.doi.org/10.5194/tc-12-1681-2018","http://dx.doi.org/10.5194/tc-12-1681-2018")</f>
        <v>http://dx.doi.org/10.5194/tc-12-1681-2018</v>
      </c>
      <c r="BG101" t="s">
        <v>74</v>
      </c>
      <c r="BH101" t="s">
        <v>74</v>
      </c>
      <c r="BI101">
        <v>17</v>
      </c>
      <c r="BJ101" t="s">
        <v>338</v>
      </c>
      <c r="BK101" t="s">
        <v>101</v>
      </c>
      <c r="BL101" t="s">
        <v>339</v>
      </c>
      <c r="BM101" t="s">
        <v>2273</v>
      </c>
      <c r="BN101" t="s">
        <v>74</v>
      </c>
      <c r="BO101" t="s">
        <v>2274</v>
      </c>
      <c r="BP101" t="s">
        <v>74</v>
      </c>
      <c r="BQ101" t="s">
        <v>74</v>
      </c>
      <c r="BR101" t="s">
        <v>105</v>
      </c>
      <c r="BS101" t="s">
        <v>2275</v>
      </c>
      <c r="BT101" t="str">
        <f>HYPERLINK("https%3A%2F%2Fwww.webofscience.com%2Fwos%2Fwoscc%2Ffull-record%2FWOS:000432476600002","View Full Record in Web of Science")</f>
        <v>View Full Record in Web of Science</v>
      </c>
    </row>
    <row r="102" spans="1:72" x14ac:dyDescent="0.15">
      <c r="A102" t="s">
        <v>72</v>
      </c>
      <c r="B102" t="s">
        <v>2276</v>
      </c>
      <c r="C102" t="s">
        <v>74</v>
      </c>
      <c r="D102" t="s">
        <v>74</v>
      </c>
      <c r="E102" t="s">
        <v>74</v>
      </c>
      <c r="F102" t="s">
        <v>2277</v>
      </c>
      <c r="G102" t="s">
        <v>74</v>
      </c>
      <c r="H102" t="s">
        <v>74</v>
      </c>
      <c r="I102" t="s">
        <v>2278</v>
      </c>
      <c r="J102" t="s">
        <v>2096</v>
      </c>
      <c r="K102" t="s">
        <v>74</v>
      </c>
      <c r="L102" t="s">
        <v>74</v>
      </c>
      <c r="M102" t="s">
        <v>78</v>
      </c>
      <c r="N102" t="s">
        <v>79</v>
      </c>
      <c r="O102" t="s">
        <v>74</v>
      </c>
      <c r="P102" t="s">
        <v>74</v>
      </c>
      <c r="Q102" t="s">
        <v>74</v>
      </c>
      <c r="R102" t="s">
        <v>74</v>
      </c>
      <c r="S102" t="s">
        <v>74</v>
      </c>
      <c r="T102" t="s">
        <v>2279</v>
      </c>
      <c r="U102" t="s">
        <v>2280</v>
      </c>
      <c r="V102" t="s">
        <v>2281</v>
      </c>
      <c r="W102" t="s">
        <v>2282</v>
      </c>
      <c r="X102" t="s">
        <v>2283</v>
      </c>
      <c r="Y102" t="s">
        <v>2284</v>
      </c>
      <c r="Z102" t="s">
        <v>2285</v>
      </c>
      <c r="AA102" t="s">
        <v>2286</v>
      </c>
      <c r="AB102" t="s">
        <v>2287</v>
      </c>
      <c r="AC102" t="s">
        <v>2288</v>
      </c>
      <c r="AD102" t="s">
        <v>2288</v>
      </c>
      <c r="AE102" t="s">
        <v>2289</v>
      </c>
      <c r="AF102" t="s">
        <v>74</v>
      </c>
      <c r="AG102">
        <v>60</v>
      </c>
      <c r="AH102">
        <v>28</v>
      </c>
      <c r="AI102">
        <v>31</v>
      </c>
      <c r="AJ102">
        <v>1</v>
      </c>
      <c r="AK102">
        <v>21</v>
      </c>
      <c r="AL102" t="s">
        <v>2109</v>
      </c>
      <c r="AM102" t="s">
        <v>1540</v>
      </c>
      <c r="AN102" t="s">
        <v>2110</v>
      </c>
      <c r="AO102" t="s">
        <v>2111</v>
      </c>
      <c r="AP102" t="s">
        <v>74</v>
      </c>
      <c r="AQ102" t="s">
        <v>74</v>
      </c>
      <c r="AR102" t="s">
        <v>2096</v>
      </c>
      <c r="AS102" t="s">
        <v>2112</v>
      </c>
      <c r="AT102" t="s">
        <v>2271</v>
      </c>
      <c r="AU102">
        <v>2018</v>
      </c>
      <c r="AV102">
        <v>6</v>
      </c>
      <c r="AW102" t="s">
        <v>74</v>
      </c>
      <c r="AX102" t="s">
        <v>74</v>
      </c>
      <c r="AY102" t="s">
        <v>74</v>
      </c>
      <c r="AZ102" t="s">
        <v>74</v>
      </c>
      <c r="BA102" t="s">
        <v>74</v>
      </c>
      <c r="BB102" t="s">
        <v>74</v>
      </c>
      <c r="BC102" t="s">
        <v>74</v>
      </c>
      <c r="BD102" t="s">
        <v>2290</v>
      </c>
      <c r="BE102" t="s">
        <v>2291</v>
      </c>
      <c r="BF102" t="str">
        <f>HYPERLINK("http://dx.doi.org/10.7717/peerj.4765","http://dx.doi.org/10.7717/peerj.4765")</f>
        <v>http://dx.doi.org/10.7717/peerj.4765</v>
      </c>
      <c r="BG102" t="s">
        <v>74</v>
      </c>
      <c r="BH102" t="s">
        <v>74</v>
      </c>
      <c r="BI102">
        <v>25</v>
      </c>
      <c r="BJ102" t="s">
        <v>1670</v>
      </c>
      <c r="BK102" t="s">
        <v>101</v>
      </c>
      <c r="BL102" t="s">
        <v>1671</v>
      </c>
      <c r="BM102" t="s">
        <v>2292</v>
      </c>
      <c r="BN102">
        <v>29796342</v>
      </c>
      <c r="BO102" t="s">
        <v>2293</v>
      </c>
      <c r="BP102" t="s">
        <v>74</v>
      </c>
      <c r="BQ102" t="s">
        <v>74</v>
      </c>
      <c r="BR102" t="s">
        <v>105</v>
      </c>
      <c r="BS102" t="s">
        <v>2294</v>
      </c>
      <c r="BT102" t="str">
        <f>HYPERLINK("https%3A%2F%2Fwww.webofscience.com%2Fwos%2Fwoscc%2Ffull-record%2FWOS:000432631600002","View Full Record in Web of Science")</f>
        <v>View Full Record in Web of Science</v>
      </c>
    </row>
    <row r="103" spans="1:72" x14ac:dyDescent="0.15">
      <c r="A103" t="s">
        <v>72</v>
      </c>
      <c r="B103" t="s">
        <v>2295</v>
      </c>
      <c r="C103" t="s">
        <v>74</v>
      </c>
      <c r="D103" t="s">
        <v>74</v>
      </c>
      <c r="E103" t="s">
        <v>74</v>
      </c>
      <c r="F103" t="s">
        <v>2296</v>
      </c>
      <c r="G103" t="s">
        <v>74</v>
      </c>
      <c r="H103" t="s">
        <v>74</v>
      </c>
      <c r="I103" t="s">
        <v>2297</v>
      </c>
      <c r="J103" t="s">
        <v>2298</v>
      </c>
      <c r="K103" t="s">
        <v>74</v>
      </c>
      <c r="L103" t="s">
        <v>74</v>
      </c>
      <c r="M103" t="s">
        <v>78</v>
      </c>
      <c r="N103" t="s">
        <v>79</v>
      </c>
      <c r="O103" t="s">
        <v>74</v>
      </c>
      <c r="P103" t="s">
        <v>74</v>
      </c>
      <c r="Q103" t="s">
        <v>74</v>
      </c>
      <c r="R103" t="s">
        <v>74</v>
      </c>
      <c r="S103" t="s">
        <v>74</v>
      </c>
      <c r="T103" t="s">
        <v>74</v>
      </c>
      <c r="U103" t="s">
        <v>2299</v>
      </c>
      <c r="V103" t="s">
        <v>2300</v>
      </c>
      <c r="W103" t="s">
        <v>2301</v>
      </c>
      <c r="X103" t="s">
        <v>2302</v>
      </c>
      <c r="Y103" t="s">
        <v>2303</v>
      </c>
      <c r="Z103" t="s">
        <v>2304</v>
      </c>
      <c r="AA103" t="s">
        <v>2305</v>
      </c>
      <c r="AB103" t="s">
        <v>2306</v>
      </c>
      <c r="AC103" t="s">
        <v>2307</v>
      </c>
      <c r="AD103" t="s">
        <v>2308</v>
      </c>
      <c r="AE103" t="s">
        <v>2309</v>
      </c>
      <c r="AF103" t="s">
        <v>74</v>
      </c>
      <c r="AG103">
        <v>44</v>
      </c>
      <c r="AH103">
        <v>4</v>
      </c>
      <c r="AI103">
        <v>4</v>
      </c>
      <c r="AJ103">
        <v>0</v>
      </c>
      <c r="AK103">
        <v>3</v>
      </c>
      <c r="AL103" t="s">
        <v>2310</v>
      </c>
      <c r="AM103" t="s">
        <v>2311</v>
      </c>
      <c r="AN103" t="s">
        <v>2312</v>
      </c>
      <c r="AO103" t="s">
        <v>2313</v>
      </c>
      <c r="AP103" t="s">
        <v>74</v>
      </c>
      <c r="AQ103" t="s">
        <v>74</v>
      </c>
      <c r="AR103" t="s">
        <v>2298</v>
      </c>
      <c r="AS103" t="s">
        <v>2314</v>
      </c>
      <c r="AT103" t="s">
        <v>2271</v>
      </c>
      <c r="AU103">
        <v>2018</v>
      </c>
      <c r="AV103">
        <v>13</v>
      </c>
      <c r="AW103">
        <v>5</v>
      </c>
      <c r="AX103" t="s">
        <v>74</v>
      </c>
      <c r="AY103" t="s">
        <v>74</v>
      </c>
      <c r="AZ103" t="s">
        <v>74</v>
      </c>
      <c r="BA103" t="s">
        <v>74</v>
      </c>
      <c r="BB103" t="s">
        <v>74</v>
      </c>
      <c r="BC103" t="s">
        <v>74</v>
      </c>
      <c r="BD103" t="s">
        <v>2315</v>
      </c>
      <c r="BE103" t="s">
        <v>2316</v>
      </c>
      <c r="BF103" t="str">
        <f>HYPERLINK("http://dx.doi.org/10.1371/journal.pone.0197476","http://dx.doi.org/10.1371/journal.pone.0197476")</f>
        <v>http://dx.doi.org/10.1371/journal.pone.0197476</v>
      </c>
      <c r="BG103" t="s">
        <v>74</v>
      </c>
      <c r="BH103" t="s">
        <v>74</v>
      </c>
      <c r="BI103">
        <v>24</v>
      </c>
      <c r="BJ103" t="s">
        <v>1670</v>
      </c>
      <c r="BK103" t="s">
        <v>101</v>
      </c>
      <c r="BL103" t="s">
        <v>1671</v>
      </c>
      <c r="BM103" t="s">
        <v>2317</v>
      </c>
      <c r="BN103">
        <v>29775464</v>
      </c>
      <c r="BO103" t="s">
        <v>2233</v>
      </c>
      <c r="BP103" t="s">
        <v>74</v>
      </c>
      <c r="BQ103" t="s">
        <v>74</v>
      </c>
      <c r="BR103" t="s">
        <v>105</v>
      </c>
      <c r="BS103" t="s">
        <v>2318</v>
      </c>
      <c r="BT103" t="str">
        <f>HYPERLINK("https%3A%2F%2Fwww.webofscience.com%2Fwos%2Fwoscc%2Ffull-record%2FWOS:000432521100016","View Full Record in Web of Science")</f>
        <v>View Full Record in Web of Science</v>
      </c>
    </row>
    <row r="104" spans="1:72" x14ac:dyDescent="0.15">
      <c r="A104" t="s">
        <v>72</v>
      </c>
      <c r="B104" t="s">
        <v>2319</v>
      </c>
      <c r="C104" t="s">
        <v>74</v>
      </c>
      <c r="D104" t="s">
        <v>74</v>
      </c>
      <c r="E104" t="s">
        <v>74</v>
      </c>
      <c r="F104" t="s">
        <v>2320</v>
      </c>
      <c r="G104" t="s">
        <v>74</v>
      </c>
      <c r="H104" t="s">
        <v>74</v>
      </c>
      <c r="I104" t="s">
        <v>2321</v>
      </c>
      <c r="J104" t="s">
        <v>2322</v>
      </c>
      <c r="K104" t="s">
        <v>74</v>
      </c>
      <c r="L104" t="s">
        <v>74</v>
      </c>
      <c r="M104" t="s">
        <v>78</v>
      </c>
      <c r="N104" t="s">
        <v>79</v>
      </c>
      <c r="O104" t="s">
        <v>74</v>
      </c>
      <c r="P104" t="s">
        <v>74</v>
      </c>
      <c r="Q104" t="s">
        <v>74</v>
      </c>
      <c r="R104" t="s">
        <v>74</v>
      </c>
      <c r="S104" t="s">
        <v>74</v>
      </c>
      <c r="T104" t="s">
        <v>74</v>
      </c>
      <c r="U104" t="s">
        <v>2323</v>
      </c>
      <c r="V104" t="s">
        <v>2324</v>
      </c>
      <c r="W104" t="s">
        <v>2325</v>
      </c>
      <c r="X104" t="s">
        <v>2326</v>
      </c>
      <c r="Y104" t="s">
        <v>2327</v>
      </c>
      <c r="Z104" t="s">
        <v>2328</v>
      </c>
      <c r="AA104" t="s">
        <v>2329</v>
      </c>
      <c r="AB104" t="s">
        <v>2330</v>
      </c>
      <c r="AC104" t="s">
        <v>2331</v>
      </c>
      <c r="AD104" t="s">
        <v>2332</v>
      </c>
      <c r="AE104" t="s">
        <v>2333</v>
      </c>
      <c r="AF104" t="s">
        <v>74</v>
      </c>
      <c r="AG104">
        <v>110</v>
      </c>
      <c r="AH104">
        <v>10</v>
      </c>
      <c r="AI104">
        <v>10</v>
      </c>
      <c r="AJ104">
        <v>2</v>
      </c>
      <c r="AK104">
        <v>28</v>
      </c>
      <c r="AL104" t="s">
        <v>1563</v>
      </c>
      <c r="AM104" t="s">
        <v>1564</v>
      </c>
      <c r="AN104" t="s">
        <v>1565</v>
      </c>
      <c r="AO104" t="s">
        <v>2334</v>
      </c>
      <c r="AP104" t="s">
        <v>2335</v>
      </c>
      <c r="AQ104" t="s">
        <v>74</v>
      </c>
      <c r="AR104" t="s">
        <v>2322</v>
      </c>
      <c r="AS104" t="s">
        <v>2336</v>
      </c>
      <c r="AT104" t="s">
        <v>2271</v>
      </c>
      <c r="AU104">
        <v>2018</v>
      </c>
      <c r="AV104">
        <v>15</v>
      </c>
      <c r="AW104">
        <v>9</v>
      </c>
      <c r="AX104" t="s">
        <v>74</v>
      </c>
      <c r="AY104" t="s">
        <v>74</v>
      </c>
      <c r="AZ104" t="s">
        <v>74</v>
      </c>
      <c r="BA104" t="s">
        <v>74</v>
      </c>
      <c r="BB104">
        <v>3071</v>
      </c>
      <c r="BC104">
        <v>3084</v>
      </c>
      <c r="BD104" t="s">
        <v>74</v>
      </c>
      <c r="BE104" t="s">
        <v>2337</v>
      </c>
      <c r="BF104" t="str">
        <f>HYPERLINK("http://dx.doi.org/10.5194/bg-15-3071-2018","http://dx.doi.org/10.5194/bg-15-3071-2018")</f>
        <v>http://dx.doi.org/10.5194/bg-15-3071-2018</v>
      </c>
      <c r="BG104" t="s">
        <v>74</v>
      </c>
      <c r="BH104" t="s">
        <v>74</v>
      </c>
      <c r="BI104">
        <v>14</v>
      </c>
      <c r="BJ104" t="s">
        <v>803</v>
      </c>
      <c r="BK104" t="s">
        <v>101</v>
      </c>
      <c r="BL104" t="s">
        <v>804</v>
      </c>
      <c r="BM104" t="s">
        <v>2338</v>
      </c>
      <c r="BN104" t="s">
        <v>74</v>
      </c>
      <c r="BO104" t="s">
        <v>2339</v>
      </c>
      <c r="BP104" t="s">
        <v>74</v>
      </c>
      <c r="BQ104" t="s">
        <v>74</v>
      </c>
      <c r="BR104" t="s">
        <v>105</v>
      </c>
      <c r="BS104" t="s">
        <v>2340</v>
      </c>
      <c r="BT104" t="str">
        <f>HYPERLINK("https%3A%2F%2Fwww.webofscience.com%2Fwos%2Fwoscc%2Ffull-record%2FWOS:000432490500001","View Full Record in Web of Science")</f>
        <v>View Full Record in Web of Science</v>
      </c>
    </row>
    <row r="105" spans="1:72" x14ac:dyDescent="0.15">
      <c r="A105" t="s">
        <v>72</v>
      </c>
      <c r="B105" t="s">
        <v>2341</v>
      </c>
      <c r="C105" t="s">
        <v>74</v>
      </c>
      <c r="D105" t="s">
        <v>74</v>
      </c>
      <c r="E105" t="s">
        <v>74</v>
      </c>
      <c r="F105" t="s">
        <v>2342</v>
      </c>
      <c r="G105" t="s">
        <v>74</v>
      </c>
      <c r="H105" t="s">
        <v>74</v>
      </c>
      <c r="I105" t="s">
        <v>2343</v>
      </c>
      <c r="J105" t="s">
        <v>2298</v>
      </c>
      <c r="K105" t="s">
        <v>74</v>
      </c>
      <c r="L105" t="s">
        <v>74</v>
      </c>
      <c r="M105" t="s">
        <v>78</v>
      </c>
      <c r="N105" t="s">
        <v>79</v>
      </c>
      <c r="O105" t="s">
        <v>74</v>
      </c>
      <c r="P105" t="s">
        <v>74</v>
      </c>
      <c r="Q105" t="s">
        <v>74</v>
      </c>
      <c r="R105" t="s">
        <v>74</v>
      </c>
      <c r="S105" t="s">
        <v>74</v>
      </c>
      <c r="T105" t="s">
        <v>74</v>
      </c>
      <c r="U105" t="s">
        <v>2344</v>
      </c>
      <c r="V105" t="s">
        <v>2345</v>
      </c>
      <c r="W105" t="s">
        <v>2346</v>
      </c>
      <c r="X105" t="s">
        <v>2347</v>
      </c>
      <c r="Y105" t="s">
        <v>2348</v>
      </c>
      <c r="Z105" t="s">
        <v>2349</v>
      </c>
      <c r="AA105" t="s">
        <v>2350</v>
      </c>
      <c r="AB105" t="s">
        <v>2351</v>
      </c>
      <c r="AC105" t="s">
        <v>2352</v>
      </c>
      <c r="AD105" t="s">
        <v>2353</v>
      </c>
      <c r="AE105" t="s">
        <v>2354</v>
      </c>
      <c r="AF105" t="s">
        <v>74</v>
      </c>
      <c r="AG105">
        <v>125</v>
      </c>
      <c r="AH105">
        <v>21</v>
      </c>
      <c r="AI105">
        <v>23</v>
      </c>
      <c r="AJ105">
        <v>3</v>
      </c>
      <c r="AK105">
        <v>20</v>
      </c>
      <c r="AL105" t="s">
        <v>2310</v>
      </c>
      <c r="AM105" t="s">
        <v>2311</v>
      </c>
      <c r="AN105" t="s">
        <v>2312</v>
      </c>
      <c r="AO105" t="s">
        <v>2313</v>
      </c>
      <c r="AP105" t="s">
        <v>74</v>
      </c>
      <c r="AQ105" t="s">
        <v>74</v>
      </c>
      <c r="AR105" t="s">
        <v>2298</v>
      </c>
      <c r="AS105" t="s">
        <v>2314</v>
      </c>
      <c r="AT105" t="s">
        <v>2271</v>
      </c>
      <c r="AU105">
        <v>2018</v>
      </c>
      <c r="AV105">
        <v>13</v>
      </c>
      <c r="AW105">
        <v>5</v>
      </c>
      <c r="AX105" t="s">
        <v>74</v>
      </c>
      <c r="AY105" t="s">
        <v>74</v>
      </c>
      <c r="AZ105" t="s">
        <v>74</v>
      </c>
      <c r="BA105" t="s">
        <v>74</v>
      </c>
      <c r="BB105" t="s">
        <v>74</v>
      </c>
      <c r="BC105" t="s">
        <v>74</v>
      </c>
      <c r="BD105" t="s">
        <v>2355</v>
      </c>
      <c r="BE105" t="s">
        <v>2356</v>
      </c>
      <c r="BF105" t="str">
        <f>HYPERLINK("http://dx.doi.org/10.1371/journal.pone.0194368","http://dx.doi.org/10.1371/journal.pone.0194368")</f>
        <v>http://dx.doi.org/10.1371/journal.pone.0194368</v>
      </c>
      <c r="BG105" t="s">
        <v>74</v>
      </c>
      <c r="BH105" t="s">
        <v>74</v>
      </c>
      <c r="BI105">
        <v>25</v>
      </c>
      <c r="BJ105" t="s">
        <v>1670</v>
      </c>
      <c r="BK105" t="s">
        <v>101</v>
      </c>
      <c r="BL105" t="s">
        <v>1671</v>
      </c>
      <c r="BM105" t="s">
        <v>2317</v>
      </c>
      <c r="BN105">
        <v>29775460</v>
      </c>
      <c r="BO105" t="s">
        <v>2293</v>
      </c>
      <c r="BP105" t="s">
        <v>74</v>
      </c>
      <c r="BQ105" t="s">
        <v>74</v>
      </c>
      <c r="BR105" t="s">
        <v>105</v>
      </c>
      <c r="BS105" t="s">
        <v>2357</v>
      </c>
      <c r="BT105" t="str">
        <f>HYPERLINK("https%3A%2F%2Fwww.webofscience.com%2Fwos%2Fwoscc%2Ffull-record%2FWOS:000432521100003","View Full Record in Web of Science")</f>
        <v>View Full Record in Web of Science</v>
      </c>
    </row>
    <row r="106" spans="1:72" x14ac:dyDescent="0.15">
      <c r="A106" t="s">
        <v>72</v>
      </c>
      <c r="B106" t="s">
        <v>2358</v>
      </c>
      <c r="C106" t="s">
        <v>74</v>
      </c>
      <c r="D106" t="s">
        <v>74</v>
      </c>
      <c r="E106" t="s">
        <v>74</v>
      </c>
      <c r="F106" t="s">
        <v>2359</v>
      </c>
      <c r="G106" t="s">
        <v>74</v>
      </c>
      <c r="H106" t="s">
        <v>74</v>
      </c>
      <c r="I106" t="s">
        <v>2360</v>
      </c>
      <c r="J106" t="s">
        <v>1651</v>
      </c>
      <c r="K106" t="s">
        <v>74</v>
      </c>
      <c r="L106" t="s">
        <v>74</v>
      </c>
      <c r="M106" t="s">
        <v>78</v>
      </c>
      <c r="N106" t="s">
        <v>79</v>
      </c>
      <c r="O106" t="s">
        <v>74</v>
      </c>
      <c r="P106" t="s">
        <v>74</v>
      </c>
      <c r="Q106" t="s">
        <v>74</v>
      </c>
      <c r="R106" t="s">
        <v>74</v>
      </c>
      <c r="S106" t="s">
        <v>74</v>
      </c>
      <c r="T106" t="s">
        <v>74</v>
      </c>
      <c r="U106" t="s">
        <v>2361</v>
      </c>
      <c r="V106" t="s">
        <v>2362</v>
      </c>
      <c r="W106" t="s">
        <v>2363</v>
      </c>
      <c r="X106" t="s">
        <v>2364</v>
      </c>
      <c r="Y106" t="s">
        <v>2365</v>
      </c>
      <c r="Z106" t="s">
        <v>2366</v>
      </c>
      <c r="AA106" t="s">
        <v>2367</v>
      </c>
      <c r="AB106" t="s">
        <v>2368</v>
      </c>
      <c r="AC106" t="s">
        <v>2369</v>
      </c>
      <c r="AD106" t="s">
        <v>2370</v>
      </c>
      <c r="AE106" t="s">
        <v>2371</v>
      </c>
      <c r="AF106" t="s">
        <v>74</v>
      </c>
      <c r="AG106">
        <v>61</v>
      </c>
      <c r="AH106">
        <v>22</v>
      </c>
      <c r="AI106">
        <v>26</v>
      </c>
      <c r="AJ106">
        <v>3</v>
      </c>
      <c r="AK106">
        <v>20</v>
      </c>
      <c r="AL106" t="s">
        <v>1663</v>
      </c>
      <c r="AM106" t="s">
        <v>1664</v>
      </c>
      <c r="AN106" t="s">
        <v>1665</v>
      </c>
      <c r="AO106" t="s">
        <v>1666</v>
      </c>
      <c r="AP106" t="s">
        <v>74</v>
      </c>
      <c r="AQ106" t="s">
        <v>74</v>
      </c>
      <c r="AR106" t="s">
        <v>1667</v>
      </c>
      <c r="AS106" t="s">
        <v>1668</v>
      </c>
      <c r="AT106" t="s">
        <v>2271</v>
      </c>
      <c r="AU106">
        <v>2018</v>
      </c>
      <c r="AV106">
        <v>8</v>
      </c>
      <c r="AW106" t="s">
        <v>74</v>
      </c>
      <c r="AX106" t="s">
        <v>74</v>
      </c>
      <c r="AY106" t="s">
        <v>74</v>
      </c>
      <c r="AZ106" t="s">
        <v>74</v>
      </c>
      <c r="BA106" t="s">
        <v>74</v>
      </c>
      <c r="BB106" t="s">
        <v>74</v>
      </c>
      <c r="BC106" t="s">
        <v>74</v>
      </c>
      <c r="BD106">
        <v>7866</v>
      </c>
      <c r="BE106" t="s">
        <v>2372</v>
      </c>
      <c r="BF106" t="str">
        <f>HYPERLINK("http://dx.doi.org/10.1038/s41598-018-25877-9","http://dx.doi.org/10.1038/s41598-018-25877-9")</f>
        <v>http://dx.doi.org/10.1038/s41598-018-25877-9</v>
      </c>
      <c r="BG106" t="s">
        <v>74</v>
      </c>
      <c r="BH106" t="s">
        <v>74</v>
      </c>
      <c r="BI106">
        <v>10</v>
      </c>
      <c r="BJ106" t="s">
        <v>1670</v>
      </c>
      <c r="BK106" t="s">
        <v>101</v>
      </c>
      <c r="BL106" t="s">
        <v>1671</v>
      </c>
      <c r="BM106" t="s">
        <v>2373</v>
      </c>
      <c r="BN106">
        <v>29777126</v>
      </c>
      <c r="BO106" t="s">
        <v>781</v>
      </c>
      <c r="BP106" t="s">
        <v>74</v>
      </c>
      <c r="BQ106" t="s">
        <v>74</v>
      </c>
      <c r="BR106" t="s">
        <v>105</v>
      </c>
      <c r="BS106" t="s">
        <v>2374</v>
      </c>
      <c r="BT106" t="str">
        <f>HYPERLINK("https%3A%2F%2Fwww.webofscience.com%2Fwos%2Fwoscc%2Ffull-record%2FWOS:000432441400054","View Full Record in Web of Science")</f>
        <v>View Full Record in Web of Science</v>
      </c>
    </row>
    <row r="107" spans="1:72" x14ac:dyDescent="0.15">
      <c r="A107" t="s">
        <v>72</v>
      </c>
      <c r="B107" t="s">
        <v>2375</v>
      </c>
      <c r="C107" t="s">
        <v>74</v>
      </c>
      <c r="D107" t="s">
        <v>74</v>
      </c>
      <c r="E107" t="s">
        <v>74</v>
      </c>
      <c r="F107" t="s">
        <v>2376</v>
      </c>
      <c r="G107" t="s">
        <v>74</v>
      </c>
      <c r="H107" t="s">
        <v>74</v>
      </c>
      <c r="I107" t="s">
        <v>2377</v>
      </c>
      <c r="J107" t="s">
        <v>2322</v>
      </c>
      <c r="K107" t="s">
        <v>74</v>
      </c>
      <c r="L107" t="s">
        <v>74</v>
      </c>
      <c r="M107" t="s">
        <v>78</v>
      </c>
      <c r="N107" t="s">
        <v>79</v>
      </c>
      <c r="O107" t="s">
        <v>74</v>
      </c>
      <c r="P107" t="s">
        <v>74</v>
      </c>
      <c r="Q107" t="s">
        <v>74</v>
      </c>
      <c r="R107" t="s">
        <v>74</v>
      </c>
      <c r="S107" t="s">
        <v>74</v>
      </c>
      <c r="T107" t="s">
        <v>74</v>
      </c>
      <c r="U107" t="s">
        <v>2378</v>
      </c>
      <c r="V107" t="s">
        <v>2379</v>
      </c>
      <c r="W107" t="s">
        <v>2380</v>
      </c>
      <c r="X107" t="s">
        <v>2381</v>
      </c>
      <c r="Y107" t="s">
        <v>2382</v>
      </c>
      <c r="Z107" t="s">
        <v>2383</v>
      </c>
      <c r="AA107" t="s">
        <v>2384</v>
      </c>
      <c r="AB107" t="s">
        <v>2385</v>
      </c>
      <c r="AC107" t="s">
        <v>2386</v>
      </c>
      <c r="AD107" t="s">
        <v>2387</v>
      </c>
      <c r="AE107" t="s">
        <v>2388</v>
      </c>
      <c r="AF107" t="s">
        <v>74</v>
      </c>
      <c r="AG107">
        <v>103</v>
      </c>
      <c r="AH107">
        <v>22</v>
      </c>
      <c r="AI107">
        <v>24</v>
      </c>
      <c r="AJ107">
        <v>0</v>
      </c>
      <c r="AK107">
        <v>35</v>
      </c>
      <c r="AL107" t="s">
        <v>1563</v>
      </c>
      <c r="AM107" t="s">
        <v>1564</v>
      </c>
      <c r="AN107" t="s">
        <v>1565</v>
      </c>
      <c r="AO107" t="s">
        <v>2334</v>
      </c>
      <c r="AP107" t="s">
        <v>2335</v>
      </c>
      <c r="AQ107" t="s">
        <v>74</v>
      </c>
      <c r="AR107" t="s">
        <v>2322</v>
      </c>
      <c r="AS107" t="s">
        <v>2336</v>
      </c>
      <c r="AT107" t="s">
        <v>2389</v>
      </c>
      <c r="AU107">
        <v>2018</v>
      </c>
      <c r="AV107">
        <v>15</v>
      </c>
      <c r="AW107">
        <v>9</v>
      </c>
      <c r="AX107" t="s">
        <v>74</v>
      </c>
      <c r="AY107" t="s">
        <v>74</v>
      </c>
      <c r="AZ107" t="s">
        <v>74</v>
      </c>
      <c r="BA107" t="s">
        <v>74</v>
      </c>
      <c r="BB107">
        <v>3027</v>
      </c>
      <c r="BC107">
        <v>3048</v>
      </c>
      <c r="BD107" t="s">
        <v>74</v>
      </c>
      <c r="BE107" t="s">
        <v>2390</v>
      </c>
      <c r="BF107" t="str">
        <f>HYPERLINK("http://dx.doi.org/10.5194/bg-15-3027-2018","http://dx.doi.org/10.5194/bg-15-3027-2018")</f>
        <v>http://dx.doi.org/10.5194/bg-15-3027-2018</v>
      </c>
      <c r="BG107" t="s">
        <v>74</v>
      </c>
      <c r="BH107" t="s">
        <v>74</v>
      </c>
      <c r="BI107">
        <v>22</v>
      </c>
      <c r="BJ107" t="s">
        <v>803</v>
      </c>
      <c r="BK107" t="s">
        <v>101</v>
      </c>
      <c r="BL107" t="s">
        <v>804</v>
      </c>
      <c r="BM107" t="s">
        <v>2391</v>
      </c>
      <c r="BN107" t="s">
        <v>74</v>
      </c>
      <c r="BO107" t="s">
        <v>2339</v>
      </c>
      <c r="BP107" t="s">
        <v>74</v>
      </c>
      <c r="BQ107" t="s">
        <v>74</v>
      </c>
      <c r="BR107" t="s">
        <v>105</v>
      </c>
      <c r="BS107" t="s">
        <v>2392</v>
      </c>
      <c r="BT107" t="str">
        <f>HYPERLINK("https%3A%2F%2Fwww.webofscience.com%2Fwos%2Fwoscc%2Ffull-record%2FWOS:000432392200003","View Full Record in Web of Science")</f>
        <v>View Full Record in Web of Science</v>
      </c>
    </row>
    <row r="108" spans="1:72" x14ac:dyDescent="0.15">
      <c r="A108" t="s">
        <v>72</v>
      </c>
      <c r="B108" t="s">
        <v>2393</v>
      </c>
      <c r="C108" t="s">
        <v>74</v>
      </c>
      <c r="D108" t="s">
        <v>74</v>
      </c>
      <c r="E108" t="s">
        <v>74</v>
      </c>
      <c r="F108" t="s">
        <v>2394</v>
      </c>
      <c r="G108" t="s">
        <v>74</v>
      </c>
      <c r="H108" t="s">
        <v>74</v>
      </c>
      <c r="I108" t="s">
        <v>2395</v>
      </c>
      <c r="J108" t="s">
        <v>2396</v>
      </c>
      <c r="K108" t="s">
        <v>74</v>
      </c>
      <c r="L108" t="s">
        <v>74</v>
      </c>
      <c r="M108" t="s">
        <v>78</v>
      </c>
      <c r="N108" t="s">
        <v>79</v>
      </c>
      <c r="O108" t="s">
        <v>74</v>
      </c>
      <c r="P108" t="s">
        <v>74</v>
      </c>
      <c r="Q108" t="s">
        <v>74</v>
      </c>
      <c r="R108" t="s">
        <v>74</v>
      </c>
      <c r="S108" t="s">
        <v>74</v>
      </c>
      <c r="T108" t="s">
        <v>2397</v>
      </c>
      <c r="U108" t="s">
        <v>2398</v>
      </c>
      <c r="V108" t="s">
        <v>2399</v>
      </c>
      <c r="W108" t="s">
        <v>2400</v>
      </c>
      <c r="X108" t="s">
        <v>2401</v>
      </c>
      <c r="Y108" t="s">
        <v>2402</v>
      </c>
      <c r="Z108" t="s">
        <v>2403</v>
      </c>
      <c r="AA108" t="s">
        <v>74</v>
      </c>
      <c r="AB108" t="s">
        <v>2404</v>
      </c>
      <c r="AC108" t="s">
        <v>2405</v>
      </c>
      <c r="AD108" t="s">
        <v>2406</v>
      </c>
      <c r="AE108" t="s">
        <v>2407</v>
      </c>
      <c r="AF108" t="s">
        <v>74</v>
      </c>
      <c r="AG108">
        <v>28</v>
      </c>
      <c r="AH108">
        <v>22</v>
      </c>
      <c r="AI108">
        <v>23</v>
      </c>
      <c r="AJ108">
        <v>1</v>
      </c>
      <c r="AK108">
        <v>32</v>
      </c>
      <c r="AL108" t="s">
        <v>451</v>
      </c>
      <c r="AM108" t="s">
        <v>452</v>
      </c>
      <c r="AN108" t="s">
        <v>453</v>
      </c>
      <c r="AO108" t="s">
        <v>2408</v>
      </c>
      <c r="AP108" t="s">
        <v>2409</v>
      </c>
      <c r="AQ108" t="s">
        <v>74</v>
      </c>
      <c r="AR108" t="s">
        <v>2410</v>
      </c>
      <c r="AS108" t="s">
        <v>2411</v>
      </c>
      <c r="AT108" t="s">
        <v>2389</v>
      </c>
      <c r="AU108">
        <v>2018</v>
      </c>
      <c r="AV108">
        <v>235</v>
      </c>
      <c r="AW108" t="s">
        <v>74</v>
      </c>
      <c r="AX108" t="s">
        <v>74</v>
      </c>
      <c r="AY108" t="s">
        <v>74</v>
      </c>
      <c r="AZ108" t="s">
        <v>74</v>
      </c>
      <c r="BA108" t="s">
        <v>74</v>
      </c>
      <c r="BB108">
        <v>270</v>
      </c>
      <c r="BC108">
        <v>278</v>
      </c>
      <c r="BD108" t="s">
        <v>74</v>
      </c>
      <c r="BE108" t="s">
        <v>2412</v>
      </c>
      <c r="BF108" t="str">
        <f>HYPERLINK("http://dx.doi.org/10.1016/j.scienta.2018.03.002","http://dx.doi.org/10.1016/j.scienta.2018.03.002")</f>
        <v>http://dx.doi.org/10.1016/j.scienta.2018.03.002</v>
      </c>
      <c r="BG108" t="s">
        <v>74</v>
      </c>
      <c r="BH108" t="s">
        <v>74</v>
      </c>
      <c r="BI108">
        <v>9</v>
      </c>
      <c r="BJ108" t="s">
        <v>2413</v>
      </c>
      <c r="BK108" t="s">
        <v>101</v>
      </c>
      <c r="BL108" t="s">
        <v>2414</v>
      </c>
      <c r="BM108" t="s">
        <v>2415</v>
      </c>
      <c r="BN108">
        <v>29780200</v>
      </c>
      <c r="BO108" t="s">
        <v>2416</v>
      </c>
      <c r="BP108" t="s">
        <v>74</v>
      </c>
      <c r="BQ108" t="s">
        <v>74</v>
      </c>
      <c r="BR108" t="s">
        <v>105</v>
      </c>
      <c r="BS108" t="s">
        <v>2417</v>
      </c>
      <c r="BT108" t="str">
        <f>HYPERLINK("https%3A%2F%2Fwww.webofscience.com%2Fwos%2Fwoscc%2Ffull-record%2FWOS:000430762600033","View Full Record in Web of Science")</f>
        <v>View Full Record in Web of Science</v>
      </c>
    </row>
    <row r="109" spans="1:72" x14ac:dyDescent="0.15">
      <c r="A109" t="s">
        <v>72</v>
      </c>
      <c r="B109" t="s">
        <v>2418</v>
      </c>
      <c r="C109" t="s">
        <v>74</v>
      </c>
      <c r="D109" t="s">
        <v>74</v>
      </c>
      <c r="E109" t="s">
        <v>74</v>
      </c>
      <c r="F109" t="s">
        <v>2419</v>
      </c>
      <c r="G109" t="s">
        <v>74</v>
      </c>
      <c r="H109" t="s">
        <v>74</v>
      </c>
      <c r="I109" t="s">
        <v>2420</v>
      </c>
      <c r="J109" t="s">
        <v>1749</v>
      </c>
      <c r="K109" t="s">
        <v>74</v>
      </c>
      <c r="L109" t="s">
        <v>74</v>
      </c>
      <c r="M109" t="s">
        <v>78</v>
      </c>
      <c r="N109" t="s">
        <v>79</v>
      </c>
      <c r="O109" t="s">
        <v>74</v>
      </c>
      <c r="P109" t="s">
        <v>74</v>
      </c>
      <c r="Q109" t="s">
        <v>74</v>
      </c>
      <c r="R109" t="s">
        <v>74</v>
      </c>
      <c r="S109" t="s">
        <v>74</v>
      </c>
      <c r="T109" t="s">
        <v>74</v>
      </c>
      <c r="U109" t="s">
        <v>2421</v>
      </c>
      <c r="V109" t="s">
        <v>2422</v>
      </c>
      <c r="W109" t="s">
        <v>2423</v>
      </c>
      <c r="X109" t="s">
        <v>2424</v>
      </c>
      <c r="Y109" t="s">
        <v>2425</v>
      </c>
      <c r="Z109" t="s">
        <v>2426</v>
      </c>
      <c r="AA109" t="s">
        <v>2427</v>
      </c>
      <c r="AB109" t="s">
        <v>2428</v>
      </c>
      <c r="AC109" t="s">
        <v>2429</v>
      </c>
      <c r="AD109" t="s">
        <v>2430</v>
      </c>
      <c r="AE109" t="s">
        <v>2431</v>
      </c>
      <c r="AF109" t="s">
        <v>74</v>
      </c>
      <c r="AG109">
        <v>58</v>
      </c>
      <c r="AH109">
        <v>18</v>
      </c>
      <c r="AI109">
        <v>18</v>
      </c>
      <c r="AJ109">
        <v>1</v>
      </c>
      <c r="AK109">
        <v>11</v>
      </c>
      <c r="AL109" t="s">
        <v>574</v>
      </c>
      <c r="AM109" t="s">
        <v>575</v>
      </c>
      <c r="AN109" t="s">
        <v>576</v>
      </c>
      <c r="AO109" t="s">
        <v>1761</v>
      </c>
      <c r="AP109" t="s">
        <v>1762</v>
      </c>
      <c r="AQ109" t="s">
        <v>74</v>
      </c>
      <c r="AR109" t="s">
        <v>1763</v>
      </c>
      <c r="AS109" t="s">
        <v>1764</v>
      </c>
      <c r="AT109" t="s">
        <v>2432</v>
      </c>
      <c r="AU109">
        <v>2018</v>
      </c>
      <c r="AV109">
        <v>45</v>
      </c>
      <c r="AW109">
        <v>9</v>
      </c>
      <c r="AX109" t="s">
        <v>74</v>
      </c>
      <c r="AY109" t="s">
        <v>74</v>
      </c>
      <c r="AZ109" t="s">
        <v>74</v>
      </c>
      <c r="BA109" t="s">
        <v>74</v>
      </c>
      <c r="BB109">
        <v>4114</v>
      </c>
      <c r="BC109">
        <v>4123</v>
      </c>
      <c r="BD109" t="s">
        <v>74</v>
      </c>
      <c r="BE109" t="s">
        <v>2433</v>
      </c>
      <c r="BF109" t="str">
        <f>HYPERLINK("http://dx.doi.org/10.1029/2018GL077268","http://dx.doi.org/10.1029/2018GL077268")</f>
        <v>http://dx.doi.org/10.1029/2018GL077268</v>
      </c>
      <c r="BG109" t="s">
        <v>74</v>
      </c>
      <c r="BH109" t="s">
        <v>74</v>
      </c>
      <c r="BI109">
        <v>10</v>
      </c>
      <c r="BJ109" t="s">
        <v>1243</v>
      </c>
      <c r="BK109" t="s">
        <v>101</v>
      </c>
      <c r="BL109" t="s">
        <v>1181</v>
      </c>
      <c r="BM109" t="s">
        <v>2434</v>
      </c>
      <c r="BN109" t="s">
        <v>74</v>
      </c>
      <c r="BO109" t="s">
        <v>1785</v>
      </c>
      <c r="BP109" t="s">
        <v>74</v>
      </c>
      <c r="BQ109" t="s">
        <v>74</v>
      </c>
      <c r="BR109" t="s">
        <v>105</v>
      </c>
      <c r="BS109" t="s">
        <v>2435</v>
      </c>
      <c r="BT109" t="str">
        <f>HYPERLINK("https%3A%2F%2Fwww.webofscience.com%2Fwos%2Fwoscc%2Ffull-record%2FWOS:000434111700041","View Full Record in Web of Science")</f>
        <v>View Full Record in Web of Science</v>
      </c>
    </row>
    <row r="110" spans="1:72" x14ac:dyDescent="0.15">
      <c r="A110" t="s">
        <v>72</v>
      </c>
      <c r="B110" t="s">
        <v>2436</v>
      </c>
      <c r="C110" t="s">
        <v>74</v>
      </c>
      <c r="D110" t="s">
        <v>74</v>
      </c>
      <c r="E110" t="s">
        <v>74</v>
      </c>
      <c r="F110" t="s">
        <v>2437</v>
      </c>
      <c r="G110" t="s">
        <v>74</v>
      </c>
      <c r="H110" t="s">
        <v>74</v>
      </c>
      <c r="I110" t="s">
        <v>2438</v>
      </c>
      <c r="J110" t="s">
        <v>1938</v>
      </c>
      <c r="K110" t="s">
        <v>74</v>
      </c>
      <c r="L110" t="s">
        <v>74</v>
      </c>
      <c r="M110" t="s">
        <v>78</v>
      </c>
      <c r="N110" t="s">
        <v>79</v>
      </c>
      <c r="O110" t="s">
        <v>74</v>
      </c>
      <c r="P110" t="s">
        <v>74</v>
      </c>
      <c r="Q110" t="s">
        <v>74</v>
      </c>
      <c r="R110" t="s">
        <v>74</v>
      </c>
      <c r="S110" t="s">
        <v>74</v>
      </c>
      <c r="T110" t="s">
        <v>2439</v>
      </c>
      <c r="U110" t="s">
        <v>2440</v>
      </c>
      <c r="V110" t="s">
        <v>2441</v>
      </c>
      <c r="W110" t="s">
        <v>2442</v>
      </c>
      <c r="X110" t="s">
        <v>2443</v>
      </c>
      <c r="Y110" t="s">
        <v>2444</v>
      </c>
      <c r="Z110" t="s">
        <v>2445</v>
      </c>
      <c r="AA110" t="s">
        <v>2446</v>
      </c>
      <c r="AB110" t="s">
        <v>2447</v>
      </c>
      <c r="AC110" t="s">
        <v>2448</v>
      </c>
      <c r="AD110" t="s">
        <v>2449</v>
      </c>
      <c r="AE110" t="s">
        <v>2450</v>
      </c>
      <c r="AF110" t="s">
        <v>74</v>
      </c>
      <c r="AG110">
        <v>35</v>
      </c>
      <c r="AH110">
        <v>53</v>
      </c>
      <c r="AI110">
        <v>57</v>
      </c>
      <c r="AJ110">
        <v>0</v>
      </c>
      <c r="AK110">
        <v>33</v>
      </c>
      <c r="AL110" t="s">
        <v>574</v>
      </c>
      <c r="AM110" t="s">
        <v>575</v>
      </c>
      <c r="AN110" t="s">
        <v>576</v>
      </c>
      <c r="AO110" t="s">
        <v>1951</v>
      </c>
      <c r="AP110" t="s">
        <v>1952</v>
      </c>
      <c r="AQ110" t="s">
        <v>74</v>
      </c>
      <c r="AR110" t="s">
        <v>1953</v>
      </c>
      <c r="AS110" t="s">
        <v>1954</v>
      </c>
      <c r="AT110" t="s">
        <v>2432</v>
      </c>
      <c r="AU110">
        <v>2018</v>
      </c>
      <c r="AV110">
        <v>123</v>
      </c>
      <c r="AW110">
        <v>9</v>
      </c>
      <c r="AX110" t="s">
        <v>74</v>
      </c>
      <c r="AY110" t="s">
        <v>74</v>
      </c>
      <c r="AZ110" t="s">
        <v>74</v>
      </c>
      <c r="BA110" t="s">
        <v>74</v>
      </c>
      <c r="BB110">
        <v>4654</v>
      </c>
      <c r="BC110">
        <v>4673</v>
      </c>
      <c r="BD110" t="s">
        <v>74</v>
      </c>
      <c r="BE110" t="s">
        <v>2451</v>
      </c>
      <c r="BF110" t="str">
        <f>HYPERLINK("http://dx.doi.org/10.1002/2017JD028146","http://dx.doi.org/10.1002/2017JD028146")</f>
        <v>http://dx.doi.org/10.1002/2017JD028146</v>
      </c>
      <c r="BG110" t="s">
        <v>74</v>
      </c>
      <c r="BH110" t="s">
        <v>74</v>
      </c>
      <c r="BI110">
        <v>20</v>
      </c>
      <c r="BJ110" t="s">
        <v>131</v>
      </c>
      <c r="BK110" t="s">
        <v>101</v>
      </c>
      <c r="BL110" t="s">
        <v>131</v>
      </c>
      <c r="BM110" t="s">
        <v>2452</v>
      </c>
      <c r="BN110" t="s">
        <v>74</v>
      </c>
      <c r="BO110" t="s">
        <v>2453</v>
      </c>
      <c r="BP110" t="s">
        <v>74</v>
      </c>
      <c r="BQ110" t="s">
        <v>74</v>
      </c>
      <c r="BR110" t="s">
        <v>105</v>
      </c>
      <c r="BS110" t="s">
        <v>2454</v>
      </c>
      <c r="BT110" t="str">
        <f>HYPERLINK("https%3A%2F%2Fwww.webofscience.com%2Fwos%2Fwoscc%2Ffull-record%2FWOS:000434132400016","View Full Record in Web of Science")</f>
        <v>View Full Record in Web of Science</v>
      </c>
    </row>
    <row r="111" spans="1:72" x14ac:dyDescent="0.15">
      <c r="A111" t="s">
        <v>72</v>
      </c>
      <c r="B111" t="s">
        <v>2455</v>
      </c>
      <c r="C111" t="s">
        <v>74</v>
      </c>
      <c r="D111" t="s">
        <v>74</v>
      </c>
      <c r="E111" t="s">
        <v>74</v>
      </c>
      <c r="F111" t="s">
        <v>2456</v>
      </c>
      <c r="G111" t="s">
        <v>74</v>
      </c>
      <c r="H111" t="s">
        <v>74</v>
      </c>
      <c r="I111" t="s">
        <v>2457</v>
      </c>
      <c r="J111" t="s">
        <v>1598</v>
      </c>
      <c r="K111" t="s">
        <v>74</v>
      </c>
      <c r="L111" t="s">
        <v>74</v>
      </c>
      <c r="M111" t="s">
        <v>78</v>
      </c>
      <c r="N111" t="s">
        <v>2458</v>
      </c>
      <c r="O111" t="s">
        <v>74</v>
      </c>
      <c r="P111" t="s">
        <v>74</v>
      </c>
      <c r="Q111" t="s">
        <v>74</v>
      </c>
      <c r="R111" t="s">
        <v>74</v>
      </c>
      <c r="S111" t="s">
        <v>74</v>
      </c>
      <c r="T111" t="s">
        <v>74</v>
      </c>
      <c r="U111" t="s">
        <v>74</v>
      </c>
      <c r="V111" t="s">
        <v>74</v>
      </c>
      <c r="W111" t="s">
        <v>2459</v>
      </c>
      <c r="X111" t="s">
        <v>2460</v>
      </c>
      <c r="Y111" t="s">
        <v>2461</v>
      </c>
      <c r="Z111" t="s">
        <v>2462</v>
      </c>
      <c r="AA111" t="s">
        <v>74</v>
      </c>
      <c r="AB111" t="s">
        <v>74</v>
      </c>
      <c r="AC111" t="s">
        <v>74</v>
      </c>
      <c r="AD111" t="s">
        <v>74</v>
      </c>
      <c r="AE111" t="s">
        <v>74</v>
      </c>
      <c r="AF111" t="s">
        <v>74</v>
      </c>
      <c r="AG111">
        <v>1</v>
      </c>
      <c r="AH111">
        <v>0</v>
      </c>
      <c r="AI111">
        <v>0</v>
      </c>
      <c r="AJ111">
        <v>0</v>
      </c>
      <c r="AK111">
        <v>0</v>
      </c>
      <c r="AL111" t="s">
        <v>2463</v>
      </c>
      <c r="AM111" t="s">
        <v>2464</v>
      </c>
      <c r="AN111" t="s">
        <v>2465</v>
      </c>
      <c r="AO111" t="s">
        <v>1609</v>
      </c>
      <c r="AP111" t="s">
        <v>1610</v>
      </c>
      <c r="AQ111" t="s">
        <v>74</v>
      </c>
      <c r="AR111" t="s">
        <v>1611</v>
      </c>
      <c r="AS111" t="s">
        <v>1612</v>
      </c>
      <c r="AT111" t="s">
        <v>2432</v>
      </c>
      <c r="AU111">
        <v>2018</v>
      </c>
      <c r="AV111">
        <v>50</v>
      </c>
      <c r="AW111">
        <v>1</v>
      </c>
      <c r="AX111" t="s">
        <v>74</v>
      </c>
      <c r="AY111" t="s">
        <v>74</v>
      </c>
      <c r="AZ111" t="s">
        <v>74</v>
      </c>
      <c r="BA111" t="s">
        <v>74</v>
      </c>
      <c r="BB111" t="s">
        <v>74</v>
      </c>
      <c r="BC111" t="s">
        <v>74</v>
      </c>
      <c r="BD111" t="s">
        <v>2466</v>
      </c>
      <c r="BE111" t="s">
        <v>2467</v>
      </c>
      <c r="BF111" t="str">
        <f>HYPERLINK("http://dx.doi.org/10.1080/15230430.2018.1447541","http://dx.doi.org/10.1080/15230430.2018.1447541")</f>
        <v>http://dx.doi.org/10.1080/15230430.2018.1447541</v>
      </c>
      <c r="BG111" t="s">
        <v>74</v>
      </c>
      <c r="BH111" t="s">
        <v>74</v>
      </c>
      <c r="BI111">
        <v>4</v>
      </c>
      <c r="BJ111" t="s">
        <v>1616</v>
      </c>
      <c r="BK111" t="s">
        <v>101</v>
      </c>
      <c r="BL111" t="s">
        <v>1617</v>
      </c>
      <c r="BM111" t="s">
        <v>2468</v>
      </c>
      <c r="BN111" t="s">
        <v>74</v>
      </c>
      <c r="BO111" t="s">
        <v>133</v>
      </c>
      <c r="BP111" t="s">
        <v>74</v>
      </c>
      <c r="BQ111" t="s">
        <v>74</v>
      </c>
      <c r="BR111" t="s">
        <v>105</v>
      </c>
      <c r="BS111" t="s">
        <v>2469</v>
      </c>
      <c r="BT111" t="str">
        <f>HYPERLINK("https%3A%2F%2Fwww.webofscience.com%2Fwos%2Fwoscc%2Ffull-record%2FWOS:000438740400001","View Full Record in Web of Science")</f>
        <v>View Full Record in Web of Science</v>
      </c>
    </row>
    <row r="112" spans="1:72" x14ac:dyDescent="0.15">
      <c r="A112" t="s">
        <v>72</v>
      </c>
      <c r="B112" t="s">
        <v>2470</v>
      </c>
      <c r="C112" t="s">
        <v>74</v>
      </c>
      <c r="D112" t="s">
        <v>74</v>
      </c>
      <c r="E112" t="s">
        <v>74</v>
      </c>
      <c r="F112" t="s">
        <v>2471</v>
      </c>
      <c r="G112" t="s">
        <v>74</v>
      </c>
      <c r="H112" t="s">
        <v>74</v>
      </c>
      <c r="I112" t="s">
        <v>2472</v>
      </c>
      <c r="J112" t="s">
        <v>1749</v>
      </c>
      <c r="K112" t="s">
        <v>74</v>
      </c>
      <c r="L112" t="s">
        <v>74</v>
      </c>
      <c r="M112" t="s">
        <v>78</v>
      </c>
      <c r="N112" t="s">
        <v>79</v>
      </c>
      <c r="O112" t="s">
        <v>74</v>
      </c>
      <c r="P112" t="s">
        <v>74</v>
      </c>
      <c r="Q112" t="s">
        <v>74</v>
      </c>
      <c r="R112" t="s">
        <v>74</v>
      </c>
      <c r="S112" t="s">
        <v>74</v>
      </c>
      <c r="T112" t="s">
        <v>2473</v>
      </c>
      <c r="U112" t="s">
        <v>2474</v>
      </c>
      <c r="V112" t="s">
        <v>2475</v>
      </c>
      <c r="W112" t="s">
        <v>2476</v>
      </c>
      <c r="X112" t="s">
        <v>2477</v>
      </c>
      <c r="Y112" t="s">
        <v>2478</v>
      </c>
      <c r="Z112" t="s">
        <v>2479</v>
      </c>
      <c r="AA112" t="s">
        <v>2480</v>
      </c>
      <c r="AB112" t="s">
        <v>2481</v>
      </c>
      <c r="AC112" t="s">
        <v>2482</v>
      </c>
      <c r="AD112" t="s">
        <v>2483</v>
      </c>
      <c r="AE112" t="s">
        <v>2484</v>
      </c>
      <c r="AF112" t="s">
        <v>74</v>
      </c>
      <c r="AG112">
        <v>45</v>
      </c>
      <c r="AH112">
        <v>56</v>
      </c>
      <c r="AI112">
        <v>64</v>
      </c>
      <c r="AJ112">
        <v>3</v>
      </c>
      <c r="AK112">
        <v>32</v>
      </c>
      <c r="AL112" t="s">
        <v>574</v>
      </c>
      <c r="AM112" t="s">
        <v>575</v>
      </c>
      <c r="AN112" t="s">
        <v>576</v>
      </c>
      <c r="AO112" t="s">
        <v>1761</v>
      </c>
      <c r="AP112" t="s">
        <v>1762</v>
      </c>
      <c r="AQ112" t="s">
        <v>74</v>
      </c>
      <c r="AR112" t="s">
        <v>1763</v>
      </c>
      <c r="AS112" t="s">
        <v>1764</v>
      </c>
      <c r="AT112" t="s">
        <v>2432</v>
      </c>
      <c r="AU112">
        <v>2018</v>
      </c>
      <c r="AV112">
        <v>45</v>
      </c>
      <c r="AW112">
        <v>9</v>
      </c>
      <c r="AX112" t="s">
        <v>74</v>
      </c>
      <c r="AY112" t="s">
        <v>74</v>
      </c>
      <c r="AZ112" t="s">
        <v>74</v>
      </c>
      <c r="BA112" t="s">
        <v>74</v>
      </c>
      <c r="BB112">
        <v>4086</v>
      </c>
      <c r="BC112">
        <v>4095</v>
      </c>
      <c r="BD112" t="s">
        <v>74</v>
      </c>
      <c r="BE112" t="s">
        <v>2485</v>
      </c>
      <c r="BF112" t="str">
        <f>HYPERLINK("http://dx.doi.org/10.1002/2017GL076652","http://dx.doi.org/10.1002/2017GL076652")</f>
        <v>http://dx.doi.org/10.1002/2017GL076652</v>
      </c>
      <c r="BG112" t="s">
        <v>74</v>
      </c>
      <c r="BH112" t="s">
        <v>74</v>
      </c>
      <c r="BI112">
        <v>10</v>
      </c>
      <c r="BJ112" t="s">
        <v>1243</v>
      </c>
      <c r="BK112" t="s">
        <v>101</v>
      </c>
      <c r="BL112" t="s">
        <v>1181</v>
      </c>
      <c r="BM112" t="s">
        <v>2434</v>
      </c>
      <c r="BN112" t="s">
        <v>74</v>
      </c>
      <c r="BO112" t="s">
        <v>980</v>
      </c>
      <c r="BP112" t="s">
        <v>74</v>
      </c>
      <c r="BQ112" t="s">
        <v>74</v>
      </c>
      <c r="BR112" t="s">
        <v>105</v>
      </c>
      <c r="BS112" t="s">
        <v>2486</v>
      </c>
      <c r="BT112" t="str">
        <f>HYPERLINK("https%3A%2F%2Fwww.webofscience.com%2Fwos%2Fwoscc%2Ffull-record%2FWOS:000434111700038","View Full Record in Web of Science")</f>
        <v>View Full Record in Web of Science</v>
      </c>
    </row>
    <row r="113" spans="1:72" x14ac:dyDescent="0.15">
      <c r="A113" t="s">
        <v>72</v>
      </c>
      <c r="B113" t="s">
        <v>2487</v>
      </c>
      <c r="C113" t="s">
        <v>74</v>
      </c>
      <c r="D113" t="s">
        <v>74</v>
      </c>
      <c r="E113" t="s">
        <v>74</v>
      </c>
      <c r="F113" t="s">
        <v>2488</v>
      </c>
      <c r="G113" t="s">
        <v>74</v>
      </c>
      <c r="H113" t="s">
        <v>74</v>
      </c>
      <c r="I113" t="s">
        <v>2489</v>
      </c>
      <c r="J113" t="s">
        <v>1749</v>
      </c>
      <c r="K113" t="s">
        <v>74</v>
      </c>
      <c r="L113" t="s">
        <v>74</v>
      </c>
      <c r="M113" t="s">
        <v>78</v>
      </c>
      <c r="N113" t="s">
        <v>79</v>
      </c>
      <c r="O113" t="s">
        <v>74</v>
      </c>
      <c r="P113" t="s">
        <v>74</v>
      </c>
      <c r="Q113" t="s">
        <v>74</v>
      </c>
      <c r="R113" t="s">
        <v>74</v>
      </c>
      <c r="S113" t="s">
        <v>74</v>
      </c>
      <c r="T113" t="s">
        <v>2490</v>
      </c>
      <c r="U113" t="s">
        <v>2491</v>
      </c>
      <c r="V113" t="s">
        <v>2492</v>
      </c>
      <c r="W113" t="s">
        <v>2493</v>
      </c>
      <c r="X113" t="s">
        <v>2494</v>
      </c>
      <c r="Y113" t="s">
        <v>2495</v>
      </c>
      <c r="Z113" t="s">
        <v>2496</v>
      </c>
      <c r="AA113" t="s">
        <v>74</v>
      </c>
      <c r="AB113" t="s">
        <v>2497</v>
      </c>
      <c r="AC113" t="s">
        <v>2498</v>
      </c>
      <c r="AD113" t="s">
        <v>2499</v>
      </c>
      <c r="AE113" t="s">
        <v>2500</v>
      </c>
      <c r="AF113" t="s">
        <v>74</v>
      </c>
      <c r="AG113">
        <v>50</v>
      </c>
      <c r="AH113">
        <v>12</v>
      </c>
      <c r="AI113">
        <v>15</v>
      </c>
      <c r="AJ113">
        <v>2</v>
      </c>
      <c r="AK113">
        <v>21</v>
      </c>
      <c r="AL113" t="s">
        <v>574</v>
      </c>
      <c r="AM113" t="s">
        <v>575</v>
      </c>
      <c r="AN113" t="s">
        <v>576</v>
      </c>
      <c r="AO113" t="s">
        <v>1761</v>
      </c>
      <c r="AP113" t="s">
        <v>1762</v>
      </c>
      <c r="AQ113" t="s">
        <v>74</v>
      </c>
      <c r="AR113" t="s">
        <v>1763</v>
      </c>
      <c r="AS113" t="s">
        <v>1764</v>
      </c>
      <c r="AT113" t="s">
        <v>2432</v>
      </c>
      <c r="AU113">
        <v>2018</v>
      </c>
      <c r="AV113">
        <v>45</v>
      </c>
      <c r="AW113">
        <v>9</v>
      </c>
      <c r="AX113" t="s">
        <v>74</v>
      </c>
      <c r="AY113" t="s">
        <v>74</v>
      </c>
      <c r="AZ113" t="s">
        <v>74</v>
      </c>
      <c r="BA113" t="s">
        <v>74</v>
      </c>
      <c r="BB113">
        <v>4096</v>
      </c>
      <c r="BC113">
        <v>4104</v>
      </c>
      <c r="BD113" t="s">
        <v>74</v>
      </c>
      <c r="BE113" t="s">
        <v>2501</v>
      </c>
      <c r="BF113" t="str">
        <f>HYPERLINK("http://dx.doi.org/10.1029/2018GL077511","http://dx.doi.org/10.1029/2018GL077511")</f>
        <v>http://dx.doi.org/10.1029/2018GL077511</v>
      </c>
      <c r="BG113" t="s">
        <v>74</v>
      </c>
      <c r="BH113" t="s">
        <v>74</v>
      </c>
      <c r="BI113">
        <v>9</v>
      </c>
      <c r="BJ113" t="s">
        <v>1243</v>
      </c>
      <c r="BK113" t="s">
        <v>101</v>
      </c>
      <c r="BL113" t="s">
        <v>1181</v>
      </c>
      <c r="BM113" t="s">
        <v>2434</v>
      </c>
      <c r="BN113" t="s">
        <v>74</v>
      </c>
      <c r="BO113" t="s">
        <v>162</v>
      </c>
      <c r="BP113" t="s">
        <v>74</v>
      </c>
      <c r="BQ113" t="s">
        <v>74</v>
      </c>
      <c r="BR113" t="s">
        <v>105</v>
      </c>
      <c r="BS113" t="s">
        <v>2502</v>
      </c>
      <c r="BT113" t="str">
        <f>HYPERLINK("https%3A%2F%2Fwww.webofscience.com%2Fwos%2Fwoscc%2Ffull-record%2FWOS:000434111700039","View Full Record in Web of Science")</f>
        <v>View Full Record in Web of Science</v>
      </c>
    </row>
    <row r="114" spans="1:72" x14ac:dyDescent="0.15">
      <c r="A114" t="s">
        <v>72</v>
      </c>
      <c r="B114" t="s">
        <v>2503</v>
      </c>
      <c r="C114" t="s">
        <v>74</v>
      </c>
      <c r="D114" t="s">
        <v>74</v>
      </c>
      <c r="E114" t="s">
        <v>74</v>
      </c>
      <c r="F114" t="s">
        <v>2504</v>
      </c>
      <c r="G114" t="s">
        <v>74</v>
      </c>
      <c r="H114" t="s">
        <v>74</v>
      </c>
      <c r="I114" t="s">
        <v>2505</v>
      </c>
      <c r="J114" t="s">
        <v>1749</v>
      </c>
      <c r="K114" t="s">
        <v>74</v>
      </c>
      <c r="L114" t="s">
        <v>74</v>
      </c>
      <c r="M114" t="s">
        <v>78</v>
      </c>
      <c r="N114" t="s">
        <v>79</v>
      </c>
      <c r="O114" t="s">
        <v>74</v>
      </c>
      <c r="P114" t="s">
        <v>74</v>
      </c>
      <c r="Q114" t="s">
        <v>74</v>
      </c>
      <c r="R114" t="s">
        <v>74</v>
      </c>
      <c r="S114" t="s">
        <v>74</v>
      </c>
      <c r="T114" t="s">
        <v>2506</v>
      </c>
      <c r="U114" t="s">
        <v>2507</v>
      </c>
      <c r="V114" t="s">
        <v>2508</v>
      </c>
      <c r="W114" t="s">
        <v>2509</v>
      </c>
      <c r="X114" t="s">
        <v>2510</v>
      </c>
      <c r="Y114" t="s">
        <v>2511</v>
      </c>
      <c r="Z114" t="s">
        <v>2512</v>
      </c>
      <c r="AA114" t="s">
        <v>2513</v>
      </c>
      <c r="AB114" t="s">
        <v>2514</v>
      </c>
      <c r="AC114" t="s">
        <v>2515</v>
      </c>
      <c r="AD114" t="s">
        <v>2516</v>
      </c>
      <c r="AE114" t="s">
        <v>2517</v>
      </c>
      <c r="AF114" t="s">
        <v>74</v>
      </c>
      <c r="AG114">
        <v>47</v>
      </c>
      <c r="AH114">
        <v>31</v>
      </c>
      <c r="AI114">
        <v>33</v>
      </c>
      <c r="AJ114">
        <v>0</v>
      </c>
      <c r="AK114">
        <v>9</v>
      </c>
      <c r="AL114" t="s">
        <v>574</v>
      </c>
      <c r="AM114" t="s">
        <v>575</v>
      </c>
      <c r="AN114" t="s">
        <v>576</v>
      </c>
      <c r="AO114" t="s">
        <v>1761</v>
      </c>
      <c r="AP114" t="s">
        <v>1762</v>
      </c>
      <c r="AQ114" t="s">
        <v>74</v>
      </c>
      <c r="AR114" t="s">
        <v>1763</v>
      </c>
      <c r="AS114" t="s">
        <v>1764</v>
      </c>
      <c r="AT114" t="s">
        <v>2432</v>
      </c>
      <c r="AU114">
        <v>2018</v>
      </c>
      <c r="AV114">
        <v>45</v>
      </c>
      <c r="AW114">
        <v>9</v>
      </c>
      <c r="AX114" t="s">
        <v>74</v>
      </c>
      <c r="AY114" t="s">
        <v>74</v>
      </c>
      <c r="AZ114" t="s">
        <v>74</v>
      </c>
      <c r="BA114" t="s">
        <v>74</v>
      </c>
      <c r="BB114">
        <v>4124</v>
      </c>
      <c r="BC114">
        <v>4133</v>
      </c>
      <c r="BD114" t="s">
        <v>74</v>
      </c>
      <c r="BE114" t="s">
        <v>2518</v>
      </c>
      <c r="BF114" t="str">
        <f>HYPERLINK("http://dx.doi.org/10.1029/2018GL077092","http://dx.doi.org/10.1029/2018GL077092")</f>
        <v>http://dx.doi.org/10.1029/2018GL077092</v>
      </c>
      <c r="BG114" t="s">
        <v>74</v>
      </c>
      <c r="BH114" t="s">
        <v>74</v>
      </c>
      <c r="BI114">
        <v>10</v>
      </c>
      <c r="BJ114" t="s">
        <v>1243</v>
      </c>
      <c r="BK114" t="s">
        <v>101</v>
      </c>
      <c r="BL114" t="s">
        <v>1181</v>
      </c>
      <c r="BM114" t="s">
        <v>2434</v>
      </c>
      <c r="BN114" t="s">
        <v>74</v>
      </c>
      <c r="BO114" t="s">
        <v>2453</v>
      </c>
      <c r="BP114" t="s">
        <v>74</v>
      </c>
      <c r="BQ114" t="s">
        <v>74</v>
      </c>
      <c r="BR114" t="s">
        <v>105</v>
      </c>
      <c r="BS114" t="s">
        <v>2519</v>
      </c>
      <c r="BT114" t="str">
        <f>HYPERLINK("https%3A%2F%2Fwww.webofscience.com%2Fwos%2Fwoscc%2Ffull-record%2FWOS:000434111700042","View Full Record in Web of Science")</f>
        <v>View Full Record in Web of Science</v>
      </c>
    </row>
    <row r="115" spans="1:72" x14ac:dyDescent="0.15">
      <c r="A115" t="s">
        <v>72</v>
      </c>
      <c r="B115" t="s">
        <v>2520</v>
      </c>
      <c r="C115" t="s">
        <v>74</v>
      </c>
      <c r="D115" t="s">
        <v>74</v>
      </c>
      <c r="E115" t="s">
        <v>74</v>
      </c>
      <c r="F115" t="s">
        <v>2521</v>
      </c>
      <c r="G115" t="s">
        <v>74</v>
      </c>
      <c r="H115" t="s">
        <v>74</v>
      </c>
      <c r="I115" t="s">
        <v>2522</v>
      </c>
      <c r="J115" t="s">
        <v>2523</v>
      </c>
      <c r="K115" t="s">
        <v>74</v>
      </c>
      <c r="L115" t="s">
        <v>74</v>
      </c>
      <c r="M115" t="s">
        <v>78</v>
      </c>
      <c r="N115" t="s">
        <v>79</v>
      </c>
      <c r="O115" t="s">
        <v>74</v>
      </c>
      <c r="P115" t="s">
        <v>74</v>
      </c>
      <c r="Q115" t="s">
        <v>74</v>
      </c>
      <c r="R115" t="s">
        <v>74</v>
      </c>
      <c r="S115" t="s">
        <v>74</v>
      </c>
      <c r="T115" t="s">
        <v>2524</v>
      </c>
      <c r="U115" t="s">
        <v>74</v>
      </c>
      <c r="V115" t="s">
        <v>2525</v>
      </c>
      <c r="W115" t="s">
        <v>2526</v>
      </c>
      <c r="X115" t="s">
        <v>2527</v>
      </c>
      <c r="Y115" t="s">
        <v>2528</v>
      </c>
      <c r="Z115" t="s">
        <v>2529</v>
      </c>
      <c r="AA115" t="s">
        <v>2530</v>
      </c>
      <c r="AB115" t="s">
        <v>2531</v>
      </c>
      <c r="AC115" t="s">
        <v>2532</v>
      </c>
      <c r="AD115" t="s">
        <v>2533</v>
      </c>
      <c r="AE115" t="s">
        <v>2534</v>
      </c>
      <c r="AF115" t="s">
        <v>74</v>
      </c>
      <c r="AG115">
        <v>19</v>
      </c>
      <c r="AH115">
        <v>9</v>
      </c>
      <c r="AI115">
        <v>9</v>
      </c>
      <c r="AJ115">
        <v>0</v>
      </c>
      <c r="AK115">
        <v>11</v>
      </c>
      <c r="AL115" t="s">
        <v>2535</v>
      </c>
      <c r="AM115" t="s">
        <v>2536</v>
      </c>
      <c r="AN115" t="s">
        <v>2537</v>
      </c>
      <c r="AO115" t="s">
        <v>2538</v>
      </c>
      <c r="AP115" t="s">
        <v>2539</v>
      </c>
      <c r="AQ115" t="s">
        <v>74</v>
      </c>
      <c r="AR115" t="s">
        <v>2523</v>
      </c>
      <c r="AS115" t="s">
        <v>2540</v>
      </c>
      <c r="AT115" t="s">
        <v>2432</v>
      </c>
      <c r="AU115">
        <v>2018</v>
      </c>
      <c r="AV115" t="s">
        <v>74</v>
      </c>
      <c r="AW115">
        <v>98</v>
      </c>
      <c r="AX115" t="s">
        <v>74</v>
      </c>
      <c r="AY115" t="s">
        <v>74</v>
      </c>
      <c r="AZ115" t="s">
        <v>74</v>
      </c>
      <c r="BA115" t="s">
        <v>74</v>
      </c>
      <c r="BB115">
        <v>107</v>
      </c>
      <c r="BC115">
        <v>115</v>
      </c>
      <c r="BD115" t="s">
        <v>74</v>
      </c>
      <c r="BE115" t="s">
        <v>2541</v>
      </c>
      <c r="BF115" t="str">
        <f>HYPERLINK("http://dx.doi.org/10.3897/phytokeys.98.25360","http://dx.doi.org/10.3897/phytokeys.98.25360")</f>
        <v>http://dx.doi.org/10.3897/phytokeys.98.25360</v>
      </c>
      <c r="BG115" t="s">
        <v>74</v>
      </c>
      <c r="BH115" t="s">
        <v>74</v>
      </c>
      <c r="BI115">
        <v>9</v>
      </c>
      <c r="BJ115" t="s">
        <v>2542</v>
      </c>
      <c r="BK115" t="s">
        <v>101</v>
      </c>
      <c r="BL115" t="s">
        <v>2542</v>
      </c>
      <c r="BM115" t="s">
        <v>2543</v>
      </c>
      <c r="BN115">
        <v>29849474</v>
      </c>
      <c r="BO115" t="s">
        <v>636</v>
      </c>
      <c r="BP115" t="s">
        <v>74</v>
      </c>
      <c r="BQ115" t="s">
        <v>74</v>
      </c>
      <c r="BR115" t="s">
        <v>105</v>
      </c>
      <c r="BS115" t="s">
        <v>2544</v>
      </c>
      <c r="BT115" t="str">
        <f>HYPERLINK("https%3A%2F%2Fwww.webofscience.com%2Fwos%2Fwoscc%2Ffull-record%2FWOS:000432343600001","View Full Record in Web of Science")</f>
        <v>View Full Record in Web of Science</v>
      </c>
    </row>
    <row r="116" spans="1:72" x14ac:dyDescent="0.15">
      <c r="A116" t="s">
        <v>72</v>
      </c>
      <c r="B116" t="s">
        <v>2545</v>
      </c>
      <c r="C116" t="s">
        <v>74</v>
      </c>
      <c r="D116" t="s">
        <v>74</v>
      </c>
      <c r="E116" t="s">
        <v>74</v>
      </c>
      <c r="F116" t="s">
        <v>2546</v>
      </c>
      <c r="G116" t="s">
        <v>74</v>
      </c>
      <c r="H116" t="s">
        <v>74</v>
      </c>
      <c r="I116" t="s">
        <v>2547</v>
      </c>
      <c r="J116" t="s">
        <v>2548</v>
      </c>
      <c r="K116" t="s">
        <v>74</v>
      </c>
      <c r="L116" t="s">
        <v>74</v>
      </c>
      <c r="M116" t="s">
        <v>78</v>
      </c>
      <c r="N116" t="s">
        <v>79</v>
      </c>
      <c r="O116" t="s">
        <v>74</v>
      </c>
      <c r="P116" t="s">
        <v>74</v>
      </c>
      <c r="Q116" t="s">
        <v>74</v>
      </c>
      <c r="R116" t="s">
        <v>74</v>
      </c>
      <c r="S116" t="s">
        <v>74</v>
      </c>
      <c r="T116" t="s">
        <v>2549</v>
      </c>
      <c r="U116" t="s">
        <v>2550</v>
      </c>
      <c r="V116" t="s">
        <v>2551</v>
      </c>
      <c r="W116" t="s">
        <v>2552</v>
      </c>
      <c r="X116" t="s">
        <v>2553</v>
      </c>
      <c r="Y116" t="s">
        <v>2554</v>
      </c>
      <c r="Z116" t="s">
        <v>2555</v>
      </c>
      <c r="AA116" t="s">
        <v>74</v>
      </c>
      <c r="AB116" t="s">
        <v>74</v>
      </c>
      <c r="AC116" t="s">
        <v>2556</v>
      </c>
      <c r="AD116" t="s">
        <v>2557</v>
      </c>
      <c r="AE116" t="s">
        <v>2558</v>
      </c>
      <c r="AF116" t="s">
        <v>74</v>
      </c>
      <c r="AG116">
        <v>40</v>
      </c>
      <c r="AH116">
        <v>10</v>
      </c>
      <c r="AI116">
        <v>10</v>
      </c>
      <c r="AJ116">
        <v>5</v>
      </c>
      <c r="AK116">
        <v>41</v>
      </c>
      <c r="AL116" t="s">
        <v>425</v>
      </c>
      <c r="AM116" t="s">
        <v>278</v>
      </c>
      <c r="AN116" t="s">
        <v>426</v>
      </c>
      <c r="AO116" t="s">
        <v>2559</v>
      </c>
      <c r="AP116" t="s">
        <v>2560</v>
      </c>
      <c r="AQ116" t="s">
        <v>74</v>
      </c>
      <c r="AR116" t="s">
        <v>2561</v>
      </c>
      <c r="AS116" t="s">
        <v>2562</v>
      </c>
      <c r="AT116" t="s">
        <v>2563</v>
      </c>
      <c r="AU116">
        <v>2018</v>
      </c>
      <c r="AV116">
        <v>158</v>
      </c>
      <c r="AW116" t="s">
        <v>74</v>
      </c>
      <c r="AX116" t="s">
        <v>74</v>
      </c>
      <c r="AY116" t="s">
        <v>74</v>
      </c>
      <c r="AZ116" t="s">
        <v>74</v>
      </c>
      <c r="BA116" t="s">
        <v>74</v>
      </c>
      <c r="BB116">
        <v>134</v>
      </c>
      <c r="BC116">
        <v>143</v>
      </c>
      <c r="BD116" t="s">
        <v>74</v>
      </c>
      <c r="BE116" t="s">
        <v>2564</v>
      </c>
      <c r="BF116" t="str">
        <f>HYPERLINK("http://dx.doi.org/10.1016/j.ocecoaman.2018.03.033","http://dx.doi.org/10.1016/j.ocecoaman.2018.03.033")</f>
        <v>http://dx.doi.org/10.1016/j.ocecoaman.2018.03.033</v>
      </c>
      <c r="BG116" t="s">
        <v>74</v>
      </c>
      <c r="BH116" t="s">
        <v>74</v>
      </c>
      <c r="BI116">
        <v>10</v>
      </c>
      <c r="BJ116" t="s">
        <v>2565</v>
      </c>
      <c r="BK116" t="s">
        <v>101</v>
      </c>
      <c r="BL116" t="s">
        <v>2565</v>
      </c>
      <c r="BM116" t="s">
        <v>2566</v>
      </c>
      <c r="BN116" t="s">
        <v>74</v>
      </c>
      <c r="BO116" t="s">
        <v>74</v>
      </c>
      <c r="BP116" t="s">
        <v>74</v>
      </c>
      <c r="BQ116" t="s">
        <v>74</v>
      </c>
      <c r="BR116" t="s">
        <v>105</v>
      </c>
      <c r="BS116" t="s">
        <v>2567</v>
      </c>
      <c r="BT116" t="str">
        <f>HYPERLINK("https%3A%2F%2Fwww.webofscience.com%2Fwos%2Fwoscc%2Ffull-record%2FWOS:000436212500014","View Full Record in Web of Science")</f>
        <v>View Full Record in Web of Science</v>
      </c>
    </row>
    <row r="117" spans="1:72" x14ac:dyDescent="0.15">
      <c r="A117" t="s">
        <v>72</v>
      </c>
      <c r="B117" t="s">
        <v>2568</v>
      </c>
      <c r="C117" t="s">
        <v>74</v>
      </c>
      <c r="D117" t="s">
        <v>74</v>
      </c>
      <c r="E117" t="s">
        <v>74</v>
      </c>
      <c r="F117" t="s">
        <v>2569</v>
      </c>
      <c r="G117" t="s">
        <v>74</v>
      </c>
      <c r="H117" t="s">
        <v>74</v>
      </c>
      <c r="I117" t="s">
        <v>2570</v>
      </c>
      <c r="J117" t="s">
        <v>321</v>
      </c>
      <c r="K117" t="s">
        <v>74</v>
      </c>
      <c r="L117" t="s">
        <v>74</v>
      </c>
      <c r="M117" t="s">
        <v>78</v>
      </c>
      <c r="N117" t="s">
        <v>79</v>
      </c>
      <c r="O117" t="s">
        <v>74</v>
      </c>
      <c r="P117" t="s">
        <v>74</v>
      </c>
      <c r="Q117" t="s">
        <v>74</v>
      </c>
      <c r="R117" t="s">
        <v>74</v>
      </c>
      <c r="S117" t="s">
        <v>74</v>
      </c>
      <c r="T117" t="s">
        <v>2571</v>
      </c>
      <c r="U117" t="s">
        <v>2572</v>
      </c>
      <c r="V117" t="s">
        <v>2573</v>
      </c>
      <c r="W117" t="s">
        <v>2574</v>
      </c>
      <c r="X117" t="s">
        <v>2575</v>
      </c>
      <c r="Y117" t="s">
        <v>2576</v>
      </c>
      <c r="Z117" t="s">
        <v>2577</v>
      </c>
      <c r="AA117" t="s">
        <v>74</v>
      </c>
      <c r="AB117" t="s">
        <v>2578</v>
      </c>
      <c r="AC117" t="s">
        <v>2579</v>
      </c>
      <c r="AD117" t="s">
        <v>2580</v>
      </c>
      <c r="AE117" t="s">
        <v>2581</v>
      </c>
      <c r="AF117" t="s">
        <v>74</v>
      </c>
      <c r="AG117">
        <v>58</v>
      </c>
      <c r="AH117">
        <v>11</v>
      </c>
      <c r="AI117">
        <v>12</v>
      </c>
      <c r="AJ117">
        <v>1</v>
      </c>
      <c r="AK117">
        <v>16</v>
      </c>
      <c r="AL117" t="s">
        <v>277</v>
      </c>
      <c r="AM117" t="s">
        <v>278</v>
      </c>
      <c r="AN117" t="s">
        <v>279</v>
      </c>
      <c r="AO117" t="s">
        <v>333</v>
      </c>
      <c r="AP117" t="s">
        <v>334</v>
      </c>
      <c r="AQ117" t="s">
        <v>74</v>
      </c>
      <c r="AR117" t="s">
        <v>335</v>
      </c>
      <c r="AS117" t="s">
        <v>336</v>
      </c>
      <c r="AT117" t="s">
        <v>2563</v>
      </c>
      <c r="AU117">
        <v>2018</v>
      </c>
      <c r="AV117">
        <v>188</v>
      </c>
      <c r="AW117" t="s">
        <v>74</v>
      </c>
      <c r="AX117" t="s">
        <v>74</v>
      </c>
      <c r="AY117" t="s">
        <v>74</v>
      </c>
      <c r="AZ117" t="s">
        <v>74</v>
      </c>
      <c r="BA117" t="s">
        <v>74</v>
      </c>
      <c r="BB117">
        <v>77</v>
      </c>
      <c r="BC117">
        <v>89</v>
      </c>
      <c r="BD117" t="s">
        <v>74</v>
      </c>
      <c r="BE117" t="s">
        <v>2582</v>
      </c>
      <c r="BF117" t="str">
        <f>HYPERLINK("http://dx.doi.org/10.1016/j.quascirev.2017.10.033","http://dx.doi.org/10.1016/j.quascirev.2017.10.033")</f>
        <v>http://dx.doi.org/10.1016/j.quascirev.2017.10.033</v>
      </c>
      <c r="BG117" t="s">
        <v>74</v>
      </c>
      <c r="BH117" t="s">
        <v>74</v>
      </c>
      <c r="BI117">
        <v>13</v>
      </c>
      <c r="BJ117" t="s">
        <v>338</v>
      </c>
      <c r="BK117" t="s">
        <v>101</v>
      </c>
      <c r="BL117" t="s">
        <v>339</v>
      </c>
      <c r="BM117" t="s">
        <v>2583</v>
      </c>
      <c r="BN117" t="s">
        <v>74</v>
      </c>
      <c r="BO117" t="s">
        <v>74</v>
      </c>
      <c r="BP117" t="s">
        <v>74</v>
      </c>
      <c r="BQ117" t="s">
        <v>74</v>
      </c>
      <c r="BR117" t="s">
        <v>105</v>
      </c>
      <c r="BS117" t="s">
        <v>2584</v>
      </c>
      <c r="BT117" t="str">
        <f>HYPERLINK("https%3A%2F%2Fwww.webofscience.com%2Fwos%2Fwoscc%2Ffull-record%2FWOS:000432770600007","View Full Record in Web of Science")</f>
        <v>View Full Record in Web of Science</v>
      </c>
    </row>
    <row r="118" spans="1:72" x14ac:dyDescent="0.15">
      <c r="A118" t="s">
        <v>72</v>
      </c>
      <c r="B118" t="s">
        <v>2585</v>
      </c>
      <c r="C118" t="s">
        <v>74</v>
      </c>
      <c r="D118" t="s">
        <v>74</v>
      </c>
      <c r="E118" t="s">
        <v>74</v>
      </c>
      <c r="F118" t="s">
        <v>2586</v>
      </c>
      <c r="G118" t="s">
        <v>74</v>
      </c>
      <c r="H118" t="s">
        <v>74</v>
      </c>
      <c r="I118" t="s">
        <v>2587</v>
      </c>
      <c r="J118" t="s">
        <v>321</v>
      </c>
      <c r="K118" t="s">
        <v>74</v>
      </c>
      <c r="L118" t="s">
        <v>74</v>
      </c>
      <c r="M118" t="s">
        <v>78</v>
      </c>
      <c r="N118" t="s">
        <v>79</v>
      </c>
      <c r="O118" t="s">
        <v>74</v>
      </c>
      <c r="P118" t="s">
        <v>74</v>
      </c>
      <c r="Q118" t="s">
        <v>74</v>
      </c>
      <c r="R118" t="s">
        <v>74</v>
      </c>
      <c r="S118" t="s">
        <v>74</v>
      </c>
      <c r="T118" t="s">
        <v>2588</v>
      </c>
      <c r="U118" t="s">
        <v>2589</v>
      </c>
      <c r="V118" t="s">
        <v>2590</v>
      </c>
      <c r="W118" t="s">
        <v>2591</v>
      </c>
      <c r="X118" t="s">
        <v>2592</v>
      </c>
      <c r="Y118" t="s">
        <v>2593</v>
      </c>
      <c r="Z118" t="s">
        <v>2594</v>
      </c>
      <c r="AA118" t="s">
        <v>2595</v>
      </c>
      <c r="AB118" t="s">
        <v>2596</v>
      </c>
      <c r="AC118" t="s">
        <v>2597</v>
      </c>
      <c r="AD118" t="s">
        <v>2598</v>
      </c>
      <c r="AE118" t="s">
        <v>2599</v>
      </c>
      <c r="AF118" t="s">
        <v>74</v>
      </c>
      <c r="AG118">
        <v>56</v>
      </c>
      <c r="AH118">
        <v>40</v>
      </c>
      <c r="AI118">
        <v>43</v>
      </c>
      <c r="AJ118">
        <v>1</v>
      </c>
      <c r="AK118">
        <v>26</v>
      </c>
      <c r="AL118" t="s">
        <v>277</v>
      </c>
      <c r="AM118" t="s">
        <v>278</v>
      </c>
      <c r="AN118" t="s">
        <v>279</v>
      </c>
      <c r="AO118" t="s">
        <v>333</v>
      </c>
      <c r="AP118" t="s">
        <v>74</v>
      </c>
      <c r="AQ118" t="s">
        <v>74</v>
      </c>
      <c r="AR118" t="s">
        <v>335</v>
      </c>
      <c r="AS118" t="s">
        <v>336</v>
      </c>
      <c r="AT118" t="s">
        <v>2563</v>
      </c>
      <c r="AU118">
        <v>2018</v>
      </c>
      <c r="AV118">
        <v>188</v>
      </c>
      <c r="AW118" t="s">
        <v>74</v>
      </c>
      <c r="AX118" t="s">
        <v>74</v>
      </c>
      <c r="AY118" t="s">
        <v>74</v>
      </c>
      <c r="AZ118" t="s">
        <v>74</v>
      </c>
      <c r="BA118" t="s">
        <v>74</v>
      </c>
      <c r="BB118">
        <v>160</v>
      </c>
      <c r="BC118">
        <v>166</v>
      </c>
      <c r="BD118" t="s">
        <v>74</v>
      </c>
      <c r="BE118" t="s">
        <v>2600</v>
      </c>
      <c r="BF118" t="str">
        <f>HYPERLINK("http://dx.doi.org/10.1016/j.quascirev.2018.01.011","http://dx.doi.org/10.1016/j.quascirev.2018.01.011")</f>
        <v>http://dx.doi.org/10.1016/j.quascirev.2018.01.011</v>
      </c>
      <c r="BG118" t="s">
        <v>74</v>
      </c>
      <c r="BH118" t="s">
        <v>74</v>
      </c>
      <c r="BI118">
        <v>7</v>
      </c>
      <c r="BJ118" t="s">
        <v>338</v>
      </c>
      <c r="BK118" t="s">
        <v>101</v>
      </c>
      <c r="BL118" t="s">
        <v>339</v>
      </c>
      <c r="BM118" t="s">
        <v>2583</v>
      </c>
      <c r="BN118" t="s">
        <v>74</v>
      </c>
      <c r="BO118" t="s">
        <v>74</v>
      </c>
      <c r="BP118" t="s">
        <v>74</v>
      </c>
      <c r="BQ118" t="s">
        <v>74</v>
      </c>
      <c r="BR118" t="s">
        <v>105</v>
      </c>
      <c r="BS118" t="s">
        <v>2601</v>
      </c>
      <c r="BT118" t="str">
        <f>HYPERLINK("https%3A%2F%2Fwww.webofscience.com%2Fwos%2Fwoscc%2Ffull-record%2FWOS:000432770600013","View Full Record in Web of Science")</f>
        <v>View Full Record in Web of Science</v>
      </c>
    </row>
    <row r="119" spans="1:72" x14ac:dyDescent="0.15">
      <c r="A119" t="s">
        <v>72</v>
      </c>
      <c r="B119" t="s">
        <v>2602</v>
      </c>
      <c r="C119" t="s">
        <v>74</v>
      </c>
      <c r="D119" t="s">
        <v>74</v>
      </c>
      <c r="E119" t="s">
        <v>74</v>
      </c>
      <c r="F119" t="s">
        <v>2603</v>
      </c>
      <c r="G119" t="s">
        <v>74</v>
      </c>
      <c r="H119" t="s">
        <v>74</v>
      </c>
      <c r="I119" t="s">
        <v>2604</v>
      </c>
      <c r="J119" t="s">
        <v>2605</v>
      </c>
      <c r="K119" t="s">
        <v>74</v>
      </c>
      <c r="L119" t="s">
        <v>74</v>
      </c>
      <c r="M119" t="s">
        <v>78</v>
      </c>
      <c r="N119" t="s">
        <v>2606</v>
      </c>
      <c r="O119" t="s">
        <v>74</v>
      </c>
      <c r="P119" t="s">
        <v>74</v>
      </c>
      <c r="Q119" t="s">
        <v>74</v>
      </c>
      <c r="R119" t="s">
        <v>74</v>
      </c>
      <c r="S119" t="s">
        <v>74</v>
      </c>
      <c r="T119" t="s">
        <v>2607</v>
      </c>
      <c r="U119" t="s">
        <v>2608</v>
      </c>
      <c r="V119" t="s">
        <v>2609</v>
      </c>
      <c r="W119" t="s">
        <v>2610</v>
      </c>
      <c r="X119" t="s">
        <v>2611</v>
      </c>
      <c r="Y119" t="s">
        <v>2612</v>
      </c>
      <c r="Z119" t="s">
        <v>2613</v>
      </c>
      <c r="AA119" t="s">
        <v>2614</v>
      </c>
      <c r="AB119" t="s">
        <v>2615</v>
      </c>
      <c r="AC119" t="s">
        <v>2616</v>
      </c>
      <c r="AD119" t="s">
        <v>2617</v>
      </c>
      <c r="AE119" t="s">
        <v>2618</v>
      </c>
      <c r="AF119" t="s">
        <v>74</v>
      </c>
      <c r="AG119">
        <v>21</v>
      </c>
      <c r="AH119">
        <v>13</v>
      </c>
      <c r="AI119">
        <v>13</v>
      </c>
      <c r="AJ119">
        <v>0</v>
      </c>
      <c r="AK119">
        <v>9</v>
      </c>
      <c r="AL119" t="s">
        <v>2619</v>
      </c>
      <c r="AM119" t="s">
        <v>2536</v>
      </c>
      <c r="AN119" t="s">
        <v>2537</v>
      </c>
      <c r="AO119" t="s">
        <v>2620</v>
      </c>
      <c r="AP119" t="s">
        <v>2621</v>
      </c>
      <c r="AQ119" t="s">
        <v>74</v>
      </c>
      <c r="AR119" t="s">
        <v>2605</v>
      </c>
      <c r="AS119" t="s">
        <v>2622</v>
      </c>
      <c r="AT119" t="s">
        <v>2563</v>
      </c>
      <c r="AU119">
        <v>2018</v>
      </c>
      <c r="AV119" t="s">
        <v>74</v>
      </c>
      <c r="AW119">
        <v>758</v>
      </c>
      <c r="AX119" t="s">
        <v>74</v>
      </c>
      <c r="AY119" t="s">
        <v>74</v>
      </c>
      <c r="AZ119" t="s">
        <v>74</v>
      </c>
      <c r="BA119" t="s">
        <v>74</v>
      </c>
      <c r="BB119">
        <v>137</v>
      </c>
      <c r="BC119">
        <v>156</v>
      </c>
      <c r="BD119" t="s">
        <v>74</v>
      </c>
      <c r="BE119" t="s">
        <v>2623</v>
      </c>
      <c r="BF119" t="str">
        <f>HYPERLINK("http://dx.doi.org/10.3897/zookeys.758.23485","http://dx.doi.org/10.3897/zookeys.758.23485")</f>
        <v>http://dx.doi.org/10.3897/zookeys.758.23485</v>
      </c>
      <c r="BG119" t="s">
        <v>74</v>
      </c>
      <c r="BH119" t="s">
        <v>74</v>
      </c>
      <c r="BI119">
        <v>20</v>
      </c>
      <c r="BJ119" t="s">
        <v>2624</v>
      </c>
      <c r="BK119" t="s">
        <v>101</v>
      </c>
      <c r="BL119" t="s">
        <v>2624</v>
      </c>
      <c r="BM119" t="s">
        <v>2625</v>
      </c>
      <c r="BN119">
        <v>30150878</v>
      </c>
      <c r="BO119" t="s">
        <v>2293</v>
      </c>
      <c r="BP119" t="s">
        <v>74</v>
      </c>
      <c r="BQ119" t="s">
        <v>74</v>
      </c>
      <c r="BR119" t="s">
        <v>105</v>
      </c>
      <c r="BS119" t="s">
        <v>2626</v>
      </c>
      <c r="BT119" t="str">
        <f>HYPERLINK("https%3A%2F%2Fwww.webofscience.com%2Fwos%2Fwoscc%2Ffull-record%2FWOS:000432345200003","View Full Record in Web of Science")</f>
        <v>View Full Record in Web of Science</v>
      </c>
    </row>
    <row r="120" spans="1:72" x14ac:dyDescent="0.15">
      <c r="A120" t="s">
        <v>72</v>
      </c>
      <c r="B120" t="s">
        <v>2627</v>
      </c>
      <c r="C120" t="s">
        <v>74</v>
      </c>
      <c r="D120" t="s">
        <v>74</v>
      </c>
      <c r="E120" t="s">
        <v>74</v>
      </c>
      <c r="F120" t="s">
        <v>2628</v>
      </c>
      <c r="G120" t="s">
        <v>74</v>
      </c>
      <c r="H120" t="s">
        <v>74</v>
      </c>
      <c r="I120" t="s">
        <v>2629</v>
      </c>
      <c r="J120" t="s">
        <v>321</v>
      </c>
      <c r="K120" t="s">
        <v>74</v>
      </c>
      <c r="L120" t="s">
        <v>74</v>
      </c>
      <c r="M120" t="s">
        <v>78</v>
      </c>
      <c r="N120" t="s">
        <v>79</v>
      </c>
      <c r="O120" t="s">
        <v>74</v>
      </c>
      <c r="P120" t="s">
        <v>74</v>
      </c>
      <c r="Q120" t="s">
        <v>74</v>
      </c>
      <c r="R120" t="s">
        <v>74</v>
      </c>
      <c r="S120" t="s">
        <v>74</v>
      </c>
      <c r="T120" t="s">
        <v>2630</v>
      </c>
      <c r="U120" t="s">
        <v>2631</v>
      </c>
      <c r="V120" t="s">
        <v>2632</v>
      </c>
      <c r="W120" t="s">
        <v>2633</v>
      </c>
      <c r="X120" t="s">
        <v>2634</v>
      </c>
      <c r="Y120" t="s">
        <v>2635</v>
      </c>
      <c r="Z120" t="s">
        <v>2636</v>
      </c>
      <c r="AA120" t="s">
        <v>2637</v>
      </c>
      <c r="AB120" t="s">
        <v>2638</v>
      </c>
      <c r="AC120" t="s">
        <v>2639</v>
      </c>
      <c r="AD120" t="s">
        <v>2640</v>
      </c>
      <c r="AE120" t="s">
        <v>2641</v>
      </c>
      <c r="AF120" t="s">
        <v>74</v>
      </c>
      <c r="AG120">
        <v>80</v>
      </c>
      <c r="AH120">
        <v>10</v>
      </c>
      <c r="AI120">
        <v>10</v>
      </c>
      <c r="AJ120">
        <v>2</v>
      </c>
      <c r="AK120">
        <v>13</v>
      </c>
      <c r="AL120" t="s">
        <v>277</v>
      </c>
      <c r="AM120" t="s">
        <v>278</v>
      </c>
      <c r="AN120" t="s">
        <v>279</v>
      </c>
      <c r="AO120" t="s">
        <v>333</v>
      </c>
      <c r="AP120" t="s">
        <v>74</v>
      </c>
      <c r="AQ120" t="s">
        <v>74</v>
      </c>
      <c r="AR120" t="s">
        <v>335</v>
      </c>
      <c r="AS120" t="s">
        <v>336</v>
      </c>
      <c r="AT120" t="s">
        <v>2563</v>
      </c>
      <c r="AU120">
        <v>2018</v>
      </c>
      <c r="AV120">
        <v>188</v>
      </c>
      <c r="AW120" t="s">
        <v>74</v>
      </c>
      <c r="AX120" t="s">
        <v>74</v>
      </c>
      <c r="AY120" t="s">
        <v>74</v>
      </c>
      <c r="AZ120" t="s">
        <v>74</v>
      </c>
      <c r="BA120" t="s">
        <v>74</v>
      </c>
      <c r="BB120">
        <v>104</v>
      </c>
      <c r="BC120">
        <v>120</v>
      </c>
      <c r="BD120" t="s">
        <v>74</v>
      </c>
      <c r="BE120" t="s">
        <v>2642</v>
      </c>
      <c r="BF120" t="str">
        <f>HYPERLINK("http://dx.doi.org/10.1016/j.quascirev.2018.03.015","http://dx.doi.org/10.1016/j.quascirev.2018.03.015")</f>
        <v>http://dx.doi.org/10.1016/j.quascirev.2018.03.015</v>
      </c>
      <c r="BG120" t="s">
        <v>74</v>
      </c>
      <c r="BH120" t="s">
        <v>74</v>
      </c>
      <c r="BI120">
        <v>17</v>
      </c>
      <c r="BJ120" t="s">
        <v>338</v>
      </c>
      <c r="BK120" t="s">
        <v>101</v>
      </c>
      <c r="BL120" t="s">
        <v>339</v>
      </c>
      <c r="BM120" t="s">
        <v>2583</v>
      </c>
      <c r="BN120" t="s">
        <v>74</v>
      </c>
      <c r="BO120" t="s">
        <v>74</v>
      </c>
      <c r="BP120" t="s">
        <v>74</v>
      </c>
      <c r="BQ120" t="s">
        <v>74</v>
      </c>
      <c r="BR120" t="s">
        <v>105</v>
      </c>
      <c r="BS120" t="s">
        <v>2643</v>
      </c>
      <c r="BT120" t="str">
        <f>HYPERLINK("https%3A%2F%2Fwww.webofscience.com%2Fwos%2Fwoscc%2Ffull-record%2FWOS:000432770600009","View Full Record in Web of Science")</f>
        <v>View Full Record in Web of Science</v>
      </c>
    </row>
    <row r="121" spans="1:72" x14ac:dyDescent="0.15">
      <c r="A121" t="s">
        <v>72</v>
      </c>
      <c r="B121" t="s">
        <v>2644</v>
      </c>
      <c r="C121" t="s">
        <v>74</v>
      </c>
      <c r="D121" t="s">
        <v>74</v>
      </c>
      <c r="E121" t="s">
        <v>74</v>
      </c>
      <c r="F121" t="s">
        <v>2645</v>
      </c>
      <c r="G121" t="s">
        <v>74</v>
      </c>
      <c r="H121" t="s">
        <v>74</v>
      </c>
      <c r="I121" t="s">
        <v>2646</v>
      </c>
      <c r="J121" t="s">
        <v>321</v>
      </c>
      <c r="K121" t="s">
        <v>74</v>
      </c>
      <c r="L121" t="s">
        <v>74</v>
      </c>
      <c r="M121" t="s">
        <v>78</v>
      </c>
      <c r="N121" t="s">
        <v>79</v>
      </c>
      <c r="O121" t="s">
        <v>74</v>
      </c>
      <c r="P121" t="s">
        <v>74</v>
      </c>
      <c r="Q121" t="s">
        <v>74</v>
      </c>
      <c r="R121" t="s">
        <v>74</v>
      </c>
      <c r="S121" t="s">
        <v>74</v>
      </c>
      <c r="T121" t="s">
        <v>2647</v>
      </c>
      <c r="U121" t="s">
        <v>2648</v>
      </c>
      <c r="V121" t="s">
        <v>2649</v>
      </c>
      <c r="W121" t="s">
        <v>2650</v>
      </c>
      <c r="X121" t="s">
        <v>2651</v>
      </c>
      <c r="Y121" t="s">
        <v>2652</v>
      </c>
      <c r="Z121" t="s">
        <v>2653</v>
      </c>
      <c r="AA121" t="s">
        <v>2654</v>
      </c>
      <c r="AB121" t="s">
        <v>2655</v>
      </c>
      <c r="AC121" t="s">
        <v>2656</v>
      </c>
      <c r="AD121" t="s">
        <v>2657</v>
      </c>
      <c r="AE121" t="s">
        <v>2658</v>
      </c>
      <c r="AF121" t="s">
        <v>74</v>
      </c>
      <c r="AG121">
        <v>63</v>
      </c>
      <c r="AH121">
        <v>49</v>
      </c>
      <c r="AI121">
        <v>54</v>
      </c>
      <c r="AJ121">
        <v>3</v>
      </c>
      <c r="AK121">
        <v>39</v>
      </c>
      <c r="AL121" t="s">
        <v>277</v>
      </c>
      <c r="AM121" t="s">
        <v>278</v>
      </c>
      <c r="AN121" t="s">
        <v>279</v>
      </c>
      <c r="AO121" t="s">
        <v>333</v>
      </c>
      <c r="AP121" t="s">
        <v>74</v>
      </c>
      <c r="AQ121" t="s">
        <v>74</v>
      </c>
      <c r="AR121" t="s">
        <v>335</v>
      </c>
      <c r="AS121" t="s">
        <v>336</v>
      </c>
      <c r="AT121" t="s">
        <v>2563</v>
      </c>
      <c r="AU121">
        <v>2018</v>
      </c>
      <c r="AV121">
        <v>188</v>
      </c>
      <c r="AW121" t="s">
        <v>74</v>
      </c>
      <c r="AX121" t="s">
        <v>74</v>
      </c>
      <c r="AY121" t="s">
        <v>74</v>
      </c>
      <c r="AZ121" t="s">
        <v>74</v>
      </c>
      <c r="BA121" t="s">
        <v>74</v>
      </c>
      <c r="BB121">
        <v>121</v>
      </c>
      <c r="BC121">
        <v>135</v>
      </c>
      <c r="BD121" t="s">
        <v>74</v>
      </c>
      <c r="BE121" t="s">
        <v>2659</v>
      </c>
      <c r="BF121" t="str">
        <f>HYPERLINK("http://dx.doi.org/10.1016/j.quascirev.2018.03.025","http://dx.doi.org/10.1016/j.quascirev.2018.03.025")</f>
        <v>http://dx.doi.org/10.1016/j.quascirev.2018.03.025</v>
      </c>
      <c r="BG121" t="s">
        <v>74</v>
      </c>
      <c r="BH121" t="s">
        <v>74</v>
      </c>
      <c r="BI121">
        <v>15</v>
      </c>
      <c r="BJ121" t="s">
        <v>338</v>
      </c>
      <c r="BK121" t="s">
        <v>101</v>
      </c>
      <c r="BL121" t="s">
        <v>339</v>
      </c>
      <c r="BM121" t="s">
        <v>2583</v>
      </c>
      <c r="BN121" t="s">
        <v>74</v>
      </c>
      <c r="BO121" t="s">
        <v>2660</v>
      </c>
      <c r="BP121" t="s">
        <v>74</v>
      </c>
      <c r="BQ121" t="s">
        <v>74</v>
      </c>
      <c r="BR121" t="s">
        <v>105</v>
      </c>
      <c r="BS121" t="s">
        <v>2661</v>
      </c>
      <c r="BT121" t="str">
        <f>HYPERLINK("https%3A%2F%2Fwww.webofscience.com%2Fwos%2Fwoscc%2Ffull-record%2FWOS:000432770600010","View Full Record in Web of Science")</f>
        <v>View Full Record in Web of Science</v>
      </c>
    </row>
    <row r="122" spans="1:72" x14ac:dyDescent="0.15">
      <c r="A122" t="s">
        <v>72</v>
      </c>
      <c r="B122" t="s">
        <v>2662</v>
      </c>
      <c r="C122" t="s">
        <v>74</v>
      </c>
      <c r="D122" t="s">
        <v>74</v>
      </c>
      <c r="E122" t="s">
        <v>74</v>
      </c>
      <c r="F122" t="s">
        <v>2663</v>
      </c>
      <c r="G122" t="s">
        <v>74</v>
      </c>
      <c r="H122" t="s">
        <v>74</v>
      </c>
      <c r="I122" t="s">
        <v>2664</v>
      </c>
      <c r="J122" t="s">
        <v>2322</v>
      </c>
      <c r="K122" t="s">
        <v>74</v>
      </c>
      <c r="L122" t="s">
        <v>74</v>
      </c>
      <c r="M122" t="s">
        <v>78</v>
      </c>
      <c r="N122" t="s">
        <v>79</v>
      </c>
      <c r="O122" t="s">
        <v>74</v>
      </c>
      <c r="P122" t="s">
        <v>74</v>
      </c>
      <c r="Q122" t="s">
        <v>74</v>
      </c>
      <c r="R122" t="s">
        <v>74</v>
      </c>
      <c r="S122" t="s">
        <v>74</v>
      </c>
      <c r="T122" t="s">
        <v>74</v>
      </c>
      <c r="U122" t="s">
        <v>2665</v>
      </c>
      <c r="V122" t="s">
        <v>2666</v>
      </c>
      <c r="W122" t="s">
        <v>2667</v>
      </c>
      <c r="X122" t="s">
        <v>2668</v>
      </c>
      <c r="Y122" t="s">
        <v>2669</v>
      </c>
      <c r="Z122" t="s">
        <v>2670</v>
      </c>
      <c r="AA122" t="s">
        <v>2671</v>
      </c>
      <c r="AB122" t="s">
        <v>2672</v>
      </c>
      <c r="AC122" t="s">
        <v>2673</v>
      </c>
      <c r="AD122" t="s">
        <v>2674</v>
      </c>
      <c r="AE122" t="s">
        <v>2675</v>
      </c>
      <c r="AF122" t="s">
        <v>74</v>
      </c>
      <c r="AG122">
        <v>89</v>
      </c>
      <c r="AH122">
        <v>46</v>
      </c>
      <c r="AI122">
        <v>48</v>
      </c>
      <c r="AJ122">
        <v>0</v>
      </c>
      <c r="AK122">
        <v>13</v>
      </c>
      <c r="AL122" t="s">
        <v>1563</v>
      </c>
      <c r="AM122" t="s">
        <v>1564</v>
      </c>
      <c r="AN122" t="s">
        <v>1565</v>
      </c>
      <c r="AO122" t="s">
        <v>2334</v>
      </c>
      <c r="AP122" t="s">
        <v>2335</v>
      </c>
      <c r="AQ122" t="s">
        <v>74</v>
      </c>
      <c r="AR122" t="s">
        <v>2322</v>
      </c>
      <c r="AS122" t="s">
        <v>2336</v>
      </c>
      <c r="AT122" t="s">
        <v>2563</v>
      </c>
      <c r="AU122">
        <v>2018</v>
      </c>
      <c r="AV122">
        <v>15</v>
      </c>
      <c r="AW122">
        <v>9</v>
      </c>
      <c r="AX122" t="s">
        <v>74</v>
      </c>
      <c r="AY122" t="s">
        <v>74</v>
      </c>
      <c r="AZ122" t="s">
        <v>74</v>
      </c>
      <c r="BA122" t="s">
        <v>74</v>
      </c>
      <c r="BB122">
        <v>2851</v>
      </c>
      <c r="BC122">
        <v>2872</v>
      </c>
      <c r="BD122" t="s">
        <v>74</v>
      </c>
      <c r="BE122" t="s">
        <v>2676</v>
      </c>
      <c r="BF122" t="str">
        <f>HYPERLINK("http://dx.doi.org/10.5194/bg-15-2851-2018","http://dx.doi.org/10.5194/bg-15-2851-2018")</f>
        <v>http://dx.doi.org/10.5194/bg-15-2851-2018</v>
      </c>
      <c r="BG122" t="s">
        <v>74</v>
      </c>
      <c r="BH122" t="s">
        <v>74</v>
      </c>
      <c r="BI122">
        <v>22</v>
      </c>
      <c r="BJ122" t="s">
        <v>803</v>
      </c>
      <c r="BK122" t="s">
        <v>101</v>
      </c>
      <c r="BL122" t="s">
        <v>804</v>
      </c>
      <c r="BM122" t="s">
        <v>2677</v>
      </c>
      <c r="BN122" t="s">
        <v>74</v>
      </c>
      <c r="BO122" t="s">
        <v>830</v>
      </c>
      <c r="BP122" t="s">
        <v>74</v>
      </c>
      <c r="BQ122" t="s">
        <v>74</v>
      </c>
      <c r="BR122" t="s">
        <v>105</v>
      </c>
      <c r="BS122" t="s">
        <v>2678</v>
      </c>
      <c r="BT122" t="str">
        <f>HYPERLINK("https%3A%2F%2Fwww.webofscience.com%2Fwos%2Fwoscc%2Ffull-record%2FWOS:000432206000001","View Full Record in Web of Science")</f>
        <v>View Full Record in Web of Science</v>
      </c>
    </row>
    <row r="123" spans="1:72" x14ac:dyDescent="0.15">
      <c r="A123" t="s">
        <v>72</v>
      </c>
      <c r="B123" t="s">
        <v>2679</v>
      </c>
      <c r="C123" t="s">
        <v>74</v>
      </c>
      <c r="D123" t="s">
        <v>74</v>
      </c>
      <c r="E123" t="s">
        <v>74</v>
      </c>
      <c r="F123" t="s">
        <v>2680</v>
      </c>
      <c r="G123" t="s">
        <v>74</v>
      </c>
      <c r="H123" t="s">
        <v>74</v>
      </c>
      <c r="I123" t="s">
        <v>2681</v>
      </c>
      <c r="J123" t="s">
        <v>1576</v>
      </c>
      <c r="K123" t="s">
        <v>74</v>
      </c>
      <c r="L123" t="s">
        <v>74</v>
      </c>
      <c r="M123" t="s">
        <v>78</v>
      </c>
      <c r="N123" t="s">
        <v>79</v>
      </c>
      <c r="O123" t="s">
        <v>74</v>
      </c>
      <c r="P123" t="s">
        <v>74</v>
      </c>
      <c r="Q123" t="s">
        <v>74</v>
      </c>
      <c r="R123" t="s">
        <v>74</v>
      </c>
      <c r="S123" t="s">
        <v>74</v>
      </c>
      <c r="T123" t="s">
        <v>74</v>
      </c>
      <c r="U123" t="s">
        <v>2682</v>
      </c>
      <c r="V123" t="s">
        <v>2683</v>
      </c>
      <c r="W123" t="s">
        <v>2684</v>
      </c>
      <c r="X123" t="s">
        <v>2685</v>
      </c>
      <c r="Y123" t="s">
        <v>2686</v>
      </c>
      <c r="Z123" t="s">
        <v>2687</v>
      </c>
      <c r="AA123" t="s">
        <v>2688</v>
      </c>
      <c r="AB123" t="s">
        <v>2689</v>
      </c>
      <c r="AC123" t="s">
        <v>2690</v>
      </c>
      <c r="AD123" t="s">
        <v>2691</v>
      </c>
      <c r="AE123" t="s">
        <v>2692</v>
      </c>
      <c r="AF123" t="s">
        <v>74</v>
      </c>
      <c r="AG123">
        <v>33</v>
      </c>
      <c r="AH123">
        <v>8</v>
      </c>
      <c r="AI123">
        <v>13</v>
      </c>
      <c r="AJ123">
        <v>3</v>
      </c>
      <c r="AK123">
        <v>17</v>
      </c>
      <c r="AL123" t="s">
        <v>1563</v>
      </c>
      <c r="AM123" t="s">
        <v>1564</v>
      </c>
      <c r="AN123" t="s">
        <v>1565</v>
      </c>
      <c r="AO123" t="s">
        <v>1588</v>
      </c>
      <c r="AP123" t="s">
        <v>1589</v>
      </c>
      <c r="AQ123" t="s">
        <v>74</v>
      </c>
      <c r="AR123" t="s">
        <v>1576</v>
      </c>
      <c r="AS123" t="s">
        <v>1590</v>
      </c>
      <c r="AT123" t="s">
        <v>2563</v>
      </c>
      <c r="AU123">
        <v>2018</v>
      </c>
      <c r="AV123">
        <v>12</v>
      </c>
      <c r="AW123">
        <v>5</v>
      </c>
      <c r="AX123" t="s">
        <v>74</v>
      </c>
      <c r="AY123" t="s">
        <v>74</v>
      </c>
      <c r="AZ123" t="s">
        <v>74</v>
      </c>
      <c r="BA123" t="s">
        <v>74</v>
      </c>
      <c r="BB123">
        <v>1651</v>
      </c>
      <c r="BC123">
        <v>1663</v>
      </c>
      <c r="BD123" t="s">
        <v>74</v>
      </c>
      <c r="BE123" t="s">
        <v>2693</v>
      </c>
      <c r="BF123" t="str">
        <f>HYPERLINK("http://dx.doi.org/10.5194/tc-12-1651-2018","http://dx.doi.org/10.5194/tc-12-1651-2018")</f>
        <v>http://dx.doi.org/10.5194/tc-12-1651-2018</v>
      </c>
      <c r="BG123" t="s">
        <v>74</v>
      </c>
      <c r="BH123" t="s">
        <v>74</v>
      </c>
      <c r="BI123">
        <v>13</v>
      </c>
      <c r="BJ123" t="s">
        <v>338</v>
      </c>
      <c r="BK123" t="s">
        <v>101</v>
      </c>
      <c r="BL123" t="s">
        <v>339</v>
      </c>
      <c r="BM123" t="s">
        <v>2694</v>
      </c>
      <c r="BN123" t="s">
        <v>74</v>
      </c>
      <c r="BO123" t="s">
        <v>2695</v>
      </c>
      <c r="BP123" t="s">
        <v>74</v>
      </c>
      <c r="BQ123" t="s">
        <v>74</v>
      </c>
      <c r="BR123" t="s">
        <v>105</v>
      </c>
      <c r="BS123" t="s">
        <v>2696</v>
      </c>
      <c r="BT123" t="str">
        <f>HYPERLINK("https%3A%2F%2Fwww.webofscience.com%2Fwos%2Fwoscc%2Ffull-record%2FWOS:000432208000001","View Full Record in Web of Science")</f>
        <v>View Full Record in Web of Science</v>
      </c>
    </row>
    <row r="124" spans="1:72" x14ac:dyDescent="0.15">
      <c r="A124" t="s">
        <v>72</v>
      </c>
      <c r="B124" t="s">
        <v>2697</v>
      </c>
      <c r="C124" t="s">
        <v>74</v>
      </c>
      <c r="D124" t="s">
        <v>74</v>
      </c>
      <c r="E124" t="s">
        <v>74</v>
      </c>
      <c r="F124" t="s">
        <v>2698</v>
      </c>
      <c r="G124" t="s">
        <v>74</v>
      </c>
      <c r="H124" t="s">
        <v>74</v>
      </c>
      <c r="I124" t="s">
        <v>2699</v>
      </c>
      <c r="J124" t="s">
        <v>1651</v>
      </c>
      <c r="K124" t="s">
        <v>74</v>
      </c>
      <c r="L124" t="s">
        <v>74</v>
      </c>
      <c r="M124" t="s">
        <v>78</v>
      </c>
      <c r="N124" t="s">
        <v>79</v>
      </c>
      <c r="O124" t="s">
        <v>74</v>
      </c>
      <c r="P124" t="s">
        <v>74</v>
      </c>
      <c r="Q124" t="s">
        <v>74</v>
      </c>
      <c r="R124" t="s">
        <v>74</v>
      </c>
      <c r="S124" t="s">
        <v>74</v>
      </c>
      <c r="T124" t="s">
        <v>74</v>
      </c>
      <c r="U124" t="s">
        <v>2700</v>
      </c>
      <c r="V124" t="s">
        <v>2701</v>
      </c>
      <c r="W124" t="s">
        <v>2702</v>
      </c>
      <c r="X124" t="s">
        <v>2703</v>
      </c>
      <c r="Y124" t="s">
        <v>2704</v>
      </c>
      <c r="Z124" t="s">
        <v>2705</v>
      </c>
      <c r="AA124" t="s">
        <v>2706</v>
      </c>
      <c r="AB124" t="s">
        <v>2707</v>
      </c>
      <c r="AC124" t="s">
        <v>2708</v>
      </c>
      <c r="AD124" t="s">
        <v>2708</v>
      </c>
      <c r="AE124" t="s">
        <v>2709</v>
      </c>
      <c r="AF124" t="s">
        <v>74</v>
      </c>
      <c r="AG124">
        <v>34</v>
      </c>
      <c r="AH124">
        <v>21</v>
      </c>
      <c r="AI124">
        <v>23</v>
      </c>
      <c r="AJ124">
        <v>3</v>
      </c>
      <c r="AK124">
        <v>22</v>
      </c>
      <c r="AL124" t="s">
        <v>1663</v>
      </c>
      <c r="AM124" t="s">
        <v>1664</v>
      </c>
      <c r="AN124" t="s">
        <v>1665</v>
      </c>
      <c r="AO124" t="s">
        <v>1666</v>
      </c>
      <c r="AP124" t="s">
        <v>74</v>
      </c>
      <c r="AQ124" t="s">
        <v>74</v>
      </c>
      <c r="AR124" t="s">
        <v>1667</v>
      </c>
      <c r="AS124" t="s">
        <v>1668</v>
      </c>
      <c r="AT124" t="s">
        <v>2563</v>
      </c>
      <c r="AU124">
        <v>2018</v>
      </c>
      <c r="AV124">
        <v>8</v>
      </c>
      <c r="AW124" t="s">
        <v>74</v>
      </c>
      <c r="AX124" t="s">
        <v>74</v>
      </c>
      <c r="AY124" t="s">
        <v>74</v>
      </c>
      <c r="AZ124" t="s">
        <v>74</v>
      </c>
      <c r="BA124" t="s">
        <v>74</v>
      </c>
      <c r="BB124" t="s">
        <v>74</v>
      </c>
      <c r="BC124" t="s">
        <v>74</v>
      </c>
      <c r="BD124">
        <v>7552</v>
      </c>
      <c r="BE124" t="s">
        <v>2710</v>
      </c>
      <c r="BF124" t="str">
        <f>HYPERLINK("http://dx.doi.org/10.1038/s41598-018-25522-5","http://dx.doi.org/10.1038/s41598-018-25522-5")</f>
        <v>http://dx.doi.org/10.1038/s41598-018-25522-5</v>
      </c>
      <c r="BG124" t="s">
        <v>74</v>
      </c>
      <c r="BH124" t="s">
        <v>74</v>
      </c>
      <c r="BI124">
        <v>10</v>
      </c>
      <c r="BJ124" t="s">
        <v>1670</v>
      </c>
      <c r="BK124" t="s">
        <v>101</v>
      </c>
      <c r="BL124" t="s">
        <v>1671</v>
      </c>
      <c r="BM124" t="s">
        <v>2711</v>
      </c>
      <c r="BN124">
        <v>29765055</v>
      </c>
      <c r="BO124" t="s">
        <v>695</v>
      </c>
      <c r="BP124" t="s">
        <v>74</v>
      </c>
      <c r="BQ124" t="s">
        <v>74</v>
      </c>
      <c r="BR124" t="s">
        <v>105</v>
      </c>
      <c r="BS124" t="s">
        <v>2712</v>
      </c>
      <c r="BT124" t="str">
        <f>HYPERLINK("https%3A%2F%2Fwww.webofscience.com%2Fwos%2Fwoscc%2Ffull-record%2FWOS:000432108300014","View Full Record in Web of Science")</f>
        <v>View Full Record in Web of Science</v>
      </c>
    </row>
    <row r="125" spans="1:72" x14ac:dyDescent="0.15">
      <c r="A125" t="s">
        <v>72</v>
      </c>
      <c r="B125" t="s">
        <v>2713</v>
      </c>
      <c r="C125" t="s">
        <v>74</v>
      </c>
      <c r="D125" t="s">
        <v>74</v>
      </c>
      <c r="E125" t="s">
        <v>74</v>
      </c>
      <c r="F125" t="s">
        <v>2714</v>
      </c>
      <c r="G125" t="s">
        <v>74</v>
      </c>
      <c r="H125" t="s">
        <v>74</v>
      </c>
      <c r="I125" t="s">
        <v>2715</v>
      </c>
      <c r="J125" t="s">
        <v>1651</v>
      </c>
      <c r="K125" t="s">
        <v>74</v>
      </c>
      <c r="L125" t="s">
        <v>74</v>
      </c>
      <c r="M125" t="s">
        <v>78</v>
      </c>
      <c r="N125" t="s">
        <v>79</v>
      </c>
      <c r="O125" t="s">
        <v>74</v>
      </c>
      <c r="P125" t="s">
        <v>74</v>
      </c>
      <c r="Q125" t="s">
        <v>74</v>
      </c>
      <c r="R125" t="s">
        <v>74</v>
      </c>
      <c r="S125" t="s">
        <v>74</v>
      </c>
      <c r="T125" t="s">
        <v>74</v>
      </c>
      <c r="U125" t="s">
        <v>2716</v>
      </c>
      <c r="V125" t="s">
        <v>2717</v>
      </c>
      <c r="W125" t="s">
        <v>2718</v>
      </c>
      <c r="X125" t="s">
        <v>2719</v>
      </c>
      <c r="Y125" t="s">
        <v>2720</v>
      </c>
      <c r="Z125" t="s">
        <v>2721</v>
      </c>
      <c r="AA125" t="s">
        <v>2722</v>
      </c>
      <c r="AB125" t="s">
        <v>74</v>
      </c>
      <c r="AC125" t="s">
        <v>2723</v>
      </c>
      <c r="AD125" t="s">
        <v>2724</v>
      </c>
      <c r="AE125" t="s">
        <v>2725</v>
      </c>
      <c r="AF125" t="s">
        <v>74</v>
      </c>
      <c r="AG125">
        <v>55</v>
      </c>
      <c r="AH125">
        <v>56</v>
      </c>
      <c r="AI125">
        <v>61</v>
      </c>
      <c r="AJ125">
        <v>0</v>
      </c>
      <c r="AK125">
        <v>13</v>
      </c>
      <c r="AL125" t="s">
        <v>1663</v>
      </c>
      <c r="AM125" t="s">
        <v>1664</v>
      </c>
      <c r="AN125" t="s">
        <v>1665</v>
      </c>
      <c r="AO125" t="s">
        <v>1666</v>
      </c>
      <c r="AP125" t="s">
        <v>74</v>
      </c>
      <c r="AQ125" t="s">
        <v>74</v>
      </c>
      <c r="AR125" t="s">
        <v>1667</v>
      </c>
      <c r="AS125" t="s">
        <v>1668</v>
      </c>
      <c r="AT125" t="s">
        <v>2563</v>
      </c>
      <c r="AU125">
        <v>2018</v>
      </c>
      <c r="AV125">
        <v>8</v>
      </c>
      <c r="AW125" t="s">
        <v>74</v>
      </c>
      <c r="AX125" t="s">
        <v>74</v>
      </c>
      <c r="AY125" t="s">
        <v>74</v>
      </c>
      <c r="AZ125" t="s">
        <v>74</v>
      </c>
      <c r="BA125" t="s">
        <v>74</v>
      </c>
      <c r="BB125" t="s">
        <v>74</v>
      </c>
      <c r="BC125" t="s">
        <v>74</v>
      </c>
      <c r="BD125">
        <v>7579</v>
      </c>
      <c r="BE125" t="s">
        <v>2726</v>
      </c>
      <c r="BF125" t="str">
        <f>HYPERLINK("http://dx.doi.org/10.1038/s41598-018-25742-9","http://dx.doi.org/10.1038/s41598-018-25742-9")</f>
        <v>http://dx.doi.org/10.1038/s41598-018-25742-9</v>
      </c>
      <c r="BG125" t="s">
        <v>74</v>
      </c>
      <c r="BH125" t="s">
        <v>74</v>
      </c>
      <c r="BI125">
        <v>9</v>
      </c>
      <c r="BJ125" t="s">
        <v>1670</v>
      </c>
      <c r="BK125" t="s">
        <v>101</v>
      </c>
      <c r="BL125" t="s">
        <v>1671</v>
      </c>
      <c r="BM125" t="s">
        <v>2727</v>
      </c>
      <c r="BN125">
        <v>29765085</v>
      </c>
      <c r="BO125" t="s">
        <v>764</v>
      </c>
      <c r="BP125" t="s">
        <v>74</v>
      </c>
      <c r="BQ125" t="s">
        <v>74</v>
      </c>
      <c r="BR125" t="s">
        <v>105</v>
      </c>
      <c r="BS125" t="s">
        <v>2728</v>
      </c>
      <c r="BT125" t="str">
        <f>HYPERLINK("https%3A%2F%2Fwww.webofscience.com%2Fwos%2Fwoscc%2Ffull-record%2FWOS:000432108700025","View Full Record in Web of Science")</f>
        <v>View Full Record in Web of Science</v>
      </c>
    </row>
    <row r="126" spans="1:72" x14ac:dyDescent="0.15">
      <c r="A126" t="s">
        <v>72</v>
      </c>
      <c r="B126" t="s">
        <v>2729</v>
      </c>
      <c r="C126" t="s">
        <v>74</v>
      </c>
      <c r="D126" t="s">
        <v>74</v>
      </c>
      <c r="E126" t="s">
        <v>74</v>
      </c>
      <c r="F126" t="s">
        <v>2730</v>
      </c>
      <c r="G126" t="s">
        <v>74</v>
      </c>
      <c r="H126" t="s">
        <v>74</v>
      </c>
      <c r="I126" t="s">
        <v>2731</v>
      </c>
      <c r="J126" t="s">
        <v>927</v>
      </c>
      <c r="K126" t="s">
        <v>74</v>
      </c>
      <c r="L126" t="s">
        <v>74</v>
      </c>
      <c r="M126" t="s">
        <v>78</v>
      </c>
      <c r="N126" t="s">
        <v>79</v>
      </c>
      <c r="O126" t="s">
        <v>74</v>
      </c>
      <c r="P126" t="s">
        <v>74</v>
      </c>
      <c r="Q126" t="s">
        <v>74</v>
      </c>
      <c r="R126" t="s">
        <v>74</v>
      </c>
      <c r="S126" t="s">
        <v>74</v>
      </c>
      <c r="T126" t="s">
        <v>2732</v>
      </c>
      <c r="U126" t="s">
        <v>2733</v>
      </c>
      <c r="V126" t="s">
        <v>2734</v>
      </c>
      <c r="W126" t="s">
        <v>2735</v>
      </c>
      <c r="X126" t="s">
        <v>2736</v>
      </c>
      <c r="Y126" t="s">
        <v>2737</v>
      </c>
      <c r="Z126" t="s">
        <v>2738</v>
      </c>
      <c r="AA126" t="s">
        <v>2739</v>
      </c>
      <c r="AB126" t="s">
        <v>2740</v>
      </c>
      <c r="AC126" t="s">
        <v>2741</v>
      </c>
      <c r="AD126" t="s">
        <v>2742</v>
      </c>
      <c r="AE126" t="s">
        <v>2743</v>
      </c>
      <c r="AF126" t="s">
        <v>74</v>
      </c>
      <c r="AG126">
        <v>76</v>
      </c>
      <c r="AH126">
        <v>15</v>
      </c>
      <c r="AI126">
        <v>16</v>
      </c>
      <c r="AJ126">
        <v>0</v>
      </c>
      <c r="AK126">
        <v>5</v>
      </c>
      <c r="AL126" t="s">
        <v>914</v>
      </c>
      <c r="AM126" t="s">
        <v>452</v>
      </c>
      <c r="AN126" t="s">
        <v>915</v>
      </c>
      <c r="AO126" t="s">
        <v>940</v>
      </c>
      <c r="AP126" t="s">
        <v>941</v>
      </c>
      <c r="AQ126" t="s">
        <v>74</v>
      </c>
      <c r="AR126" t="s">
        <v>942</v>
      </c>
      <c r="AS126" t="s">
        <v>943</v>
      </c>
      <c r="AT126" t="s">
        <v>2563</v>
      </c>
      <c r="AU126">
        <v>2018</v>
      </c>
      <c r="AV126">
        <v>490</v>
      </c>
      <c r="AW126" t="s">
        <v>74</v>
      </c>
      <c r="AX126" t="s">
        <v>74</v>
      </c>
      <c r="AY126" t="s">
        <v>74</v>
      </c>
      <c r="AZ126" t="s">
        <v>74</v>
      </c>
      <c r="BA126" t="s">
        <v>74</v>
      </c>
      <c r="BB126">
        <v>51</v>
      </c>
      <c r="BC126">
        <v>61</v>
      </c>
      <c r="BD126" t="s">
        <v>74</v>
      </c>
      <c r="BE126" t="s">
        <v>2744</v>
      </c>
      <c r="BF126" t="str">
        <f>HYPERLINK("http://dx.doi.org/10.1016/j.epsl.2018.03.006","http://dx.doi.org/10.1016/j.epsl.2018.03.006")</f>
        <v>http://dx.doi.org/10.1016/j.epsl.2018.03.006</v>
      </c>
      <c r="BG126" t="s">
        <v>74</v>
      </c>
      <c r="BH126" t="s">
        <v>74</v>
      </c>
      <c r="BI126">
        <v>11</v>
      </c>
      <c r="BJ126" t="s">
        <v>260</v>
      </c>
      <c r="BK126" t="s">
        <v>101</v>
      </c>
      <c r="BL126" t="s">
        <v>260</v>
      </c>
      <c r="BM126" t="s">
        <v>2745</v>
      </c>
      <c r="BN126" t="s">
        <v>74</v>
      </c>
      <c r="BO126" t="s">
        <v>2746</v>
      </c>
      <c r="BP126" t="s">
        <v>74</v>
      </c>
      <c r="BQ126" t="s">
        <v>74</v>
      </c>
      <c r="BR126" t="s">
        <v>105</v>
      </c>
      <c r="BS126" t="s">
        <v>2747</v>
      </c>
      <c r="BT126" t="str">
        <f>HYPERLINK("https%3A%2F%2Fwww.webofscience.com%2Fwos%2Fwoscc%2Ffull-record%2FWOS:000430520600006","View Full Record in Web of Science")</f>
        <v>View Full Record in Web of Science</v>
      </c>
    </row>
    <row r="127" spans="1:72" x14ac:dyDescent="0.15">
      <c r="A127" t="s">
        <v>72</v>
      </c>
      <c r="B127" t="s">
        <v>2748</v>
      </c>
      <c r="C127" t="s">
        <v>74</v>
      </c>
      <c r="D127" t="s">
        <v>74</v>
      </c>
      <c r="E127" t="s">
        <v>74</v>
      </c>
      <c r="F127" t="s">
        <v>2749</v>
      </c>
      <c r="G127" t="s">
        <v>74</v>
      </c>
      <c r="H127" t="s">
        <v>74</v>
      </c>
      <c r="I127" t="s">
        <v>2750</v>
      </c>
      <c r="J127" t="s">
        <v>2751</v>
      </c>
      <c r="K127" t="s">
        <v>74</v>
      </c>
      <c r="L127" t="s">
        <v>74</v>
      </c>
      <c r="M127" t="s">
        <v>78</v>
      </c>
      <c r="N127" t="s">
        <v>79</v>
      </c>
      <c r="O127" t="s">
        <v>74</v>
      </c>
      <c r="P127" t="s">
        <v>74</v>
      </c>
      <c r="Q127" t="s">
        <v>74</v>
      </c>
      <c r="R127" t="s">
        <v>74</v>
      </c>
      <c r="S127" t="s">
        <v>74</v>
      </c>
      <c r="T127" t="s">
        <v>2752</v>
      </c>
      <c r="U127" t="s">
        <v>2753</v>
      </c>
      <c r="V127" t="s">
        <v>2754</v>
      </c>
      <c r="W127" t="s">
        <v>2755</v>
      </c>
      <c r="X127" t="s">
        <v>2756</v>
      </c>
      <c r="Y127" t="s">
        <v>2757</v>
      </c>
      <c r="Z127" t="s">
        <v>2758</v>
      </c>
      <c r="AA127" t="s">
        <v>2759</v>
      </c>
      <c r="AB127" t="s">
        <v>2760</v>
      </c>
      <c r="AC127" t="s">
        <v>2761</v>
      </c>
      <c r="AD127" t="s">
        <v>2762</v>
      </c>
      <c r="AE127" t="s">
        <v>2763</v>
      </c>
      <c r="AF127" t="s">
        <v>74</v>
      </c>
      <c r="AG127">
        <v>111</v>
      </c>
      <c r="AH127">
        <v>19</v>
      </c>
      <c r="AI127">
        <v>20</v>
      </c>
      <c r="AJ127">
        <v>0</v>
      </c>
      <c r="AK127">
        <v>4</v>
      </c>
      <c r="AL127" t="s">
        <v>277</v>
      </c>
      <c r="AM127" t="s">
        <v>278</v>
      </c>
      <c r="AN127" t="s">
        <v>279</v>
      </c>
      <c r="AO127" t="s">
        <v>2764</v>
      </c>
      <c r="AP127" t="s">
        <v>2765</v>
      </c>
      <c r="AQ127" t="s">
        <v>74</v>
      </c>
      <c r="AR127" t="s">
        <v>2766</v>
      </c>
      <c r="AS127" t="s">
        <v>2767</v>
      </c>
      <c r="AT127" t="s">
        <v>2563</v>
      </c>
      <c r="AU127">
        <v>2018</v>
      </c>
      <c r="AV127">
        <v>157</v>
      </c>
      <c r="AW127" t="s">
        <v>74</v>
      </c>
      <c r="AX127" t="s">
        <v>74</v>
      </c>
      <c r="AY127" t="s">
        <v>74</v>
      </c>
      <c r="AZ127" t="s">
        <v>508</v>
      </c>
      <c r="BA127" t="s">
        <v>74</v>
      </c>
      <c r="BB127">
        <v>245</v>
      </c>
      <c r="BC127">
        <v>268</v>
      </c>
      <c r="BD127" t="s">
        <v>74</v>
      </c>
      <c r="BE127" t="s">
        <v>2768</v>
      </c>
      <c r="BF127" t="str">
        <f>HYPERLINK("http://dx.doi.org/10.1016/j.jseaes.2017.07.053","http://dx.doi.org/10.1016/j.jseaes.2017.07.053")</f>
        <v>http://dx.doi.org/10.1016/j.jseaes.2017.07.053</v>
      </c>
      <c r="BG127" t="s">
        <v>74</v>
      </c>
      <c r="BH127" t="s">
        <v>74</v>
      </c>
      <c r="BI127">
        <v>24</v>
      </c>
      <c r="BJ127" t="s">
        <v>1243</v>
      </c>
      <c r="BK127" t="s">
        <v>101</v>
      </c>
      <c r="BL127" t="s">
        <v>1181</v>
      </c>
      <c r="BM127" t="s">
        <v>2769</v>
      </c>
      <c r="BN127" t="s">
        <v>74</v>
      </c>
      <c r="BO127" t="s">
        <v>74</v>
      </c>
      <c r="BP127" t="s">
        <v>74</v>
      </c>
      <c r="BQ127" t="s">
        <v>74</v>
      </c>
      <c r="BR127" t="s">
        <v>105</v>
      </c>
      <c r="BS127" t="s">
        <v>2770</v>
      </c>
      <c r="BT127" t="str">
        <f>HYPERLINK("https%3A%2F%2Fwww.webofscience.com%2Fwos%2Fwoscc%2Ffull-record%2FWOS:000430031000015","View Full Record in Web of Science")</f>
        <v>View Full Record in Web of Science</v>
      </c>
    </row>
    <row r="128" spans="1:72" x14ac:dyDescent="0.15">
      <c r="A128" t="s">
        <v>72</v>
      </c>
      <c r="B128" t="s">
        <v>2771</v>
      </c>
      <c r="C128" t="s">
        <v>74</v>
      </c>
      <c r="D128" t="s">
        <v>74</v>
      </c>
      <c r="E128" t="s">
        <v>74</v>
      </c>
      <c r="F128" t="s">
        <v>2772</v>
      </c>
      <c r="G128" t="s">
        <v>74</v>
      </c>
      <c r="H128" t="s">
        <v>74</v>
      </c>
      <c r="I128" t="s">
        <v>2773</v>
      </c>
      <c r="J128" t="s">
        <v>2751</v>
      </c>
      <c r="K128" t="s">
        <v>74</v>
      </c>
      <c r="L128" t="s">
        <v>74</v>
      </c>
      <c r="M128" t="s">
        <v>78</v>
      </c>
      <c r="N128" t="s">
        <v>79</v>
      </c>
      <c r="O128" t="s">
        <v>74</v>
      </c>
      <c r="P128" t="s">
        <v>74</v>
      </c>
      <c r="Q128" t="s">
        <v>74</v>
      </c>
      <c r="R128" t="s">
        <v>74</v>
      </c>
      <c r="S128" t="s">
        <v>74</v>
      </c>
      <c r="T128" t="s">
        <v>2774</v>
      </c>
      <c r="U128" t="s">
        <v>2775</v>
      </c>
      <c r="V128" t="s">
        <v>2776</v>
      </c>
      <c r="W128" t="s">
        <v>2777</v>
      </c>
      <c r="X128" t="s">
        <v>2778</v>
      </c>
      <c r="Y128" t="s">
        <v>2779</v>
      </c>
      <c r="Z128" t="s">
        <v>2780</v>
      </c>
      <c r="AA128" t="s">
        <v>74</v>
      </c>
      <c r="AB128" t="s">
        <v>74</v>
      </c>
      <c r="AC128" t="s">
        <v>2781</v>
      </c>
      <c r="AD128" t="s">
        <v>2781</v>
      </c>
      <c r="AE128" t="s">
        <v>2782</v>
      </c>
      <c r="AF128" t="s">
        <v>74</v>
      </c>
      <c r="AG128">
        <v>65</v>
      </c>
      <c r="AH128">
        <v>15</v>
      </c>
      <c r="AI128">
        <v>15</v>
      </c>
      <c r="AJ128">
        <v>0</v>
      </c>
      <c r="AK128">
        <v>7</v>
      </c>
      <c r="AL128" t="s">
        <v>277</v>
      </c>
      <c r="AM128" t="s">
        <v>278</v>
      </c>
      <c r="AN128" t="s">
        <v>279</v>
      </c>
      <c r="AO128" t="s">
        <v>2764</v>
      </c>
      <c r="AP128" t="s">
        <v>2765</v>
      </c>
      <c r="AQ128" t="s">
        <v>74</v>
      </c>
      <c r="AR128" t="s">
        <v>2766</v>
      </c>
      <c r="AS128" t="s">
        <v>2767</v>
      </c>
      <c r="AT128" t="s">
        <v>2563</v>
      </c>
      <c r="AU128">
        <v>2018</v>
      </c>
      <c r="AV128">
        <v>157</v>
      </c>
      <c r="AW128" t="s">
        <v>74</v>
      </c>
      <c r="AX128" t="s">
        <v>74</v>
      </c>
      <c r="AY128" t="s">
        <v>74</v>
      </c>
      <c r="AZ128" t="s">
        <v>508</v>
      </c>
      <c r="BA128" t="s">
        <v>74</v>
      </c>
      <c r="BB128">
        <v>269</v>
      </c>
      <c r="BC128">
        <v>282</v>
      </c>
      <c r="BD128" t="s">
        <v>74</v>
      </c>
      <c r="BE128" t="s">
        <v>2783</v>
      </c>
      <c r="BF128" t="str">
        <f>HYPERLINK("http://dx.doi.org/10.1016/j.jseaes.2017.11.021","http://dx.doi.org/10.1016/j.jseaes.2017.11.021")</f>
        <v>http://dx.doi.org/10.1016/j.jseaes.2017.11.021</v>
      </c>
      <c r="BG128" t="s">
        <v>74</v>
      </c>
      <c r="BH128" t="s">
        <v>74</v>
      </c>
      <c r="BI128">
        <v>14</v>
      </c>
      <c r="BJ128" t="s">
        <v>1243</v>
      </c>
      <c r="BK128" t="s">
        <v>101</v>
      </c>
      <c r="BL128" t="s">
        <v>1181</v>
      </c>
      <c r="BM128" t="s">
        <v>2769</v>
      </c>
      <c r="BN128" t="s">
        <v>74</v>
      </c>
      <c r="BO128" t="s">
        <v>74</v>
      </c>
      <c r="BP128" t="s">
        <v>74</v>
      </c>
      <c r="BQ128" t="s">
        <v>74</v>
      </c>
      <c r="BR128" t="s">
        <v>105</v>
      </c>
      <c r="BS128" t="s">
        <v>2784</v>
      </c>
      <c r="BT128" t="str">
        <f>HYPERLINK("https%3A%2F%2Fwww.webofscience.com%2Fwos%2Fwoscc%2Ffull-record%2FWOS:000430031000016","View Full Record in Web of Science")</f>
        <v>View Full Record in Web of Science</v>
      </c>
    </row>
    <row r="129" spans="1:72" x14ac:dyDescent="0.15">
      <c r="A129" t="s">
        <v>72</v>
      </c>
      <c r="B129" t="s">
        <v>2785</v>
      </c>
      <c r="C129" t="s">
        <v>74</v>
      </c>
      <c r="D129" t="s">
        <v>74</v>
      </c>
      <c r="E129" t="s">
        <v>74</v>
      </c>
      <c r="F129" t="s">
        <v>2786</v>
      </c>
      <c r="G129" t="s">
        <v>74</v>
      </c>
      <c r="H129" t="s">
        <v>74</v>
      </c>
      <c r="I129" t="s">
        <v>2787</v>
      </c>
      <c r="J129" t="s">
        <v>2751</v>
      </c>
      <c r="K129" t="s">
        <v>74</v>
      </c>
      <c r="L129" t="s">
        <v>74</v>
      </c>
      <c r="M129" t="s">
        <v>78</v>
      </c>
      <c r="N129" t="s">
        <v>79</v>
      </c>
      <c r="O129" t="s">
        <v>74</v>
      </c>
      <c r="P129" t="s">
        <v>74</v>
      </c>
      <c r="Q129" t="s">
        <v>74</v>
      </c>
      <c r="R129" t="s">
        <v>74</v>
      </c>
      <c r="S129" t="s">
        <v>74</v>
      </c>
      <c r="T129" t="s">
        <v>2788</v>
      </c>
      <c r="U129" t="s">
        <v>2789</v>
      </c>
      <c r="V129" t="s">
        <v>2790</v>
      </c>
      <c r="W129" t="s">
        <v>2791</v>
      </c>
      <c r="X129" t="s">
        <v>2792</v>
      </c>
      <c r="Y129" t="s">
        <v>2793</v>
      </c>
      <c r="Z129" t="s">
        <v>2794</v>
      </c>
      <c r="AA129" t="s">
        <v>74</v>
      </c>
      <c r="AB129" t="s">
        <v>74</v>
      </c>
      <c r="AC129" t="s">
        <v>2795</v>
      </c>
      <c r="AD129" t="s">
        <v>2796</v>
      </c>
      <c r="AE129" t="s">
        <v>2797</v>
      </c>
      <c r="AF129" t="s">
        <v>74</v>
      </c>
      <c r="AG129">
        <v>67</v>
      </c>
      <c r="AH129">
        <v>9</v>
      </c>
      <c r="AI129">
        <v>9</v>
      </c>
      <c r="AJ129">
        <v>0</v>
      </c>
      <c r="AK129">
        <v>8</v>
      </c>
      <c r="AL129" t="s">
        <v>277</v>
      </c>
      <c r="AM129" t="s">
        <v>278</v>
      </c>
      <c r="AN129" t="s">
        <v>279</v>
      </c>
      <c r="AO129" t="s">
        <v>2764</v>
      </c>
      <c r="AP129" t="s">
        <v>2765</v>
      </c>
      <c r="AQ129" t="s">
        <v>74</v>
      </c>
      <c r="AR129" t="s">
        <v>2766</v>
      </c>
      <c r="AS129" t="s">
        <v>2767</v>
      </c>
      <c r="AT129" t="s">
        <v>2563</v>
      </c>
      <c r="AU129">
        <v>2018</v>
      </c>
      <c r="AV129">
        <v>157</v>
      </c>
      <c r="AW129" t="s">
        <v>74</v>
      </c>
      <c r="AX129" t="s">
        <v>74</v>
      </c>
      <c r="AY129" t="s">
        <v>74</v>
      </c>
      <c r="AZ129" t="s">
        <v>508</v>
      </c>
      <c r="BA129" t="s">
        <v>74</v>
      </c>
      <c r="BB129">
        <v>329</v>
      </c>
      <c r="BC129">
        <v>347</v>
      </c>
      <c r="BD129" t="s">
        <v>74</v>
      </c>
      <c r="BE129" t="s">
        <v>2798</v>
      </c>
      <c r="BF129" t="str">
        <f>HYPERLINK("http://dx.doi.org/10.1016/j.jseaes.2017.11.031","http://dx.doi.org/10.1016/j.jseaes.2017.11.031")</f>
        <v>http://dx.doi.org/10.1016/j.jseaes.2017.11.031</v>
      </c>
      <c r="BG129" t="s">
        <v>74</v>
      </c>
      <c r="BH129" t="s">
        <v>74</v>
      </c>
      <c r="BI129">
        <v>19</v>
      </c>
      <c r="BJ129" t="s">
        <v>1243</v>
      </c>
      <c r="BK129" t="s">
        <v>101</v>
      </c>
      <c r="BL129" t="s">
        <v>1181</v>
      </c>
      <c r="BM129" t="s">
        <v>2769</v>
      </c>
      <c r="BN129" t="s">
        <v>74</v>
      </c>
      <c r="BO129" t="s">
        <v>74</v>
      </c>
      <c r="BP129" t="s">
        <v>74</v>
      </c>
      <c r="BQ129" t="s">
        <v>74</v>
      </c>
      <c r="BR129" t="s">
        <v>105</v>
      </c>
      <c r="BS129" t="s">
        <v>2799</v>
      </c>
      <c r="BT129" t="str">
        <f>HYPERLINK("https%3A%2F%2Fwww.webofscience.com%2Fwos%2Fwoscc%2Ffull-record%2FWOS:000430031000020","View Full Record in Web of Science")</f>
        <v>View Full Record in Web of Science</v>
      </c>
    </row>
    <row r="130" spans="1:72" x14ac:dyDescent="0.15">
      <c r="A130" t="s">
        <v>72</v>
      </c>
      <c r="B130" t="s">
        <v>2800</v>
      </c>
      <c r="C130" t="s">
        <v>74</v>
      </c>
      <c r="D130" t="s">
        <v>74</v>
      </c>
      <c r="E130" t="s">
        <v>74</v>
      </c>
      <c r="F130" t="s">
        <v>2801</v>
      </c>
      <c r="G130" t="s">
        <v>74</v>
      </c>
      <c r="H130" t="s">
        <v>74</v>
      </c>
      <c r="I130" t="s">
        <v>2802</v>
      </c>
      <c r="J130" t="s">
        <v>2803</v>
      </c>
      <c r="K130" t="s">
        <v>74</v>
      </c>
      <c r="L130" t="s">
        <v>74</v>
      </c>
      <c r="M130" t="s">
        <v>78</v>
      </c>
      <c r="N130" t="s">
        <v>79</v>
      </c>
      <c r="O130" t="s">
        <v>74</v>
      </c>
      <c r="P130" t="s">
        <v>74</v>
      </c>
      <c r="Q130" t="s">
        <v>74</v>
      </c>
      <c r="R130" t="s">
        <v>74</v>
      </c>
      <c r="S130" t="s">
        <v>74</v>
      </c>
      <c r="T130" t="s">
        <v>74</v>
      </c>
      <c r="U130" t="s">
        <v>2804</v>
      </c>
      <c r="V130" t="s">
        <v>2805</v>
      </c>
      <c r="W130" t="s">
        <v>2806</v>
      </c>
      <c r="X130" t="s">
        <v>2807</v>
      </c>
      <c r="Y130" t="s">
        <v>2808</v>
      </c>
      <c r="Z130" t="s">
        <v>2809</v>
      </c>
      <c r="AA130" t="s">
        <v>2810</v>
      </c>
      <c r="AB130" t="s">
        <v>2811</v>
      </c>
      <c r="AC130" t="s">
        <v>2812</v>
      </c>
      <c r="AD130" t="s">
        <v>2813</v>
      </c>
      <c r="AE130" t="s">
        <v>2814</v>
      </c>
      <c r="AF130" t="s">
        <v>74</v>
      </c>
      <c r="AG130">
        <v>88</v>
      </c>
      <c r="AH130">
        <v>21</v>
      </c>
      <c r="AI130">
        <v>21</v>
      </c>
      <c r="AJ130">
        <v>0</v>
      </c>
      <c r="AK130">
        <v>21</v>
      </c>
      <c r="AL130" t="s">
        <v>2815</v>
      </c>
      <c r="AM130" t="s">
        <v>2816</v>
      </c>
      <c r="AN130" t="s">
        <v>2817</v>
      </c>
      <c r="AO130" t="s">
        <v>2818</v>
      </c>
      <c r="AP130" t="s">
        <v>2819</v>
      </c>
      <c r="AQ130" t="s">
        <v>74</v>
      </c>
      <c r="AR130" t="s">
        <v>2803</v>
      </c>
      <c r="AS130" t="s">
        <v>2820</v>
      </c>
      <c r="AT130" t="s">
        <v>2563</v>
      </c>
      <c r="AU130">
        <v>2018</v>
      </c>
      <c r="AV130">
        <v>306</v>
      </c>
      <c r="AW130" t="s">
        <v>74</v>
      </c>
      <c r="AX130" t="s">
        <v>74</v>
      </c>
      <c r="AY130" t="s">
        <v>74</v>
      </c>
      <c r="AZ130" t="s">
        <v>74</v>
      </c>
      <c r="BA130" t="s">
        <v>74</v>
      </c>
      <c r="BB130">
        <v>74</v>
      </c>
      <c r="BC130">
        <v>93</v>
      </c>
      <c r="BD130" t="s">
        <v>74</v>
      </c>
      <c r="BE130" t="s">
        <v>2821</v>
      </c>
      <c r="BF130" t="str">
        <f>HYPERLINK("http://dx.doi.org/10.1016/j.icarus.2018.02.002","http://dx.doi.org/10.1016/j.icarus.2018.02.002")</f>
        <v>http://dx.doi.org/10.1016/j.icarus.2018.02.002</v>
      </c>
      <c r="BG130" t="s">
        <v>74</v>
      </c>
      <c r="BH130" t="s">
        <v>74</v>
      </c>
      <c r="BI130">
        <v>20</v>
      </c>
      <c r="BJ130" t="s">
        <v>582</v>
      </c>
      <c r="BK130" t="s">
        <v>101</v>
      </c>
      <c r="BL130" t="s">
        <v>582</v>
      </c>
      <c r="BM130" t="s">
        <v>2822</v>
      </c>
      <c r="BN130" t="s">
        <v>74</v>
      </c>
      <c r="BO130" t="s">
        <v>74</v>
      </c>
      <c r="BP130" t="s">
        <v>74</v>
      </c>
      <c r="BQ130" t="s">
        <v>74</v>
      </c>
      <c r="BR130" t="s">
        <v>105</v>
      </c>
      <c r="BS130" t="s">
        <v>2823</v>
      </c>
      <c r="BT130" t="str">
        <f>HYPERLINK("https%3A%2F%2Fwww.webofscience.com%2Fwos%2Fwoscc%2Ffull-record%2FWOS:000429082000006","View Full Record in Web of Science")</f>
        <v>View Full Record in Web of Science</v>
      </c>
    </row>
    <row r="131" spans="1:72" x14ac:dyDescent="0.15">
      <c r="A131" t="s">
        <v>72</v>
      </c>
      <c r="B131" t="s">
        <v>2824</v>
      </c>
      <c r="C131" t="s">
        <v>74</v>
      </c>
      <c r="D131" t="s">
        <v>74</v>
      </c>
      <c r="E131" t="s">
        <v>74</v>
      </c>
      <c r="F131" t="s">
        <v>2825</v>
      </c>
      <c r="G131" t="s">
        <v>74</v>
      </c>
      <c r="H131" t="s">
        <v>74</v>
      </c>
      <c r="I131" t="s">
        <v>2826</v>
      </c>
      <c r="J131" t="s">
        <v>2827</v>
      </c>
      <c r="K131" t="s">
        <v>74</v>
      </c>
      <c r="L131" t="s">
        <v>74</v>
      </c>
      <c r="M131" t="s">
        <v>78</v>
      </c>
      <c r="N131" t="s">
        <v>79</v>
      </c>
      <c r="O131" t="s">
        <v>74</v>
      </c>
      <c r="P131" t="s">
        <v>74</v>
      </c>
      <c r="Q131" t="s">
        <v>74</v>
      </c>
      <c r="R131" t="s">
        <v>74</v>
      </c>
      <c r="S131" t="s">
        <v>74</v>
      </c>
      <c r="T131" t="s">
        <v>2828</v>
      </c>
      <c r="U131" t="s">
        <v>2829</v>
      </c>
      <c r="V131" t="s">
        <v>2830</v>
      </c>
      <c r="W131" t="s">
        <v>2831</v>
      </c>
      <c r="X131" t="s">
        <v>2832</v>
      </c>
      <c r="Y131" t="s">
        <v>2833</v>
      </c>
      <c r="Z131" t="s">
        <v>2834</v>
      </c>
      <c r="AA131" t="s">
        <v>2835</v>
      </c>
      <c r="AB131" t="s">
        <v>2836</v>
      </c>
      <c r="AC131" t="s">
        <v>2837</v>
      </c>
      <c r="AD131" t="s">
        <v>2838</v>
      </c>
      <c r="AE131" t="s">
        <v>2839</v>
      </c>
      <c r="AF131" t="s">
        <v>74</v>
      </c>
      <c r="AG131">
        <v>40</v>
      </c>
      <c r="AH131">
        <v>23</v>
      </c>
      <c r="AI131">
        <v>27</v>
      </c>
      <c r="AJ131">
        <v>6</v>
      </c>
      <c r="AK131">
        <v>125</v>
      </c>
      <c r="AL131" t="s">
        <v>425</v>
      </c>
      <c r="AM131" t="s">
        <v>278</v>
      </c>
      <c r="AN131" t="s">
        <v>426</v>
      </c>
      <c r="AO131" t="s">
        <v>2840</v>
      </c>
      <c r="AP131" t="s">
        <v>2841</v>
      </c>
      <c r="AQ131" t="s">
        <v>74</v>
      </c>
      <c r="AR131" t="s">
        <v>2842</v>
      </c>
      <c r="AS131" t="s">
        <v>2843</v>
      </c>
      <c r="AT131" t="s">
        <v>2563</v>
      </c>
      <c r="AU131">
        <v>2018</v>
      </c>
      <c r="AV131">
        <v>248</v>
      </c>
      <c r="AW131" t="s">
        <v>74</v>
      </c>
      <c r="AX131" t="s">
        <v>74</v>
      </c>
      <c r="AY131" t="s">
        <v>74</v>
      </c>
      <c r="AZ131" t="s">
        <v>74</v>
      </c>
      <c r="BA131" t="s">
        <v>74</v>
      </c>
      <c r="BB131">
        <v>279</v>
      </c>
      <c r="BC131">
        <v>286</v>
      </c>
      <c r="BD131" t="s">
        <v>74</v>
      </c>
      <c r="BE131" t="s">
        <v>2844</v>
      </c>
      <c r="BF131" t="str">
        <f>HYPERLINK("http://dx.doi.org/10.1016/j.foodchem.2017.12.068","http://dx.doi.org/10.1016/j.foodchem.2017.12.068")</f>
        <v>http://dx.doi.org/10.1016/j.foodchem.2017.12.068</v>
      </c>
      <c r="BG131" t="s">
        <v>74</v>
      </c>
      <c r="BH131" t="s">
        <v>74</v>
      </c>
      <c r="BI131">
        <v>8</v>
      </c>
      <c r="BJ131" t="s">
        <v>2845</v>
      </c>
      <c r="BK131" t="s">
        <v>101</v>
      </c>
      <c r="BL131" t="s">
        <v>2846</v>
      </c>
      <c r="BM131" t="s">
        <v>2847</v>
      </c>
      <c r="BN131">
        <v>29329855</v>
      </c>
      <c r="BO131" t="s">
        <v>74</v>
      </c>
      <c r="BP131" t="s">
        <v>74</v>
      </c>
      <c r="BQ131" t="s">
        <v>74</v>
      </c>
      <c r="BR131" t="s">
        <v>105</v>
      </c>
      <c r="BS131" t="s">
        <v>2848</v>
      </c>
      <c r="BT131" t="str">
        <f>HYPERLINK("https%3A%2F%2Fwww.webofscience.com%2Fwos%2Fwoscc%2Ffull-record%2FWOS:000419643600035","View Full Record in Web of Science")</f>
        <v>View Full Record in Web of Science</v>
      </c>
    </row>
    <row r="132" spans="1:72" x14ac:dyDescent="0.15">
      <c r="A132" t="s">
        <v>72</v>
      </c>
      <c r="B132" t="s">
        <v>2849</v>
      </c>
      <c r="C132" t="s">
        <v>74</v>
      </c>
      <c r="D132" t="s">
        <v>74</v>
      </c>
      <c r="E132" t="s">
        <v>74</v>
      </c>
      <c r="F132" t="s">
        <v>2850</v>
      </c>
      <c r="G132" t="s">
        <v>74</v>
      </c>
      <c r="H132" t="s">
        <v>74</v>
      </c>
      <c r="I132" t="s">
        <v>2851</v>
      </c>
      <c r="J132" t="s">
        <v>1807</v>
      </c>
      <c r="K132" t="s">
        <v>74</v>
      </c>
      <c r="L132" t="s">
        <v>74</v>
      </c>
      <c r="M132" t="s">
        <v>78</v>
      </c>
      <c r="N132" t="s">
        <v>79</v>
      </c>
      <c r="O132" t="s">
        <v>74</v>
      </c>
      <c r="P132" t="s">
        <v>74</v>
      </c>
      <c r="Q132" t="s">
        <v>74</v>
      </c>
      <c r="R132" t="s">
        <v>74</v>
      </c>
      <c r="S132" t="s">
        <v>74</v>
      </c>
      <c r="T132" t="s">
        <v>2852</v>
      </c>
      <c r="U132" t="s">
        <v>2853</v>
      </c>
      <c r="V132" t="s">
        <v>2854</v>
      </c>
      <c r="W132" t="s">
        <v>2855</v>
      </c>
      <c r="X132" t="s">
        <v>2856</v>
      </c>
      <c r="Y132" t="s">
        <v>2857</v>
      </c>
      <c r="Z132" t="s">
        <v>2858</v>
      </c>
      <c r="AA132" t="s">
        <v>74</v>
      </c>
      <c r="AB132" t="s">
        <v>74</v>
      </c>
      <c r="AC132" t="s">
        <v>2859</v>
      </c>
      <c r="AD132" t="s">
        <v>2860</v>
      </c>
      <c r="AE132" t="s">
        <v>2861</v>
      </c>
      <c r="AF132" t="s">
        <v>74</v>
      </c>
      <c r="AG132">
        <v>79</v>
      </c>
      <c r="AH132">
        <v>19</v>
      </c>
      <c r="AI132">
        <v>25</v>
      </c>
      <c r="AJ132">
        <v>0</v>
      </c>
      <c r="AK132">
        <v>29</v>
      </c>
      <c r="AL132" t="s">
        <v>1820</v>
      </c>
      <c r="AM132" t="s">
        <v>1821</v>
      </c>
      <c r="AN132" t="s">
        <v>1822</v>
      </c>
      <c r="AO132" t="s">
        <v>1823</v>
      </c>
      <c r="AP132" t="s">
        <v>1824</v>
      </c>
      <c r="AQ132" t="s">
        <v>74</v>
      </c>
      <c r="AR132" t="s">
        <v>1825</v>
      </c>
      <c r="AS132" t="s">
        <v>1826</v>
      </c>
      <c r="AT132" t="s">
        <v>2862</v>
      </c>
      <c r="AU132">
        <v>2018</v>
      </c>
      <c r="AV132">
        <v>595</v>
      </c>
      <c r="AW132" t="s">
        <v>74</v>
      </c>
      <c r="AX132" t="s">
        <v>74</v>
      </c>
      <c r="AY132" t="s">
        <v>74</v>
      </c>
      <c r="AZ132" t="s">
        <v>74</v>
      </c>
      <c r="BA132" t="s">
        <v>74</v>
      </c>
      <c r="BB132">
        <v>39</v>
      </c>
      <c r="BC132">
        <v>54</v>
      </c>
      <c r="BD132" t="s">
        <v>74</v>
      </c>
      <c r="BE132" t="s">
        <v>2863</v>
      </c>
      <c r="BF132" t="str">
        <f>HYPERLINK("http://dx.doi.org/10.3354/meps12568","http://dx.doi.org/10.3354/meps12568")</f>
        <v>http://dx.doi.org/10.3354/meps12568</v>
      </c>
      <c r="BG132" t="s">
        <v>74</v>
      </c>
      <c r="BH132" t="s">
        <v>74</v>
      </c>
      <c r="BI132">
        <v>16</v>
      </c>
      <c r="BJ132" t="s">
        <v>1828</v>
      </c>
      <c r="BK132" t="s">
        <v>101</v>
      </c>
      <c r="BL132" t="s">
        <v>1829</v>
      </c>
      <c r="BM132" t="s">
        <v>2864</v>
      </c>
      <c r="BN132" t="s">
        <v>74</v>
      </c>
      <c r="BO132" t="s">
        <v>74</v>
      </c>
      <c r="BP132" t="s">
        <v>74</v>
      </c>
      <c r="BQ132" t="s">
        <v>74</v>
      </c>
      <c r="BR132" t="s">
        <v>105</v>
      </c>
      <c r="BS132" t="s">
        <v>2865</v>
      </c>
      <c r="BT132" t="str">
        <f>HYPERLINK("https%3A%2F%2Fwww.webofscience.com%2Fwos%2Fwoscc%2Ffull-record%2FWOS:000432551900004","View Full Record in Web of Science")</f>
        <v>View Full Record in Web of Science</v>
      </c>
    </row>
    <row r="133" spans="1:72" x14ac:dyDescent="0.15">
      <c r="A133" t="s">
        <v>72</v>
      </c>
      <c r="B133" t="s">
        <v>2866</v>
      </c>
      <c r="C133" t="s">
        <v>74</v>
      </c>
      <c r="D133" t="s">
        <v>74</v>
      </c>
      <c r="E133" t="s">
        <v>74</v>
      </c>
      <c r="F133" t="s">
        <v>2867</v>
      </c>
      <c r="G133" t="s">
        <v>74</v>
      </c>
      <c r="H133" t="s">
        <v>74</v>
      </c>
      <c r="I133" t="s">
        <v>2868</v>
      </c>
      <c r="J133" t="s">
        <v>1552</v>
      </c>
      <c r="K133" t="s">
        <v>74</v>
      </c>
      <c r="L133" t="s">
        <v>74</v>
      </c>
      <c r="M133" t="s">
        <v>78</v>
      </c>
      <c r="N133" t="s">
        <v>79</v>
      </c>
      <c r="O133" t="s">
        <v>74</v>
      </c>
      <c r="P133" t="s">
        <v>74</v>
      </c>
      <c r="Q133" t="s">
        <v>74</v>
      </c>
      <c r="R133" t="s">
        <v>74</v>
      </c>
      <c r="S133" t="s">
        <v>74</v>
      </c>
      <c r="T133" t="s">
        <v>74</v>
      </c>
      <c r="U133" t="s">
        <v>2869</v>
      </c>
      <c r="V133" t="s">
        <v>2870</v>
      </c>
      <c r="W133" t="s">
        <v>2871</v>
      </c>
      <c r="X133" t="s">
        <v>2872</v>
      </c>
      <c r="Y133" t="s">
        <v>2873</v>
      </c>
      <c r="Z133" t="s">
        <v>2874</v>
      </c>
      <c r="AA133" t="s">
        <v>2875</v>
      </c>
      <c r="AB133" t="s">
        <v>2876</v>
      </c>
      <c r="AC133" t="s">
        <v>74</v>
      </c>
      <c r="AD133" t="s">
        <v>74</v>
      </c>
      <c r="AE133" t="s">
        <v>74</v>
      </c>
      <c r="AF133" t="s">
        <v>74</v>
      </c>
      <c r="AG133">
        <v>35</v>
      </c>
      <c r="AH133">
        <v>3</v>
      </c>
      <c r="AI133">
        <v>3</v>
      </c>
      <c r="AJ133">
        <v>1</v>
      </c>
      <c r="AK133">
        <v>5</v>
      </c>
      <c r="AL133" t="s">
        <v>1563</v>
      </c>
      <c r="AM133" t="s">
        <v>1564</v>
      </c>
      <c r="AN133" t="s">
        <v>1565</v>
      </c>
      <c r="AO133" t="s">
        <v>1566</v>
      </c>
      <c r="AP133" t="s">
        <v>1567</v>
      </c>
      <c r="AQ133" t="s">
        <v>74</v>
      </c>
      <c r="AR133" t="s">
        <v>1568</v>
      </c>
      <c r="AS133" t="s">
        <v>1569</v>
      </c>
      <c r="AT133" t="s">
        <v>2862</v>
      </c>
      <c r="AU133">
        <v>2018</v>
      </c>
      <c r="AV133">
        <v>18</v>
      </c>
      <c r="AW133">
        <v>9</v>
      </c>
      <c r="AX133" t="s">
        <v>74</v>
      </c>
      <c r="AY133" t="s">
        <v>74</v>
      </c>
      <c r="AZ133" t="s">
        <v>74</v>
      </c>
      <c r="BA133" t="s">
        <v>74</v>
      </c>
      <c r="BB133">
        <v>6749</v>
      </c>
      <c r="BC133">
        <v>6760</v>
      </c>
      <c r="BD133" t="s">
        <v>74</v>
      </c>
      <c r="BE133" t="s">
        <v>2877</v>
      </c>
      <c r="BF133" t="str">
        <f>HYPERLINK("http://dx.doi.org/10.5194/acp-18-6749-2018","http://dx.doi.org/10.5194/acp-18-6749-2018")</f>
        <v>http://dx.doi.org/10.5194/acp-18-6749-2018</v>
      </c>
      <c r="BG133" t="s">
        <v>74</v>
      </c>
      <c r="BH133" t="s">
        <v>74</v>
      </c>
      <c r="BI133">
        <v>12</v>
      </c>
      <c r="BJ133" t="s">
        <v>285</v>
      </c>
      <c r="BK133" t="s">
        <v>101</v>
      </c>
      <c r="BL133" t="s">
        <v>286</v>
      </c>
      <c r="BM133" t="s">
        <v>2878</v>
      </c>
      <c r="BN133" t="s">
        <v>74</v>
      </c>
      <c r="BO133" t="s">
        <v>830</v>
      </c>
      <c r="BP133" t="s">
        <v>74</v>
      </c>
      <c r="BQ133" t="s">
        <v>74</v>
      </c>
      <c r="BR133" t="s">
        <v>105</v>
      </c>
      <c r="BS133" t="s">
        <v>2879</v>
      </c>
      <c r="BT133" t="str">
        <f>HYPERLINK("https%3A%2F%2Fwww.webofscience.com%2Fwos%2Fwoscc%2Ffull-record%2FWOS:000432204900005","View Full Record in Web of Science")</f>
        <v>View Full Record in Web of Science</v>
      </c>
    </row>
    <row r="134" spans="1:72" x14ac:dyDescent="0.15">
      <c r="A134" t="s">
        <v>72</v>
      </c>
      <c r="B134" t="s">
        <v>2880</v>
      </c>
      <c r="C134" t="s">
        <v>74</v>
      </c>
      <c r="D134" t="s">
        <v>74</v>
      </c>
      <c r="E134" t="s">
        <v>74</v>
      </c>
      <c r="F134" t="s">
        <v>2881</v>
      </c>
      <c r="G134" t="s">
        <v>74</v>
      </c>
      <c r="H134" t="s">
        <v>74</v>
      </c>
      <c r="I134" t="s">
        <v>2882</v>
      </c>
      <c r="J134" t="s">
        <v>2096</v>
      </c>
      <c r="K134" t="s">
        <v>74</v>
      </c>
      <c r="L134" t="s">
        <v>74</v>
      </c>
      <c r="M134" t="s">
        <v>78</v>
      </c>
      <c r="N134" t="s">
        <v>79</v>
      </c>
      <c r="O134" t="s">
        <v>74</v>
      </c>
      <c r="P134" t="s">
        <v>74</v>
      </c>
      <c r="Q134" t="s">
        <v>74</v>
      </c>
      <c r="R134" t="s">
        <v>74</v>
      </c>
      <c r="S134" t="s">
        <v>74</v>
      </c>
      <c r="T134" t="s">
        <v>2883</v>
      </c>
      <c r="U134" t="s">
        <v>2884</v>
      </c>
      <c r="V134" t="s">
        <v>2885</v>
      </c>
      <c r="W134" t="s">
        <v>2886</v>
      </c>
      <c r="X134" t="s">
        <v>2887</v>
      </c>
      <c r="Y134" t="s">
        <v>2888</v>
      </c>
      <c r="Z134" t="s">
        <v>2889</v>
      </c>
      <c r="AA134" t="s">
        <v>2890</v>
      </c>
      <c r="AB134" t="s">
        <v>2891</v>
      </c>
      <c r="AC134" t="s">
        <v>74</v>
      </c>
      <c r="AD134" t="s">
        <v>74</v>
      </c>
      <c r="AE134" t="s">
        <v>74</v>
      </c>
      <c r="AF134" t="s">
        <v>74</v>
      </c>
      <c r="AG134">
        <v>55</v>
      </c>
      <c r="AH134">
        <v>7</v>
      </c>
      <c r="AI134">
        <v>11</v>
      </c>
      <c r="AJ134">
        <v>0</v>
      </c>
      <c r="AK134">
        <v>10</v>
      </c>
      <c r="AL134" t="s">
        <v>2109</v>
      </c>
      <c r="AM134" t="s">
        <v>1540</v>
      </c>
      <c r="AN134" t="s">
        <v>2110</v>
      </c>
      <c r="AO134" t="s">
        <v>2111</v>
      </c>
      <c r="AP134" t="s">
        <v>74</v>
      </c>
      <c r="AQ134" t="s">
        <v>74</v>
      </c>
      <c r="AR134" t="s">
        <v>2096</v>
      </c>
      <c r="AS134" t="s">
        <v>2112</v>
      </c>
      <c r="AT134" t="s">
        <v>2892</v>
      </c>
      <c r="AU134">
        <v>2018</v>
      </c>
      <c r="AV134">
        <v>6</v>
      </c>
      <c r="AW134" t="s">
        <v>74</v>
      </c>
      <c r="AX134" t="s">
        <v>74</v>
      </c>
      <c r="AY134" t="s">
        <v>74</v>
      </c>
      <c r="AZ134" t="s">
        <v>74</v>
      </c>
      <c r="BA134" t="s">
        <v>74</v>
      </c>
      <c r="BB134" t="s">
        <v>74</v>
      </c>
      <c r="BC134" t="s">
        <v>74</v>
      </c>
      <c r="BD134" t="s">
        <v>2893</v>
      </c>
      <c r="BE134" t="s">
        <v>2894</v>
      </c>
      <c r="BF134" t="str">
        <f>HYPERLINK("http://dx.doi.org/10.7717/peerj.4638","http://dx.doi.org/10.7717/peerj.4638")</f>
        <v>http://dx.doi.org/10.7717/peerj.4638</v>
      </c>
      <c r="BG134" t="s">
        <v>74</v>
      </c>
      <c r="BH134" t="s">
        <v>74</v>
      </c>
      <c r="BI134">
        <v>19</v>
      </c>
      <c r="BJ134" t="s">
        <v>1670</v>
      </c>
      <c r="BK134" t="s">
        <v>101</v>
      </c>
      <c r="BL134" t="s">
        <v>1671</v>
      </c>
      <c r="BM134" t="s">
        <v>2895</v>
      </c>
      <c r="BN134">
        <v>29770270</v>
      </c>
      <c r="BO134" t="s">
        <v>2293</v>
      </c>
      <c r="BP134" t="s">
        <v>74</v>
      </c>
      <c r="BQ134" t="s">
        <v>74</v>
      </c>
      <c r="BR134" t="s">
        <v>105</v>
      </c>
      <c r="BS134" t="s">
        <v>2896</v>
      </c>
      <c r="BT134" t="str">
        <f>HYPERLINK("https%3A%2F%2Fwww.webofscience.com%2Fwos%2Fwoscc%2Ffull-record%2FWOS:000432018300002","View Full Record in Web of Science")</f>
        <v>View Full Record in Web of Science</v>
      </c>
    </row>
    <row r="135" spans="1:72" x14ac:dyDescent="0.15">
      <c r="A135" t="s">
        <v>72</v>
      </c>
      <c r="B135" t="s">
        <v>2897</v>
      </c>
      <c r="C135" t="s">
        <v>74</v>
      </c>
      <c r="D135" t="s">
        <v>74</v>
      </c>
      <c r="E135" t="s">
        <v>74</v>
      </c>
      <c r="F135" t="s">
        <v>2898</v>
      </c>
      <c r="G135" t="s">
        <v>74</v>
      </c>
      <c r="H135" t="s">
        <v>74</v>
      </c>
      <c r="I135" t="s">
        <v>2899</v>
      </c>
      <c r="J135" t="s">
        <v>2900</v>
      </c>
      <c r="K135" t="s">
        <v>74</v>
      </c>
      <c r="L135" t="s">
        <v>74</v>
      </c>
      <c r="M135" t="s">
        <v>78</v>
      </c>
      <c r="N135" t="s">
        <v>79</v>
      </c>
      <c r="O135" t="s">
        <v>74</v>
      </c>
      <c r="P135" t="s">
        <v>74</v>
      </c>
      <c r="Q135" t="s">
        <v>74</v>
      </c>
      <c r="R135" t="s">
        <v>74</v>
      </c>
      <c r="S135" t="s">
        <v>74</v>
      </c>
      <c r="T135" t="s">
        <v>2901</v>
      </c>
      <c r="U135" t="s">
        <v>2902</v>
      </c>
      <c r="V135" t="s">
        <v>2903</v>
      </c>
      <c r="W135" t="s">
        <v>2904</v>
      </c>
      <c r="X135" t="s">
        <v>2905</v>
      </c>
      <c r="Y135" t="s">
        <v>2906</v>
      </c>
      <c r="Z135" t="s">
        <v>2907</v>
      </c>
      <c r="AA135" t="s">
        <v>74</v>
      </c>
      <c r="AB135" t="s">
        <v>74</v>
      </c>
      <c r="AC135" t="s">
        <v>74</v>
      </c>
      <c r="AD135" t="s">
        <v>74</v>
      </c>
      <c r="AE135" t="s">
        <v>74</v>
      </c>
      <c r="AF135" t="s">
        <v>74</v>
      </c>
      <c r="AG135">
        <v>36</v>
      </c>
      <c r="AH135">
        <v>5</v>
      </c>
      <c r="AI135">
        <v>5</v>
      </c>
      <c r="AJ135">
        <v>0</v>
      </c>
      <c r="AK135">
        <v>2</v>
      </c>
      <c r="AL135" t="s">
        <v>2908</v>
      </c>
      <c r="AM135" t="s">
        <v>2909</v>
      </c>
      <c r="AN135" t="s">
        <v>2910</v>
      </c>
      <c r="AO135" t="s">
        <v>2911</v>
      </c>
      <c r="AP135" t="s">
        <v>2912</v>
      </c>
      <c r="AQ135" t="s">
        <v>74</v>
      </c>
      <c r="AR135" t="s">
        <v>2900</v>
      </c>
      <c r="AS135" t="s">
        <v>2913</v>
      </c>
      <c r="AT135" t="s">
        <v>2892</v>
      </c>
      <c r="AU135">
        <v>2018</v>
      </c>
      <c r="AV135">
        <v>349</v>
      </c>
      <c r="AW135">
        <v>2</v>
      </c>
      <c r="AX135" t="s">
        <v>74</v>
      </c>
      <c r="AY135" t="s">
        <v>74</v>
      </c>
      <c r="AZ135" t="s">
        <v>74</v>
      </c>
      <c r="BA135" t="s">
        <v>74</v>
      </c>
      <c r="BB135">
        <v>152</v>
      </c>
      <c r="BC135">
        <v>158</v>
      </c>
      <c r="BD135" t="s">
        <v>74</v>
      </c>
      <c r="BE135" t="s">
        <v>2914</v>
      </c>
      <c r="BF135" t="str">
        <f>HYPERLINK("http://dx.doi.org/10.11646/phytotaxa.349.2.5","http://dx.doi.org/10.11646/phytotaxa.349.2.5")</f>
        <v>http://dx.doi.org/10.11646/phytotaxa.349.2.5</v>
      </c>
      <c r="BG135" t="s">
        <v>74</v>
      </c>
      <c r="BH135" t="s">
        <v>74</v>
      </c>
      <c r="BI135">
        <v>7</v>
      </c>
      <c r="BJ135" t="s">
        <v>2542</v>
      </c>
      <c r="BK135" t="s">
        <v>101</v>
      </c>
      <c r="BL135" t="s">
        <v>2542</v>
      </c>
      <c r="BM135" t="s">
        <v>2915</v>
      </c>
      <c r="BN135" t="s">
        <v>74</v>
      </c>
      <c r="BO135" t="s">
        <v>74</v>
      </c>
      <c r="BP135" t="s">
        <v>74</v>
      </c>
      <c r="BQ135" t="s">
        <v>74</v>
      </c>
      <c r="BR135" t="s">
        <v>105</v>
      </c>
      <c r="BS135" t="s">
        <v>2916</v>
      </c>
      <c r="BT135" t="str">
        <f>HYPERLINK("https%3A%2F%2Fwww.webofscience.com%2Fwos%2Fwoscc%2Ffull-record%2FWOS:000431797400005","View Full Record in Web of Science")</f>
        <v>View Full Record in Web of Science</v>
      </c>
    </row>
    <row r="136" spans="1:72" x14ac:dyDescent="0.15">
      <c r="A136" t="s">
        <v>72</v>
      </c>
      <c r="B136" t="s">
        <v>2917</v>
      </c>
      <c r="C136" t="s">
        <v>74</v>
      </c>
      <c r="D136" t="s">
        <v>74</v>
      </c>
      <c r="E136" t="s">
        <v>74</v>
      </c>
      <c r="F136" t="s">
        <v>2918</v>
      </c>
      <c r="G136" t="s">
        <v>74</v>
      </c>
      <c r="H136" t="s">
        <v>74</v>
      </c>
      <c r="I136" t="s">
        <v>2919</v>
      </c>
      <c r="J136" t="s">
        <v>1598</v>
      </c>
      <c r="K136" t="s">
        <v>74</v>
      </c>
      <c r="L136" t="s">
        <v>74</v>
      </c>
      <c r="M136" t="s">
        <v>78</v>
      </c>
      <c r="N136" t="s">
        <v>79</v>
      </c>
      <c r="O136" t="s">
        <v>74</v>
      </c>
      <c r="P136" t="s">
        <v>74</v>
      </c>
      <c r="Q136" t="s">
        <v>74</v>
      </c>
      <c r="R136" t="s">
        <v>74</v>
      </c>
      <c r="S136" t="s">
        <v>74</v>
      </c>
      <c r="T136" t="s">
        <v>2920</v>
      </c>
      <c r="U136" t="s">
        <v>2921</v>
      </c>
      <c r="V136" t="s">
        <v>2922</v>
      </c>
      <c r="W136" t="s">
        <v>2923</v>
      </c>
      <c r="X136" t="s">
        <v>2924</v>
      </c>
      <c r="Y136" t="s">
        <v>2925</v>
      </c>
      <c r="Z136" t="s">
        <v>2926</v>
      </c>
      <c r="AA136" t="s">
        <v>74</v>
      </c>
      <c r="AB136" t="s">
        <v>74</v>
      </c>
      <c r="AC136" t="s">
        <v>2927</v>
      </c>
      <c r="AD136" t="s">
        <v>2928</v>
      </c>
      <c r="AE136" t="s">
        <v>2929</v>
      </c>
      <c r="AF136" t="s">
        <v>74</v>
      </c>
      <c r="AG136">
        <v>78</v>
      </c>
      <c r="AH136">
        <v>10</v>
      </c>
      <c r="AI136">
        <v>12</v>
      </c>
      <c r="AJ136">
        <v>2</v>
      </c>
      <c r="AK136">
        <v>27</v>
      </c>
      <c r="AL136" t="s">
        <v>123</v>
      </c>
      <c r="AM136" t="s">
        <v>124</v>
      </c>
      <c r="AN136" t="s">
        <v>125</v>
      </c>
      <c r="AO136" t="s">
        <v>1609</v>
      </c>
      <c r="AP136" t="s">
        <v>1610</v>
      </c>
      <c r="AQ136" t="s">
        <v>74</v>
      </c>
      <c r="AR136" t="s">
        <v>1611</v>
      </c>
      <c r="AS136" t="s">
        <v>1612</v>
      </c>
      <c r="AT136" t="s">
        <v>2930</v>
      </c>
      <c r="AU136">
        <v>2018</v>
      </c>
      <c r="AV136">
        <v>50</v>
      </c>
      <c r="AW136">
        <v>1</v>
      </c>
      <c r="AX136" t="s">
        <v>74</v>
      </c>
      <c r="AY136" t="s">
        <v>74</v>
      </c>
      <c r="AZ136" t="s">
        <v>74</v>
      </c>
      <c r="BA136" t="s">
        <v>74</v>
      </c>
      <c r="BB136" t="s">
        <v>74</v>
      </c>
      <c r="BC136" t="s">
        <v>74</v>
      </c>
      <c r="BD136" t="s">
        <v>2931</v>
      </c>
      <c r="BE136" t="s">
        <v>2932</v>
      </c>
      <c r="BF136" t="str">
        <f>HYPERLINK("http://dx.doi.org/10.1080/15230430.2018.1435844","http://dx.doi.org/10.1080/15230430.2018.1435844")</f>
        <v>http://dx.doi.org/10.1080/15230430.2018.1435844</v>
      </c>
      <c r="BG136" t="s">
        <v>74</v>
      </c>
      <c r="BH136" t="s">
        <v>74</v>
      </c>
      <c r="BI136">
        <v>12</v>
      </c>
      <c r="BJ136" t="s">
        <v>1616</v>
      </c>
      <c r="BK136" t="s">
        <v>101</v>
      </c>
      <c r="BL136" t="s">
        <v>1617</v>
      </c>
      <c r="BM136" t="s">
        <v>2933</v>
      </c>
      <c r="BN136" t="s">
        <v>74</v>
      </c>
      <c r="BO136" t="s">
        <v>133</v>
      </c>
      <c r="BP136" t="s">
        <v>74</v>
      </c>
      <c r="BQ136" t="s">
        <v>74</v>
      </c>
      <c r="BR136" t="s">
        <v>105</v>
      </c>
      <c r="BS136" t="s">
        <v>2934</v>
      </c>
      <c r="BT136" t="str">
        <f>HYPERLINK("https%3A%2F%2Fwww.webofscience.com%2Fwos%2Fwoscc%2Ffull-record%2FWOS:000438728700001","View Full Record in Web of Science")</f>
        <v>View Full Record in Web of Science</v>
      </c>
    </row>
    <row r="137" spans="1:72" x14ac:dyDescent="0.15">
      <c r="A137" t="s">
        <v>72</v>
      </c>
      <c r="B137" t="s">
        <v>2935</v>
      </c>
      <c r="C137" t="s">
        <v>74</v>
      </c>
      <c r="D137" t="s">
        <v>74</v>
      </c>
      <c r="E137" t="s">
        <v>74</v>
      </c>
      <c r="F137" t="s">
        <v>2936</v>
      </c>
      <c r="G137" t="s">
        <v>74</v>
      </c>
      <c r="H137" t="s">
        <v>74</v>
      </c>
      <c r="I137" t="s">
        <v>2937</v>
      </c>
      <c r="J137" t="s">
        <v>1623</v>
      </c>
      <c r="K137" t="s">
        <v>74</v>
      </c>
      <c r="L137" t="s">
        <v>74</v>
      </c>
      <c r="M137" t="s">
        <v>78</v>
      </c>
      <c r="N137" t="s">
        <v>79</v>
      </c>
      <c r="O137" t="s">
        <v>74</v>
      </c>
      <c r="P137" t="s">
        <v>74</v>
      </c>
      <c r="Q137" t="s">
        <v>74</v>
      </c>
      <c r="R137" t="s">
        <v>74</v>
      </c>
      <c r="S137" t="s">
        <v>74</v>
      </c>
      <c r="T137" t="s">
        <v>2938</v>
      </c>
      <c r="U137" t="s">
        <v>2939</v>
      </c>
      <c r="V137" t="s">
        <v>2940</v>
      </c>
      <c r="W137" t="s">
        <v>2941</v>
      </c>
      <c r="X137" t="s">
        <v>2942</v>
      </c>
      <c r="Y137" t="s">
        <v>2943</v>
      </c>
      <c r="Z137" t="s">
        <v>2944</v>
      </c>
      <c r="AA137" t="s">
        <v>74</v>
      </c>
      <c r="AB137" t="s">
        <v>74</v>
      </c>
      <c r="AC137" t="s">
        <v>2945</v>
      </c>
      <c r="AD137" t="s">
        <v>2946</v>
      </c>
      <c r="AE137" t="s">
        <v>2947</v>
      </c>
      <c r="AF137" t="s">
        <v>74</v>
      </c>
      <c r="AG137">
        <v>31</v>
      </c>
      <c r="AH137">
        <v>1</v>
      </c>
      <c r="AI137">
        <v>2</v>
      </c>
      <c r="AJ137">
        <v>0</v>
      </c>
      <c r="AK137">
        <v>24</v>
      </c>
      <c r="AL137" t="s">
        <v>123</v>
      </c>
      <c r="AM137" t="s">
        <v>124</v>
      </c>
      <c r="AN137" t="s">
        <v>125</v>
      </c>
      <c r="AO137" t="s">
        <v>1639</v>
      </c>
      <c r="AP137" t="s">
        <v>1640</v>
      </c>
      <c r="AQ137" t="s">
        <v>74</v>
      </c>
      <c r="AR137" t="s">
        <v>2132</v>
      </c>
      <c r="AS137" t="s">
        <v>1642</v>
      </c>
      <c r="AT137" t="s">
        <v>2948</v>
      </c>
      <c r="AU137">
        <v>2018</v>
      </c>
      <c r="AV137">
        <v>37</v>
      </c>
      <c r="AW137" t="s">
        <v>74</v>
      </c>
      <c r="AX137" t="s">
        <v>74</v>
      </c>
      <c r="AY137" t="s">
        <v>74</v>
      </c>
      <c r="AZ137" t="s">
        <v>74</v>
      </c>
      <c r="BA137" t="s">
        <v>74</v>
      </c>
      <c r="BB137" t="s">
        <v>74</v>
      </c>
      <c r="BC137" t="s">
        <v>74</v>
      </c>
      <c r="BD137">
        <v>1457395</v>
      </c>
      <c r="BE137" t="s">
        <v>2949</v>
      </c>
      <c r="BF137" t="str">
        <f>HYPERLINK("http://dx.doi.org/10.1080/17518369.2018.1457395","http://dx.doi.org/10.1080/17518369.2018.1457395")</f>
        <v>http://dx.doi.org/10.1080/17518369.2018.1457395</v>
      </c>
      <c r="BG137" t="s">
        <v>74</v>
      </c>
      <c r="BH137" t="s">
        <v>74</v>
      </c>
      <c r="BI137">
        <v>8</v>
      </c>
      <c r="BJ137" t="s">
        <v>1644</v>
      </c>
      <c r="BK137" t="s">
        <v>101</v>
      </c>
      <c r="BL137" t="s">
        <v>1645</v>
      </c>
      <c r="BM137" t="s">
        <v>2950</v>
      </c>
      <c r="BN137" t="s">
        <v>74</v>
      </c>
      <c r="BO137" t="s">
        <v>133</v>
      </c>
      <c r="BP137" t="s">
        <v>74</v>
      </c>
      <c r="BQ137" t="s">
        <v>74</v>
      </c>
      <c r="BR137" t="s">
        <v>105</v>
      </c>
      <c r="BS137" t="s">
        <v>2951</v>
      </c>
      <c r="BT137" t="str">
        <f>HYPERLINK("https%3A%2F%2Fwww.webofscience.com%2Fwos%2Fwoscc%2Ffull-record%2FWOS:000431798400001","View Full Record in Web of Science")</f>
        <v>View Full Record in Web of Science</v>
      </c>
    </row>
    <row r="138" spans="1:72" x14ac:dyDescent="0.15">
      <c r="A138" t="s">
        <v>72</v>
      </c>
      <c r="B138" t="s">
        <v>2952</v>
      </c>
      <c r="C138" t="s">
        <v>74</v>
      </c>
      <c r="D138" t="s">
        <v>74</v>
      </c>
      <c r="E138" t="s">
        <v>74</v>
      </c>
      <c r="F138" t="s">
        <v>2953</v>
      </c>
      <c r="G138" t="s">
        <v>74</v>
      </c>
      <c r="H138" t="s">
        <v>74</v>
      </c>
      <c r="I138" t="s">
        <v>2954</v>
      </c>
      <c r="J138" t="s">
        <v>2955</v>
      </c>
      <c r="K138" t="s">
        <v>74</v>
      </c>
      <c r="L138" t="s">
        <v>74</v>
      </c>
      <c r="M138" t="s">
        <v>78</v>
      </c>
      <c r="N138" t="s">
        <v>79</v>
      </c>
      <c r="O138" t="s">
        <v>74</v>
      </c>
      <c r="P138" t="s">
        <v>74</v>
      </c>
      <c r="Q138" t="s">
        <v>74</v>
      </c>
      <c r="R138" t="s">
        <v>74</v>
      </c>
      <c r="S138" t="s">
        <v>74</v>
      </c>
      <c r="T138" t="s">
        <v>2956</v>
      </c>
      <c r="U138" t="s">
        <v>2957</v>
      </c>
      <c r="V138" t="s">
        <v>2958</v>
      </c>
      <c r="W138" t="s">
        <v>2959</v>
      </c>
      <c r="X138" t="s">
        <v>2960</v>
      </c>
      <c r="Y138" t="s">
        <v>2961</v>
      </c>
      <c r="Z138" t="s">
        <v>2962</v>
      </c>
      <c r="AA138" t="s">
        <v>2963</v>
      </c>
      <c r="AB138" t="s">
        <v>2964</v>
      </c>
      <c r="AC138" t="s">
        <v>2965</v>
      </c>
      <c r="AD138" t="s">
        <v>2966</v>
      </c>
      <c r="AE138" t="s">
        <v>2967</v>
      </c>
      <c r="AF138" t="s">
        <v>74</v>
      </c>
      <c r="AG138">
        <v>117</v>
      </c>
      <c r="AH138">
        <v>40</v>
      </c>
      <c r="AI138">
        <v>40</v>
      </c>
      <c r="AJ138">
        <v>0</v>
      </c>
      <c r="AK138">
        <v>13</v>
      </c>
      <c r="AL138" t="s">
        <v>2968</v>
      </c>
      <c r="AM138" t="s">
        <v>1540</v>
      </c>
      <c r="AN138" t="s">
        <v>2969</v>
      </c>
      <c r="AO138" t="s">
        <v>2970</v>
      </c>
      <c r="AP138" t="s">
        <v>74</v>
      </c>
      <c r="AQ138" t="s">
        <v>74</v>
      </c>
      <c r="AR138" t="s">
        <v>2955</v>
      </c>
      <c r="AS138" t="s">
        <v>2971</v>
      </c>
      <c r="AT138" t="s">
        <v>2948</v>
      </c>
      <c r="AU138">
        <v>2018</v>
      </c>
      <c r="AV138">
        <v>19</v>
      </c>
      <c r="AW138" t="s">
        <v>74</v>
      </c>
      <c r="AX138" t="s">
        <v>74</v>
      </c>
      <c r="AY138" t="s">
        <v>74</v>
      </c>
      <c r="AZ138" t="s">
        <v>74</v>
      </c>
      <c r="BA138" t="s">
        <v>74</v>
      </c>
      <c r="BB138" t="s">
        <v>74</v>
      </c>
      <c r="BC138" t="s">
        <v>74</v>
      </c>
      <c r="BD138">
        <v>339</v>
      </c>
      <c r="BE138" t="s">
        <v>2972</v>
      </c>
      <c r="BF138" t="str">
        <f>HYPERLINK("http://dx.doi.org/10.1186/s12864-018-4714-x","http://dx.doi.org/10.1186/s12864-018-4714-x")</f>
        <v>http://dx.doi.org/10.1186/s12864-018-4714-x</v>
      </c>
      <c r="BG138" t="s">
        <v>74</v>
      </c>
      <c r="BH138" t="s">
        <v>74</v>
      </c>
      <c r="BI138">
        <v>18</v>
      </c>
      <c r="BJ138" t="s">
        <v>2973</v>
      </c>
      <c r="BK138" t="s">
        <v>101</v>
      </c>
      <c r="BL138" t="s">
        <v>2973</v>
      </c>
      <c r="BM138" t="s">
        <v>2974</v>
      </c>
      <c r="BN138">
        <v>29739320</v>
      </c>
      <c r="BO138" t="s">
        <v>764</v>
      </c>
      <c r="BP138" t="s">
        <v>74</v>
      </c>
      <c r="BQ138" t="s">
        <v>74</v>
      </c>
      <c r="BR138" t="s">
        <v>105</v>
      </c>
      <c r="BS138" t="s">
        <v>2975</v>
      </c>
      <c r="BT138" t="str">
        <f>HYPERLINK("https%3A%2F%2Fwww.webofscience.com%2Fwos%2Fwoscc%2Ffull-record%2FWOS:000431829700001","View Full Record in Web of Science")</f>
        <v>View Full Record in Web of Science</v>
      </c>
    </row>
    <row r="139" spans="1:72" x14ac:dyDescent="0.15">
      <c r="A139" t="s">
        <v>72</v>
      </c>
      <c r="B139" t="s">
        <v>2976</v>
      </c>
      <c r="C139" t="s">
        <v>74</v>
      </c>
      <c r="D139" t="s">
        <v>74</v>
      </c>
      <c r="E139" t="s">
        <v>74</v>
      </c>
      <c r="F139" t="s">
        <v>2977</v>
      </c>
      <c r="G139" t="s">
        <v>74</v>
      </c>
      <c r="H139" t="s">
        <v>74</v>
      </c>
      <c r="I139" t="s">
        <v>2978</v>
      </c>
      <c r="J139" t="s">
        <v>2979</v>
      </c>
      <c r="K139" t="s">
        <v>74</v>
      </c>
      <c r="L139" t="s">
        <v>74</v>
      </c>
      <c r="M139" t="s">
        <v>78</v>
      </c>
      <c r="N139" t="s">
        <v>79</v>
      </c>
      <c r="O139" t="s">
        <v>74</v>
      </c>
      <c r="P139" t="s">
        <v>74</v>
      </c>
      <c r="Q139" t="s">
        <v>74</v>
      </c>
      <c r="R139" t="s">
        <v>74</v>
      </c>
      <c r="S139" t="s">
        <v>74</v>
      </c>
      <c r="T139" t="s">
        <v>2980</v>
      </c>
      <c r="U139" t="s">
        <v>2981</v>
      </c>
      <c r="V139" t="s">
        <v>2982</v>
      </c>
      <c r="W139" t="s">
        <v>2983</v>
      </c>
      <c r="X139" t="s">
        <v>2984</v>
      </c>
      <c r="Y139" t="s">
        <v>2985</v>
      </c>
      <c r="Z139" t="s">
        <v>2986</v>
      </c>
      <c r="AA139" t="s">
        <v>2987</v>
      </c>
      <c r="AB139" t="s">
        <v>2988</v>
      </c>
      <c r="AC139" t="s">
        <v>2989</v>
      </c>
      <c r="AD139" t="s">
        <v>2990</v>
      </c>
      <c r="AE139" t="s">
        <v>2991</v>
      </c>
      <c r="AF139" t="s">
        <v>74</v>
      </c>
      <c r="AG139">
        <v>49</v>
      </c>
      <c r="AH139">
        <v>21</v>
      </c>
      <c r="AI139">
        <v>23</v>
      </c>
      <c r="AJ139">
        <v>0</v>
      </c>
      <c r="AK139">
        <v>11</v>
      </c>
      <c r="AL139" t="s">
        <v>2152</v>
      </c>
      <c r="AM139" t="s">
        <v>2153</v>
      </c>
      <c r="AN139" t="s">
        <v>2154</v>
      </c>
      <c r="AO139" t="s">
        <v>74</v>
      </c>
      <c r="AP139" t="s">
        <v>2992</v>
      </c>
      <c r="AQ139" t="s">
        <v>74</v>
      </c>
      <c r="AR139" t="s">
        <v>2993</v>
      </c>
      <c r="AS139" t="s">
        <v>2994</v>
      </c>
      <c r="AT139" t="s">
        <v>2995</v>
      </c>
      <c r="AU139">
        <v>2018</v>
      </c>
      <c r="AV139">
        <v>6</v>
      </c>
      <c r="AW139" t="s">
        <v>74</v>
      </c>
      <c r="AX139" t="s">
        <v>74</v>
      </c>
      <c r="AY139" t="s">
        <v>74</v>
      </c>
      <c r="AZ139" t="s">
        <v>74</v>
      </c>
      <c r="BA139" t="s">
        <v>74</v>
      </c>
      <c r="BB139" t="s">
        <v>74</v>
      </c>
      <c r="BC139" t="s">
        <v>74</v>
      </c>
      <c r="BD139">
        <v>53</v>
      </c>
      <c r="BE139" t="s">
        <v>2996</v>
      </c>
      <c r="BF139" t="str">
        <f>HYPERLINK("http://dx.doi.org/10.3389/feart.2018.00053","http://dx.doi.org/10.3389/feart.2018.00053")</f>
        <v>http://dx.doi.org/10.3389/feart.2018.00053</v>
      </c>
      <c r="BG139" t="s">
        <v>74</v>
      </c>
      <c r="BH139" t="s">
        <v>74</v>
      </c>
      <c r="BI139">
        <v>18</v>
      </c>
      <c r="BJ139" t="s">
        <v>1243</v>
      </c>
      <c r="BK139" t="s">
        <v>101</v>
      </c>
      <c r="BL139" t="s">
        <v>1181</v>
      </c>
      <c r="BM139" t="s">
        <v>2997</v>
      </c>
      <c r="BN139" t="s">
        <v>74</v>
      </c>
      <c r="BO139" t="s">
        <v>2998</v>
      </c>
      <c r="BP139" t="s">
        <v>74</v>
      </c>
      <c r="BQ139" t="s">
        <v>74</v>
      </c>
      <c r="BR139" t="s">
        <v>105</v>
      </c>
      <c r="BS139" t="s">
        <v>2999</v>
      </c>
      <c r="BT139" t="str">
        <f>HYPERLINK("https%3A%2F%2Fwww.webofscience.com%2Fwos%2Fwoscc%2Ffull-record%2FWOS:000441669000002","View Full Record in Web of Science")</f>
        <v>View Full Record in Web of Science</v>
      </c>
    </row>
    <row r="140" spans="1:72" x14ac:dyDescent="0.15">
      <c r="A140" t="s">
        <v>72</v>
      </c>
      <c r="B140" t="s">
        <v>3000</v>
      </c>
      <c r="C140" t="s">
        <v>74</v>
      </c>
      <c r="D140" t="s">
        <v>74</v>
      </c>
      <c r="E140" t="s">
        <v>74</v>
      </c>
      <c r="F140" t="s">
        <v>3001</v>
      </c>
      <c r="G140" t="s">
        <v>74</v>
      </c>
      <c r="H140" t="s">
        <v>74</v>
      </c>
      <c r="I140" t="s">
        <v>3002</v>
      </c>
      <c r="J140" t="s">
        <v>1552</v>
      </c>
      <c r="K140" t="s">
        <v>74</v>
      </c>
      <c r="L140" t="s">
        <v>74</v>
      </c>
      <c r="M140" t="s">
        <v>78</v>
      </c>
      <c r="N140" t="s">
        <v>1427</v>
      </c>
      <c r="O140" t="s">
        <v>3003</v>
      </c>
      <c r="P140" t="s">
        <v>3004</v>
      </c>
      <c r="Q140" t="s">
        <v>3005</v>
      </c>
      <c r="R140" t="s">
        <v>74</v>
      </c>
      <c r="S140" t="s">
        <v>74</v>
      </c>
      <c r="T140" t="s">
        <v>74</v>
      </c>
      <c r="U140" t="s">
        <v>3006</v>
      </c>
      <c r="V140" t="s">
        <v>3007</v>
      </c>
      <c r="W140" t="s">
        <v>3008</v>
      </c>
      <c r="X140" t="s">
        <v>3009</v>
      </c>
      <c r="Y140" t="s">
        <v>3010</v>
      </c>
      <c r="Z140" t="s">
        <v>3011</v>
      </c>
      <c r="AA140" t="s">
        <v>3012</v>
      </c>
      <c r="AB140" t="s">
        <v>3013</v>
      </c>
      <c r="AC140" t="s">
        <v>3014</v>
      </c>
      <c r="AD140" t="s">
        <v>3015</v>
      </c>
      <c r="AE140" t="s">
        <v>3016</v>
      </c>
      <c r="AF140" t="s">
        <v>74</v>
      </c>
      <c r="AG140">
        <v>32</v>
      </c>
      <c r="AH140">
        <v>16</v>
      </c>
      <c r="AI140">
        <v>16</v>
      </c>
      <c r="AJ140">
        <v>0</v>
      </c>
      <c r="AK140">
        <v>13</v>
      </c>
      <c r="AL140" t="s">
        <v>1563</v>
      </c>
      <c r="AM140" t="s">
        <v>1564</v>
      </c>
      <c r="AN140" t="s">
        <v>1565</v>
      </c>
      <c r="AO140" t="s">
        <v>1566</v>
      </c>
      <c r="AP140" t="s">
        <v>1567</v>
      </c>
      <c r="AQ140" t="s">
        <v>74</v>
      </c>
      <c r="AR140" t="s">
        <v>1568</v>
      </c>
      <c r="AS140" t="s">
        <v>1569</v>
      </c>
      <c r="AT140" t="s">
        <v>3017</v>
      </c>
      <c r="AU140">
        <v>2018</v>
      </c>
      <c r="AV140">
        <v>18</v>
      </c>
      <c r="AW140">
        <v>9</v>
      </c>
      <c r="AX140" t="s">
        <v>74</v>
      </c>
      <c r="AY140" t="s">
        <v>74</v>
      </c>
      <c r="AZ140" t="s">
        <v>74</v>
      </c>
      <c r="BA140" t="s">
        <v>74</v>
      </c>
      <c r="BB140">
        <v>6427</v>
      </c>
      <c r="BC140">
        <v>6440</v>
      </c>
      <c r="BD140" t="s">
        <v>74</v>
      </c>
      <c r="BE140" t="s">
        <v>3018</v>
      </c>
      <c r="BF140" t="str">
        <f>HYPERLINK("http://dx.doi.org/10.5194/acp-18-6427-2018","http://dx.doi.org/10.5194/acp-18-6427-2018")</f>
        <v>http://dx.doi.org/10.5194/acp-18-6427-2018</v>
      </c>
      <c r="BG140" t="s">
        <v>74</v>
      </c>
      <c r="BH140" t="s">
        <v>74</v>
      </c>
      <c r="BI140">
        <v>14</v>
      </c>
      <c r="BJ140" t="s">
        <v>285</v>
      </c>
      <c r="BK140" t="s">
        <v>1449</v>
      </c>
      <c r="BL140" t="s">
        <v>286</v>
      </c>
      <c r="BM140" t="s">
        <v>3019</v>
      </c>
      <c r="BN140" t="s">
        <v>74</v>
      </c>
      <c r="BO140" t="s">
        <v>3020</v>
      </c>
      <c r="BP140" t="s">
        <v>74</v>
      </c>
      <c r="BQ140" t="s">
        <v>74</v>
      </c>
      <c r="BR140" t="s">
        <v>105</v>
      </c>
      <c r="BS140" t="s">
        <v>3021</v>
      </c>
      <c r="BT140" t="str">
        <f>HYPERLINK("https%3A%2F%2Fwww.webofscience.com%2Fwos%2Fwoscc%2Ffull-record%2FWOS:000431588500003","View Full Record in Web of Science")</f>
        <v>View Full Record in Web of Science</v>
      </c>
    </row>
    <row r="141" spans="1:72" x14ac:dyDescent="0.15">
      <c r="A141" t="s">
        <v>72</v>
      </c>
      <c r="B141" t="s">
        <v>3022</v>
      </c>
      <c r="C141" t="s">
        <v>74</v>
      </c>
      <c r="D141" t="s">
        <v>74</v>
      </c>
      <c r="E141" t="s">
        <v>74</v>
      </c>
      <c r="F141" t="s">
        <v>3023</v>
      </c>
      <c r="G141" t="s">
        <v>74</v>
      </c>
      <c r="H141" t="s">
        <v>74</v>
      </c>
      <c r="I141" t="s">
        <v>3024</v>
      </c>
      <c r="J141" t="s">
        <v>3025</v>
      </c>
      <c r="K141" t="s">
        <v>74</v>
      </c>
      <c r="L141" t="s">
        <v>74</v>
      </c>
      <c r="M141" t="s">
        <v>78</v>
      </c>
      <c r="N141" t="s">
        <v>79</v>
      </c>
      <c r="O141" t="s">
        <v>74</v>
      </c>
      <c r="P141" t="s">
        <v>74</v>
      </c>
      <c r="Q141" t="s">
        <v>74</v>
      </c>
      <c r="R141" t="s">
        <v>74</v>
      </c>
      <c r="S141" t="s">
        <v>74</v>
      </c>
      <c r="T141" t="s">
        <v>3026</v>
      </c>
      <c r="U141" t="s">
        <v>3027</v>
      </c>
      <c r="V141" t="s">
        <v>3028</v>
      </c>
      <c r="W141" t="s">
        <v>3029</v>
      </c>
      <c r="X141" t="s">
        <v>3030</v>
      </c>
      <c r="Y141" t="s">
        <v>3031</v>
      </c>
      <c r="Z141" t="s">
        <v>3032</v>
      </c>
      <c r="AA141" t="s">
        <v>3033</v>
      </c>
      <c r="AB141" t="s">
        <v>3034</v>
      </c>
      <c r="AC141" t="s">
        <v>3035</v>
      </c>
      <c r="AD141" t="s">
        <v>3036</v>
      </c>
      <c r="AE141" t="s">
        <v>3037</v>
      </c>
      <c r="AF141" t="s">
        <v>74</v>
      </c>
      <c r="AG141">
        <v>67</v>
      </c>
      <c r="AH141">
        <v>25</v>
      </c>
      <c r="AI141">
        <v>26</v>
      </c>
      <c r="AJ141">
        <v>5</v>
      </c>
      <c r="AK141">
        <v>25</v>
      </c>
      <c r="AL141" t="s">
        <v>2152</v>
      </c>
      <c r="AM141" t="s">
        <v>2153</v>
      </c>
      <c r="AN141" t="s">
        <v>2154</v>
      </c>
      <c r="AO141" t="s">
        <v>3038</v>
      </c>
      <c r="AP141" t="s">
        <v>74</v>
      </c>
      <c r="AQ141" t="s">
        <v>74</v>
      </c>
      <c r="AR141" t="s">
        <v>3039</v>
      </c>
      <c r="AS141" t="s">
        <v>3040</v>
      </c>
      <c r="AT141" t="s">
        <v>3017</v>
      </c>
      <c r="AU141">
        <v>2018</v>
      </c>
      <c r="AV141">
        <v>9</v>
      </c>
      <c r="AW141" t="s">
        <v>74</v>
      </c>
      <c r="AX141" t="s">
        <v>74</v>
      </c>
      <c r="AY141" t="s">
        <v>74</v>
      </c>
      <c r="AZ141" t="s">
        <v>74</v>
      </c>
      <c r="BA141" t="s">
        <v>74</v>
      </c>
      <c r="BB141" t="s">
        <v>74</v>
      </c>
      <c r="BC141" t="s">
        <v>74</v>
      </c>
      <c r="BD141">
        <v>899</v>
      </c>
      <c r="BE141" t="s">
        <v>3041</v>
      </c>
      <c r="BF141" t="str">
        <f>HYPERLINK("http://dx.doi.org/10.3389/fmicb.2018.00899","http://dx.doi.org/10.3389/fmicb.2018.00899")</f>
        <v>http://dx.doi.org/10.3389/fmicb.2018.00899</v>
      </c>
      <c r="BG141" t="s">
        <v>74</v>
      </c>
      <c r="BH141" t="s">
        <v>74</v>
      </c>
      <c r="BI141">
        <v>13</v>
      </c>
      <c r="BJ141" t="s">
        <v>510</v>
      </c>
      <c r="BK141" t="s">
        <v>101</v>
      </c>
      <c r="BL141" t="s">
        <v>510</v>
      </c>
      <c r="BM141" t="s">
        <v>3042</v>
      </c>
      <c r="BN141">
        <v>29867810</v>
      </c>
      <c r="BO141" t="s">
        <v>2998</v>
      </c>
      <c r="BP141" t="s">
        <v>74</v>
      </c>
      <c r="BQ141" t="s">
        <v>74</v>
      </c>
      <c r="BR141" t="s">
        <v>105</v>
      </c>
      <c r="BS141" t="s">
        <v>3043</v>
      </c>
      <c r="BT141" t="str">
        <f>HYPERLINK("https%3A%2F%2Fwww.webofscience.com%2Fwos%2Fwoscc%2Ffull-record%2FWOS:000431481400002","View Full Record in Web of Science")</f>
        <v>View Full Record in Web of Science</v>
      </c>
    </row>
    <row r="142" spans="1:72" x14ac:dyDescent="0.15">
      <c r="A142" t="s">
        <v>72</v>
      </c>
      <c r="B142" t="s">
        <v>3044</v>
      </c>
      <c r="C142" t="s">
        <v>74</v>
      </c>
      <c r="D142" t="s">
        <v>74</v>
      </c>
      <c r="E142" t="s">
        <v>74</v>
      </c>
      <c r="F142" t="s">
        <v>3045</v>
      </c>
      <c r="G142" t="s">
        <v>74</v>
      </c>
      <c r="H142" t="s">
        <v>74</v>
      </c>
      <c r="I142" t="s">
        <v>3046</v>
      </c>
      <c r="J142" t="s">
        <v>1598</v>
      </c>
      <c r="K142" t="s">
        <v>74</v>
      </c>
      <c r="L142" t="s">
        <v>74</v>
      </c>
      <c r="M142" t="s">
        <v>78</v>
      </c>
      <c r="N142" t="s">
        <v>79</v>
      </c>
      <c r="O142" t="s">
        <v>74</v>
      </c>
      <c r="P142" t="s">
        <v>74</v>
      </c>
      <c r="Q142" t="s">
        <v>74</v>
      </c>
      <c r="R142" t="s">
        <v>74</v>
      </c>
      <c r="S142" t="s">
        <v>74</v>
      </c>
      <c r="T142" t="s">
        <v>3047</v>
      </c>
      <c r="U142" t="s">
        <v>3048</v>
      </c>
      <c r="V142" t="s">
        <v>3049</v>
      </c>
      <c r="W142" t="s">
        <v>3050</v>
      </c>
      <c r="X142" t="s">
        <v>3051</v>
      </c>
      <c r="Y142" t="s">
        <v>3052</v>
      </c>
      <c r="Z142" t="s">
        <v>3053</v>
      </c>
      <c r="AA142" t="s">
        <v>3054</v>
      </c>
      <c r="AB142" t="s">
        <v>3055</v>
      </c>
      <c r="AC142" t="s">
        <v>3056</v>
      </c>
      <c r="AD142" t="s">
        <v>3057</v>
      </c>
      <c r="AE142" t="s">
        <v>3058</v>
      </c>
      <c r="AF142" t="s">
        <v>74</v>
      </c>
      <c r="AG142">
        <v>65</v>
      </c>
      <c r="AH142">
        <v>10</v>
      </c>
      <c r="AI142">
        <v>13</v>
      </c>
      <c r="AJ142">
        <v>2</v>
      </c>
      <c r="AK142">
        <v>20</v>
      </c>
      <c r="AL142" t="s">
        <v>123</v>
      </c>
      <c r="AM142" t="s">
        <v>124</v>
      </c>
      <c r="AN142" t="s">
        <v>125</v>
      </c>
      <c r="AO142" t="s">
        <v>1609</v>
      </c>
      <c r="AP142" t="s">
        <v>1610</v>
      </c>
      <c r="AQ142" t="s">
        <v>74</v>
      </c>
      <c r="AR142" t="s">
        <v>1611</v>
      </c>
      <c r="AS142" t="s">
        <v>1612</v>
      </c>
      <c r="AT142" t="s">
        <v>3059</v>
      </c>
      <c r="AU142">
        <v>2018</v>
      </c>
      <c r="AV142">
        <v>50</v>
      </c>
      <c r="AW142">
        <v>1</v>
      </c>
      <c r="AX142" t="s">
        <v>74</v>
      </c>
      <c r="AY142" t="s">
        <v>74</v>
      </c>
      <c r="AZ142" t="s">
        <v>74</v>
      </c>
      <c r="BA142" t="s">
        <v>74</v>
      </c>
      <c r="BB142" t="s">
        <v>74</v>
      </c>
      <c r="BC142" t="s">
        <v>74</v>
      </c>
      <c r="BD142" t="s">
        <v>3060</v>
      </c>
      <c r="BE142" t="s">
        <v>3061</v>
      </c>
      <c r="BF142" t="str">
        <f>HYPERLINK("http://dx.doi.org/10.1080/15230430.2018.1436815","http://dx.doi.org/10.1080/15230430.2018.1436815")</f>
        <v>http://dx.doi.org/10.1080/15230430.2018.1436815</v>
      </c>
      <c r="BG142" t="s">
        <v>74</v>
      </c>
      <c r="BH142" t="s">
        <v>74</v>
      </c>
      <c r="BI142">
        <v>16</v>
      </c>
      <c r="BJ142" t="s">
        <v>1616</v>
      </c>
      <c r="BK142" t="s">
        <v>101</v>
      </c>
      <c r="BL142" t="s">
        <v>1617</v>
      </c>
      <c r="BM142" t="s">
        <v>3062</v>
      </c>
      <c r="BN142" t="s">
        <v>74</v>
      </c>
      <c r="BO142" t="s">
        <v>133</v>
      </c>
      <c r="BP142" t="s">
        <v>74</v>
      </c>
      <c r="BQ142" t="s">
        <v>74</v>
      </c>
      <c r="BR142" t="s">
        <v>105</v>
      </c>
      <c r="BS142" t="s">
        <v>3063</v>
      </c>
      <c r="BT142" t="str">
        <f>HYPERLINK("https%3A%2F%2Fwww.webofscience.com%2Fwos%2Fwoscc%2Ffull-record%2FWOS:000438745400001","View Full Record in Web of Science")</f>
        <v>View Full Record in Web of Science</v>
      </c>
    </row>
    <row r="143" spans="1:72" x14ac:dyDescent="0.15">
      <c r="A143" t="s">
        <v>72</v>
      </c>
      <c r="B143" t="s">
        <v>3064</v>
      </c>
      <c r="C143" t="s">
        <v>74</v>
      </c>
      <c r="D143" t="s">
        <v>74</v>
      </c>
      <c r="E143" t="s">
        <v>74</v>
      </c>
      <c r="F143" t="s">
        <v>3065</v>
      </c>
      <c r="G143" t="s">
        <v>74</v>
      </c>
      <c r="H143" t="s">
        <v>74</v>
      </c>
      <c r="I143" t="s">
        <v>3066</v>
      </c>
      <c r="J143" t="s">
        <v>1598</v>
      </c>
      <c r="K143" t="s">
        <v>74</v>
      </c>
      <c r="L143" t="s">
        <v>74</v>
      </c>
      <c r="M143" t="s">
        <v>78</v>
      </c>
      <c r="N143" t="s">
        <v>79</v>
      </c>
      <c r="O143" t="s">
        <v>74</v>
      </c>
      <c r="P143" t="s">
        <v>74</v>
      </c>
      <c r="Q143" t="s">
        <v>74</v>
      </c>
      <c r="R143" t="s">
        <v>74</v>
      </c>
      <c r="S143" t="s">
        <v>74</v>
      </c>
      <c r="T143" t="s">
        <v>3067</v>
      </c>
      <c r="U143" t="s">
        <v>3068</v>
      </c>
      <c r="V143" t="s">
        <v>3069</v>
      </c>
      <c r="W143" t="s">
        <v>3070</v>
      </c>
      <c r="X143" t="s">
        <v>3071</v>
      </c>
      <c r="Y143" t="s">
        <v>3072</v>
      </c>
      <c r="Z143" t="s">
        <v>3073</v>
      </c>
      <c r="AA143" t="s">
        <v>3074</v>
      </c>
      <c r="AB143" t="s">
        <v>3075</v>
      </c>
      <c r="AC143" t="s">
        <v>3076</v>
      </c>
      <c r="AD143" t="s">
        <v>3077</v>
      </c>
      <c r="AE143" t="s">
        <v>3078</v>
      </c>
      <c r="AF143" t="s">
        <v>74</v>
      </c>
      <c r="AG143">
        <v>66</v>
      </c>
      <c r="AH143">
        <v>10</v>
      </c>
      <c r="AI143">
        <v>10</v>
      </c>
      <c r="AJ143">
        <v>6</v>
      </c>
      <c r="AK143">
        <v>50</v>
      </c>
      <c r="AL143" t="s">
        <v>123</v>
      </c>
      <c r="AM143" t="s">
        <v>124</v>
      </c>
      <c r="AN143" t="s">
        <v>125</v>
      </c>
      <c r="AO143" t="s">
        <v>1609</v>
      </c>
      <c r="AP143" t="s">
        <v>1610</v>
      </c>
      <c r="AQ143" t="s">
        <v>74</v>
      </c>
      <c r="AR143" t="s">
        <v>1611</v>
      </c>
      <c r="AS143" t="s">
        <v>1612</v>
      </c>
      <c r="AT143" t="s">
        <v>3059</v>
      </c>
      <c r="AU143">
        <v>2018</v>
      </c>
      <c r="AV143">
        <v>50</v>
      </c>
      <c r="AW143">
        <v>1</v>
      </c>
      <c r="AX143" t="s">
        <v>74</v>
      </c>
      <c r="AY143" t="s">
        <v>74</v>
      </c>
      <c r="AZ143" t="s">
        <v>74</v>
      </c>
      <c r="BA143" t="s">
        <v>74</v>
      </c>
      <c r="BB143" t="s">
        <v>74</v>
      </c>
      <c r="BC143" t="s">
        <v>74</v>
      </c>
      <c r="BD143" t="s">
        <v>3079</v>
      </c>
      <c r="BE143" t="s">
        <v>3080</v>
      </c>
      <c r="BF143" t="str">
        <f>HYPERLINK("http://dx.doi.org/10.1080/15230430.2017.1414457","http://dx.doi.org/10.1080/15230430.2017.1414457")</f>
        <v>http://dx.doi.org/10.1080/15230430.2017.1414457</v>
      </c>
      <c r="BG143" t="s">
        <v>74</v>
      </c>
      <c r="BH143" t="s">
        <v>74</v>
      </c>
      <c r="BI143">
        <v>13</v>
      </c>
      <c r="BJ143" t="s">
        <v>1616</v>
      </c>
      <c r="BK143" t="s">
        <v>101</v>
      </c>
      <c r="BL143" t="s">
        <v>1617</v>
      </c>
      <c r="BM143" t="s">
        <v>3081</v>
      </c>
      <c r="BN143" t="s">
        <v>74</v>
      </c>
      <c r="BO143" t="s">
        <v>133</v>
      </c>
      <c r="BP143" t="s">
        <v>74</v>
      </c>
      <c r="BQ143" t="s">
        <v>74</v>
      </c>
      <c r="BR143" t="s">
        <v>105</v>
      </c>
      <c r="BS143" t="s">
        <v>3082</v>
      </c>
      <c r="BT143" t="str">
        <f>HYPERLINK("https%3A%2F%2Fwww.webofscience.com%2Fwos%2Fwoscc%2Ffull-record%2FWOS:000438748600001","View Full Record in Web of Science")</f>
        <v>View Full Record in Web of Science</v>
      </c>
    </row>
    <row r="144" spans="1:72" x14ac:dyDescent="0.15">
      <c r="A144" t="s">
        <v>72</v>
      </c>
      <c r="B144" t="s">
        <v>3083</v>
      </c>
      <c r="C144" t="s">
        <v>74</v>
      </c>
      <c r="D144" t="s">
        <v>74</v>
      </c>
      <c r="E144" t="s">
        <v>74</v>
      </c>
      <c r="F144" t="s">
        <v>3084</v>
      </c>
      <c r="G144" t="s">
        <v>74</v>
      </c>
      <c r="H144" t="s">
        <v>74</v>
      </c>
      <c r="I144" t="s">
        <v>3085</v>
      </c>
      <c r="J144" t="s">
        <v>3086</v>
      </c>
      <c r="K144" t="s">
        <v>74</v>
      </c>
      <c r="L144" t="s">
        <v>74</v>
      </c>
      <c r="M144" t="s">
        <v>78</v>
      </c>
      <c r="N144" t="s">
        <v>79</v>
      </c>
      <c r="O144" t="s">
        <v>74</v>
      </c>
      <c r="P144" t="s">
        <v>74</v>
      </c>
      <c r="Q144" t="s">
        <v>74</v>
      </c>
      <c r="R144" t="s">
        <v>74</v>
      </c>
      <c r="S144" t="s">
        <v>74</v>
      </c>
      <c r="T144" t="s">
        <v>3087</v>
      </c>
      <c r="U144" t="s">
        <v>3088</v>
      </c>
      <c r="V144" t="s">
        <v>3089</v>
      </c>
      <c r="W144" t="s">
        <v>3090</v>
      </c>
      <c r="X144" t="s">
        <v>3091</v>
      </c>
      <c r="Y144" t="s">
        <v>3092</v>
      </c>
      <c r="Z144" t="s">
        <v>3093</v>
      </c>
      <c r="AA144" t="s">
        <v>3094</v>
      </c>
      <c r="AB144" t="s">
        <v>3095</v>
      </c>
      <c r="AC144" t="s">
        <v>3096</v>
      </c>
      <c r="AD144" t="s">
        <v>3097</v>
      </c>
      <c r="AE144" t="s">
        <v>3098</v>
      </c>
      <c r="AF144" t="s">
        <v>74</v>
      </c>
      <c r="AG144">
        <v>42</v>
      </c>
      <c r="AH144">
        <v>9</v>
      </c>
      <c r="AI144">
        <v>9</v>
      </c>
      <c r="AJ144">
        <v>1</v>
      </c>
      <c r="AK144">
        <v>12</v>
      </c>
      <c r="AL144" t="s">
        <v>2968</v>
      </c>
      <c r="AM144" t="s">
        <v>1540</v>
      </c>
      <c r="AN144" t="s">
        <v>2969</v>
      </c>
      <c r="AO144" t="s">
        <v>3099</v>
      </c>
      <c r="AP144" t="s">
        <v>74</v>
      </c>
      <c r="AQ144" t="s">
        <v>74</v>
      </c>
      <c r="AR144" t="s">
        <v>3100</v>
      </c>
      <c r="AS144" t="s">
        <v>3101</v>
      </c>
      <c r="AT144" t="s">
        <v>3059</v>
      </c>
      <c r="AU144">
        <v>2018</v>
      </c>
      <c r="AV144">
        <v>19</v>
      </c>
      <c r="AW144" t="s">
        <v>74</v>
      </c>
      <c r="AX144" t="s">
        <v>74</v>
      </c>
      <c r="AY144" t="s">
        <v>74</v>
      </c>
      <c r="AZ144" t="s">
        <v>74</v>
      </c>
      <c r="BA144" t="s">
        <v>74</v>
      </c>
      <c r="BB144" t="s">
        <v>74</v>
      </c>
      <c r="BC144" t="s">
        <v>74</v>
      </c>
      <c r="BD144">
        <v>27</v>
      </c>
      <c r="BE144" t="s">
        <v>3102</v>
      </c>
      <c r="BF144" t="str">
        <f>HYPERLINK("http://dx.doi.org/10.1186/s12863-018-0621-z","http://dx.doi.org/10.1186/s12863-018-0621-z")</f>
        <v>http://dx.doi.org/10.1186/s12863-018-0621-z</v>
      </c>
      <c r="BG144" t="s">
        <v>74</v>
      </c>
      <c r="BH144" t="s">
        <v>74</v>
      </c>
      <c r="BI144">
        <v>9</v>
      </c>
      <c r="BJ144" t="s">
        <v>3103</v>
      </c>
      <c r="BK144" t="s">
        <v>101</v>
      </c>
      <c r="BL144" t="s">
        <v>3103</v>
      </c>
      <c r="BM144" t="s">
        <v>3104</v>
      </c>
      <c r="BN144">
        <v>29728054</v>
      </c>
      <c r="BO144" t="s">
        <v>3105</v>
      </c>
      <c r="BP144" t="s">
        <v>74</v>
      </c>
      <c r="BQ144" t="s">
        <v>74</v>
      </c>
      <c r="BR144" t="s">
        <v>105</v>
      </c>
      <c r="BS144" t="s">
        <v>3106</v>
      </c>
      <c r="BT144" t="str">
        <f>HYPERLINK("https%3A%2F%2Fwww.webofscience.com%2Fwos%2Fwoscc%2Ffull-record%2FWOS:000431885200001","View Full Record in Web of Science")</f>
        <v>View Full Record in Web of Science</v>
      </c>
    </row>
    <row r="145" spans="1:72" x14ac:dyDescent="0.15">
      <c r="A145" t="s">
        <v>72</v>
      </c>
      <c r="B145" t="s">
        <v>3107</v>
      </c>
      <c r="C145" t="s">
        <v>74</v>
      </c>
      <c r="D145" t="s">
        <v>74</v>
      </c>
      <c r="E145" t="s">
        <v>74</v>
      </c>
      <c r="F145" t="s">
        <v>3108</v>
      </c>
      <c r="G145" t="s">
        <v>74</v>
      </c>
      <c r="H145" t="s">
        <v>74</v>
      </c>
      <c r="I145" t="s">
        <v>3109</v>
      </c>
      <c r="J145" t="s">
        <v>1576</v>
      </c>
      <c r="K145" t="s">
        <v>74</v>
      </c>
      <c r="L145" t="s">
        <v>74</v>
      </c>
      <c r="M145" t="s">
        <v>78</v>
      </c>
      <c r="N145" t="s">
        <v>79</v>
      </c>
      <c r="O145" t="s">
        <v>74</v>
      </c>
      <c r="P145" t="s">
        <v>74</v>
      </c>
      <c r="Q145" t="s">
        <v>74</v>
      </c>
      <c r="R145" t="s">
        <v>74</v>
      </c>
      <c r="S145" t="s">
        <v>74</v>
      </c>
      <c r="T145" t="s">
        <v>74</v>
      </c>
      <c r="U145" t="s">
        <v>3110</v>
      </c>
      <c r="V145" t="s">
        <v>3111</v>
      </c>
      <c r="W145" t="s">
        <v>3112</v>
      </c>
      <c r="X145" t="s">
        <v>3113</v>
      </c>
      <c r="Y145" t="s">
        <v>3114</v>
      </c>
      <c r="Z145" t="s">
        <v>3115</v>
      </c>
      <c r="AA145" t="s">
        <v>3116</v>
      </c>
      <c r="AB145" t="s">
        <v>3117</v>
      </c>
      <c r="AC145" t="s">
        <v>3118</v>
      </c>
      <c r="AD145" t="s">
        <v>3119</v>
      </c>
      <c r="AE145" t="s">
        <v>3120</v>
      </c>
      <c r="AF145" t="s">
        <v>74</v>
      </c>
      <c r="AG145">
        <v>102</v>
      </c>
      <c r="AH145">
        <v>11</v>
      </c>
      <c r="AI145">
        <v>11</v>
      </c>
      <c r="AJ145">
        <v>0</v>
      </c>
      <c r="AK145">
        <v>13</v>
      </c>
      <c r="AL145" t="s">
        <v>1563</v>
      </c>
      <c r="AM145" t="s">
        <v>1564</v>
      </c>
      <c r="AN145" t="s">
        <v>1565</v>
      </c>
      <c r="AO145" t="s">
        <v>1588</v>
      </c>
      <c r="AP145" t="s">
        <v>1589</v>
      </c>
      <c r="AQ145" t="s">
        <v>74</v>
      </c>
      <c r="AR145" t="s">
        <v>1576</v>
      </c>
      <c r="AS145" t="s">
        <v>1590</v>
      </c>
      <c r="AT145" t="s">
        <v>3059</v>
      </c>
      <c r="AU145">
        <v>2018</v>
      </c>
      <c r="AV145">
        <v>12</v>
      </c>
      <c r="AW145">
        <v>5</v>
      </c>
      <c r="AX145" t="s">
        <v>74</v>
      </c>
      <c r="AY145" t="s">
        <v>74</v>
      </c>
      <c r="AZ145" t="s">
        <v>74</v>
      </c>
      <c r="BA145" t="s">
        <v>74</v>
      </c>
      <c r="BB145">
        <v>1615</v>
      </c>
      <c r="BC145">
        <v>1628</v>
      </c>
      <c r="BD145" t="s">
        <v>74</v>
      </c>
      <c r="BE145" t="s">
        <v>3121</v>
      </c>
      <c r="BF145" t="str">
        <f>HYPERLINK("http://dx.doi.org/10.5194/tc-12-1615-2018","http://dx.doi.org/10.5194/tc-12-1615-2018")</f>
        <v>http://dx.doi.org/10.5194/tc-12-1615-2018</v>
      </c>
      <c r="BG145" t="s">
        <v>74</v>
      </c>
      <c r="BH145" t="s">
        <v>74</v>
      </c>
      <c r="BI145">
        <v>14</v>
      </c>
      <c r="BJ145" t="s">
        <v>338</v>
      </c>
      <c r="BK145" t="s">
        <v>101</v>
      </c>
      <c r="BL145" t="s">
        <v>339</v>
      </c>
      <c r="BM145" t="s">
        <v>3122</v>
      </c>
      <c r="BN145" t="s">
        <v>74</v>
      </c>
      <c r="BO145" t="s">
        <v>3123</v>
      </c>
      <c r="BP145" t="s">
        <v>74</v>
      </c>
      <c r="BQ145" t="s">
        <v>74</v>
      </c>
      <c r="BR145" t="s">
        <v>105</v>
      </c>
      <c r="BS145" t="s">
        <v>3124</v>
      </c>
      <c r="BT145" t="str">
        <f>HYPERLINK("https%3A%2F%2Fwww.webofscience.com%2Fwos%2Fwoscc%2Ffull-record%2FWOS:000431414100001","View Full Record in Web of Science")</f>
        <v>View Full Record in Web of Science</v>
      </c>
    </row>
    <row r="146" spans="1:72" x14ac:dyDescent="0.15">
      <c r="A146" t="s">
        <v>72</v>
      </c>
      <c r="B146" t="s">
        <v>3125</v>
      </c>
      <c r="C146" t="s">
        <v>74</v>
      </c>
      <c r="D146" t="s">
        <v>74</v>
      </c>
      <c r="E146" t="s">
        <v>74</v>
      </c>
      <c r="F146" t="s">
        <v>3126</v>
      </c>
      <c r="G146" t="s">
        <v>74</v>
      </c>
      <c r="H146" t="s">
        <v>74</v>
      </c>
      <c r="I146" t="s">
        <v>3127</v>
      </c>
      <c r="J146" t="s">
        <v>1576</v>
      </c>
      <c r="K146" t="s">
        <v>74</v>
      </c>
      <c r="L146" t="s">
        <v>74</v>
      </c>
      <c r="M146" t="s">
        <v>78</v>
      </c>
      <c r="N146" t="s">
        <v>79</v>
      </c>
      <c r="O146" t="s">
        <v>74</v>
      </c>
      <c r="P146" t="s">
        <v>74</v>
      </c>
      <c r="Q146" t="s">
        <v>74</v>
      </c>
      <c r="R146" t="s">
        <v>74</v>
      </c>
      <c r="S146" t="s">
        <v>74</v>
      </c>
      <c r="T146" t="s">
        <v>74</v>
      </c>
      <c r="U146" t="s">
        <v>3128</v>
      </c>
      <c r="V146" t="s">
        <v>3129</v>
      </c>
      <c r="W146" t="s">
        <v>3130</v>
      </c>
      <c r="X146" t="s">
        <v>3131</v>
      </c>
      <c r="Y146" t="s">
        <v>3132</v>
      </c>
      <c r="Z146" t="s">
        <v>3133</v>
      </c>
      <c r="AA146" t="s">
        <v>3134</v>
      </c>
      <c r="AB146" t="s">
        <v>3135</v>
      </c>
      <c r="AC146" t="s">
        <v>3136</v>
      </c>
      <c r="AD146" t="s">
        <v>3137</v>
      </c>
      <c r="AE146" t="s">
        <v>3138</v>
      </c>
      <c r="AF146" t="s">
        <v>74</v>
      </c>
      <c r="AG146">
        <v>58</v>
      </c>
      <c r="AH146">
        <v>20</v>
      </c>
      <c r="AI146">
        <v>22</v>
      </c>
      <c r="AJ146">
        <v>2</v>
      </c>
      <c r="AK146">
        <v>11</v>
      </c>
      <c r="AL146" t="s">
        <v>1563</v>
      </c>
      <c r="AM146" t="s">
        <v>1564</v>
      </c>
      <c r="AN146" t="s">
        <v>1565</v>
      </c>
      <c r="AO146" t="s">
        <v>1588</v>
      </c>
      <c r="AP146" t="s">
        <v>1589</v>
      </c>
      <c r="AQ146" t="s">
        <v>74</v>
      </c>
      <c r="AR146" t="s">
        <v>1576</v>
      </c>
      <c r="AS146" t="s">
        <v>1590</v>
      </c>
      <c r="AT146" t="s">
        <v>3139</v>
      </c>
      <c r="AU146">
        <v>2018</v>
      </c>
      <c r="AV146">
        <v>12</v>
      </c>
      <c r="AW146">
        <v>5</v>
      </c>
      <c r="AX146" t="s">
        <v>74</v>
      </c>
      <c r="AY146" t="s">
        <v>74</v>
      </c>
      <c r="AZ146" t="s">
        <v>74</v>
      </c>
      <c r="BA146" t="s">
        <v>74</v>
      </c>
      <c r="BB146">
        <v>1563</v>
      </c>
      <c r="BC146">
        <v>1577</v>
      </c>
      <c r="BD146" t="s">
        <v>74</v>
      </c>
      <c r="BE146" t="s">
        <v>3140</v>
      </c>
      <c r="BF146" t="str">
        <f>HYPERLINK("http://dx.doi.org/10.5194/tc-12-1563-2018","http://dx.doi.org/10.5194/tc-12-1563-2018")</f>
        <v>http://dx.doi.org/10.5194/tc-12-1563-2018</v>
      </c>
      <c r="BG146" t="s">
        <v>74</v>
      </c>
      <c r="BH146" t="s">
        <v>74</v>
      </c>
      <c r="BI146">
        <v>15</v>
      </c>
      <c r="BJ146" t="s">
        <v>338</v>
      </c>
      <c r="BK146" t="s">
        <v>101</v>
      </c>
      <c r="BL146" t="s">
        <v>339</v>
      </c>
      <c r="BM146" t="s">
        <v>3141</v>
      </c>
      <c r="BN146" t="s">
        <v>74</v>
      </c>
      <c r="BO146" t="s">
        <v>830</v>
      </c>
      <c r="BP146" t="s">
        <v>74</v>
      </c>
      <c r="BQ146" t="s">
        <v>74</v>
      </c>
      <c r="BR146" t="s">
        <v>105</v>
      </c>
      <c r="BS146" t="s">
        <v>3142</v>
      </c>
      <c r="BT146" t="str">
        <f>HYPERLINK("https%3A%2F%2Fwww.webofscience.com%2Fwos%2Fwoscc%2Ffull-record%2FWOS:000431368300001","View Full Record in Web of Science")</f>
        <v>View Full Record in Web of Science</v>
      </c>
    </row>
    <row r="147" spans="1:72" x14ac:dyDescent="0.15">
      <c r="A147" t="s">
        <v>72</v>
      </c>
      <c r="B147" t="s">
        <v>3143</v>
      </c>
      <c r="C147" t="s">
        <v>74</v>
      </c>
      <c r="D147" t="s">
        <v>74</v>
      </c>
      <c r="E147" t="s">
        <v>74</v>
      </c>
      <c r="F147" t="s">
        <v>3144</v>
      </c>
      <c r="G147" t="s">
        <v>74</v>
      </c>
      <c r="H147" t="s">
        <v>74</v>
      </c>
      <c r="I147" t="s">
        <v>3145</v>
      </c>
      <c r="J147" t="s">
        <v>1598</v>
      </c>
      <c r="K147" t="s">
        <v>74</v>
      </c>
      <c r="L147" t="s">
        <v>74</v>
      </c>
      <c r="M147" t="s">
        <v>78</v>
      </c>
      <c r="N147" t="s">
        <v>79</v>
      </c>
      <c r="O147" t="s">
        <v>74</v>
      </c>
      <c r="P147" t="s">
        <v>74</v>
      </c>
      <c r="Q147" t="s">
        <v>74</v>
      </c>
      <c r="R147" t="s">
        <v>74</v>
      </c>
      <c r="S147" t="s">
        <v>74</v>
      </c>
      <c r="T147" t="s">
        <v>3146</v>
      </c>
      <c r="U147" t="s">
        <v>3147</v>
      </c>
      <c r="V147" t="s">
        <v>3148</v>
      </c>
      <c r="W147" t="s">
        <v>3149</v>
      </c>
      <c r="X147" t="s">
        <v>3150</v>
      </c>
      <c r="Y147" t="s">
        <v>3151</v>
      </c>
      <c r="Z147" t="s">
        <v>3152</v>
      </c>
      <c r="AA147" t="s">
        <v>3153</v>
      </c>
      <c r="AB147" t="s">
        <v>3154</v>
      </c>
      <c r="AC147" t="s">
        <v>74</v>
      </c>
      <c r="AD147" t="s">
        <v>74</v>
      </c>
      <c r="AE147" t="s">
        <v>74</v>
      </c>
      <c r="AF147" t="s">
        <v>74</v>
      </c>
      <c r="AG147">
        <v>51</v>
      </c>
      <c r="AH147">
        <v>14</v>
      </c>
      <c r="AI147">
        <v>14</v>
      </c>
      <c r="AJ147">
        <v>0</v>
      </c>
      <c r="AK147">
        <v>6</v>
      </c>
      <c r="AL147" t="s">
        <v>123</v>
      </c>
      <c r="AM147" t="s">
        <v>124</v>
      </c>
      <c r="AN147" t="s">
        <v>125</v>
      </c>
      <c r="AO147" t="s">
        <v>1609</v>
      </c>
      <c r="AP147" t="s">
        <v>1610</v>
      </c>
      <c r="AQ147" t="s">
        <v>74</v>
      </c>
      <c r="AR147" t="s">
        <v>1611</v>
      </c>
      <c r="AS147" t="s">
        <v>1612</v>
      </c>
      <c r="AT147" t="s">
        <v>3139</v>
      </c>
      <c r="AU147">
        <v>2018</v>
      </c>
      <c r="AV147">
        <v>50</v>
      </c>
      <c r="AW147">
        <v>1</v>
      </c>
      <c r="AX147" t="s">
        <v>74</v>
      </c>
      <c r="AY147" t="s">
        <v>74</v>
      </c>
      <c r="AZ147" t="s">
        <v>74</v>
      </c>
      <c r="BA147" t="s">
        <v>74</v>
      </c>
      <c r="BB147" t="s">
        <v>74</v>
      </c>
      <c r="BC147" t="s">
        <v>74</v>
      </c>
      <c r="BD147" t="s">
        <v>3155</v>
      </c>
      <c r="BE147" t="s">
        <v>3156</v>
      </c>
      <c r="BF147" t="str">
        <f>HYPERLINK("http://dx.doi.org/10.1080/15230430.2017.1420854","http://dx.doi.org/10.1080/15230430.2017.1420854")</f>
        <v>http://dx.doi.org/10.1080/15230430.2017.1420854</v>
      </c>
      <c r="BG147" t="s">
        <v>74</v>
      </c>
      <c r="BH147" t="s">
        <v>74</v>
      </c>
      <c r="BI147">
        <v>11</v>
      </c>
      <c r="BJ147" t="s">
        <v>1616</v>
      </c>
      <c r="BK147" t="s">
        <v>101</v>
      </c>
      <c r="BL147" t="s">
        <v>1617</v>
      </c>
      <c r="BM147" t="s">
        <v>3157</v>
      </c>
      <c r="BN147" t="s">
        <v>74</v>
      </c>
      <c r="BO147" t="s">
        <v>764</v>
      </c>
      <c r="BP147" t="s">
        <v>74</v>
      </c>
      <c r="BQ147" t="s">
        <v>74</v>
      </c>
      <c r="BR147" t="s">
        <v>105</v>
      </c>
      <c r="BS147" t="s">
        <v>3158</v>
      </c>
      <c r="BT147" t="str">
        <f>HYPERLINK("https%3A%2F%2Fwww.webofscience.com%2Fwos%2Fwoscc%2Ffull-record%2FWOS:000438743400001","View Full Record in Web of Science")</f>
        <v>View Full Record in Web of Science</v>
      </c>
    </row>
    <row r="148" spans="1:72" x14ac:dyDescent="0.15">
      <c r="A148" t="s">
        <v>72</v>
      </c>
      <c r="B148" t="s">
        <v>3159</v>
      </c>
      <c r="C148" t="s">
        <v>74</v>
      </c>
      <c r="D148" t="s">
        <v>74</v>
      </c>
      <c r="E148" t="s">
        <v>74</v>
      </c>
      <c r="F148" t="s">
        <v>3160</v>
      </c>
      <c r="G148" t="s">
        <v>74</v>
      </c>
      <c r="H148" t="s">
        <v>74</v>
      </c>
      <c r="I148" t="s">
        <v>3161</v>
      </c>
      <c r="J148" t="s">
        <v>2298</v>
      </c>
      <c r="K148" t="s">
        <v>74</v>
      </c>
      <c r="L148" t="s">
        <v>74</v>
      </c>
      <c r="M148" t="s">
        <v>78</v>
      </c>
      <c r="N148" t="s">
        <v>79</v>
      </c>
      <c r="O148" t="s">
        <v>74</v>
      </c>
      <c r="P148" t="s">
        <v>74</v>
      </c>
      <c r="Q148" t="s">
        <v>74</v>
      </c>
      <c r="R148" t="s">
        <v>74</v>
      </c>
      <c r="S148" t="s">
        <v>74</v>
      </c>
      <c r="T148" t="s">
        <v>74</v>
      </c>
      <c r="U148" t="s">
        <v>3162</v>
      </c>
      <c r="V148" t="s">
        <v>3163</v>
      </c>
      <c r="W148" t="s">
        <v>3164</v>
      </c>
      <c r="X148" t="s">
        <v>3165</v>
      </c>
      <c r="Y148" t="s">
        <v>3166</v>
      </c>
      <c r="Z148" t="s">
        <v>3167</v>
      </c>
      <c r="AA148" t="s">
        <v>3168</v>
      </c>
      <c r="AB148" t="s">
        <v>3169</v>
      </c>
      <c r="AC148" t="s">
        <v>3170</v>
      </c>
      <c r="AD148" t="s">
        <v>3171</v>
      </c>
      <c r="AE148" t="s">
        <v>3172</v>
      </c>
      <c r="AF148" t="s">
        <v>74</v>
      </c>
      <c r="AG148">
        <v>71</v>
      </c>
      <c r="AH148">
        <v>13</v>
      </c>
      <c r="AI148">
        <v>13</v>
      </c>
      <c r="AJ148">
        <v>1</v>
      </c>
      <c r="AK148">
        <v>25</v>
      </c>
      <c r="AL148" t="s">
        <v>2310</v>
      </c>
      <c r="AM148" t="s">
        <v>2311</v>
      </c>
      <c r="AN148" t="s">
        <v>2312</v>
      </c>
      <c r="AO148" t="s">
        <v>2313</v>
      </c>
      <c r="AP148" t="s">
        <v>74</v>
      </c>
      <c r="AQ148" t="s">
        <v>74</v>
      </c>
      <c r="AR148" t="s">
        <v>2298</v>
      </c>
      <c r="AS148" t="s">
        <v>2314</v>
      </c>
      <c r="AT148" t="s">
        <v>3139</v>
      </c>
      <c r="AU148">
        <v>2018</v>
      </c>
      <c r="AV148">
        <v>13</v>
      </c>
      <c r="AW148">
        <v>5</v>
      </c>
      <c r="AX148" t="s">
        <v>74</v>
      </c>
      <c r="AY148" t="s">
        <v>74</v>
      </c>
      <c r="AZ148" t="s">
        <v>74</v>
      </c>
      <c r="BA148" t="s">
        <v>74</v>
      </c>
      <c r="BB148" t="s">
        <v>74</v>
      </c>
      <c r="BC148" t="s">
        <v>74</v>
      </c>
      <c r="BD148" t="s">
        <v>3173</v>
      </c>
      <c r="BE148" t="s">
        <v>3174</v>
      </c>
      <c r="BF148" t="str">
        <f>HYPERLINK("http://dx.doi.org/10.1371/journal.pone.0196092","http://dx.doi.org/10.1371/journal.pone.0196092")</f>
        <v>http://dx.doi.org/10.1371/journal.pone.0196092</v>
      </c>
      <c r="BG148" t="s">
        <v>74</v>
      </c>
      <c r="BH148" t="s">
        <v>74</v>
      </c>
      <c r="BI148">
        <v>19</v>
      </c>
      <c r="BJ148" t="s">
        <v>1670</v>
      </c>
      <c r="BK148" t="s">
        <v>101</v>
      </c>
      <c r="BL148" t="s">
        <v>1671</v>
      </c>
      <c r="BM148" t="s">
        <v>3175</v>
      </c>
      <c r="BN148">
        <v>29723211</v>
      </c>
      <c r="BO148" t="s">
        <v>3176</v>
      </c>
      <c r="BP148" t="s">
        <v>74</v>
      </c>
      <c r="BQ148" t="s">
        <v>74</v>
      </c>
      <c r="BR148" t="s">
        <v>105</v>
      </c>
      <c r="BS148" t="s">
        <v>3177</v>
      </c>
      <c r="BT148" t="str">
        <f>HYPERLINK("https%3A%2F%2Fwww.webofscience.com%2Fwos%2Fwoscc%2Ffull-record%2FWOS:000431305100012","View Full Record in Web of Science")</f>
        <v>View Full Record in Web of Science</v>
      </c>
    </row>
    <row r="149" spans="1:72" x14ac:dyDescent="0.15">
      <c r="A149" t="s">
        <v>72</v>
      </c>
      <c r="B149" t="s">
        <v>3178</v>
      </c>
      <c r="C149" t="s">
        <v>74</v>
      </c>
      <c r="D149" t="s">
        <v>74</v>
      </c>
      <c r="E149" t="s">
        <v>74</v>
      </c>
      <c r="F149" t="s">
        <v>3179</v>
      </c>
      <c r="G149" t="s">
        <v>74</v>
      </c>
      <c r="H149" t="s">
        <v>74</v>
      </c>
      <c r="I149" t="s">
        <v>3180</v>
      </c>
      <c r="J149" t="s">
        <v>3181</v>
      </c>
      <c r="K149" t="s">
        <v>74</v>
      </c>
      <c r="L149" t="s">
        <v>74</v>
      </c>
      <c r="M149" t="s">
        <v>78</v>
      </c>
      <c r="N149" t="s">
        <v>79</v>
      </c>
      <c r="O149" t="s">
        <v>74</v>
      </c>
      <c r="P149" t="s">
        <v>74</v>
      </c>
      <c r="Q149" t="s">
        <v>74</v>
      </c>
      <c r="R149" t="s">
        <v>74</v>
      </c>
      <c r="S149" t="s">
        <v>74</v>
      </c>
      <c r="T149" t="s">
        <v>3182</v>
      </c>
      <c r="U149" t="s">
        <v>3183</v>
      </c>
      <c r="V149" t="s">
        <v>3184</v>
      </c>
      <c r="W149" t="s">
        <v>3185</v>
      </c>
      <c r="X149" t="s">
        <v>3186</v>
      </c>
      <c r="Y149" t="s">
        <v>3187</v>
      </c>
      <c r="Z149" t="s">
        <v>3188</v>
      </c>
      <c r="AA149" t="s">
        <v>74</v>
      </c>
      <c r="AB149" t="s">
        <v>3189</v>
      </c>
      <c r="AC149" t="s">
        <v>3190</v>
      </c>
      <c r="AD149" t="s">
        <v>3191</v>
      </c>
      <c r="AE149" t="s">
        <v>3192</v>
      </c>
      <c r="AF149" t="s">
        <v>74</v>
      </c>
      <c r="AG149">
        <v>68</v>
      </c>
      <c r="AH149">
        <v>21</v>
      </c>
      <c r="AI149">
        <v>23</v>
      </c>
      <c r="AJ149">
        <v>1</v>
      </c>
      <c r="AK149">
        <v>28</v>
      </c>
      <c r="AL149" t="s">
        <v>2152</v>
      </c>
      <c r="AM149" t="s">
        <v>2153</v>
      </c>
      <c r="AN149" t="s">
        <v>2154</v>
      </c>
      <c r="AO149" t="s">
        <v>3193</v>
      </c>
      <c r="AP149" t="s">
        <v>74</v>
      </c>
      <c r="AQ149" t="s">
        <v>74</v>
      </c>
      <c r="AR149" t="s">
        <v>3194</v>
      </c>
      <c r="AS149" t="s">
        <v>3195</v>
      </c>
      <c r="AT149" t="s">
        <v>3139</v>
      </c>
      <c r="AU149">
        <v>2018</v>
      </c>
      <c r="AV149">
        <v>9</v>
      </c>
      <c r="AW149" t="s">
        <v>74</v>
      </c>
      <c r="AX149" t="s">
        <v>74</v>
      </c>
      <c r="AY149" t="s">
        <v>74</v>
      </c>
      <c r="AZ149" t="s">
        <v>74</v>
      </c>
      <c r="BA149" t="s">
        <v>74</v>
      </c>
      <c r="BB149" t="s">
        <v>74</v>
      </c>
      <c r="BC149" t="s">
        <v>74</v>
      </c>
      <c r="BD149">
        <v>601</v>
      </c>
      <c r="BE149" t="s">
        <v>3196</v>
      </c>
      <c r="BF149" t="str">
        <f>HYPERLINK("http://dx.doi.org/10.3389/fpls.2018.00601","http://dx.doi.org/10.3389/fpls.2018.00601")</f>
        <v>http://dx.doi.org/10.3389/fpls.2018.00601</v>
      </c>
      <c r="BG149" t="s">
        <v>74</v>
      </c>
      <c r="BH149" t="s">
        <v>74</v>
      </c>
      <c r="BI149">
        <v>15</v>
      </c>
      <c r="BJ149" t="s">
        <v>2542</v>
      </c>
      <c r="BK149" t="s">
        <v>101</v>
      </c>
      <c r="BL149" t="s">
        <v>2542</v>
      </c>
      <c r="BM149" t="s">
        <v>3197</v>
      </c>
      <c r="BN149">
        <v>29774046</v>
      </c>
      <c r="BO149" t="s">
        <v>980</v>
      </c>
      <c r="BP149" t="s">
        <v>74</v>
      </c>
      <c r="BQ149" t="s">
        <v>74</v>
      </c>
      <c r="BR149" t="s">
        <v>105</v>
      </c>
      <c r="BS149" t="s">
        <v>3198</v>
      </c>
      <c r="BT149" t="str">
        <f>HYPERLINK("https%3A%2F%2Fwww.webofscience.com%2Fwos%2Fwoscc%2Ffull-record%2FWOS:000431317700002","View Full Record in Web of Science")</f>
        <v>View Full Record in Web of Science</v>
      </c>
    </row>
    <row r="150" spans="1:72" x14ac:dyDescent="0.15">
      <c r="A150" t="s">
        <v>72</v>
      </c>
      <c r="B150" t="s">
        <v>3199</v>
      </c>
      <c r="C150" t="s">
        <v>74</v>
      </c>
      <c r="D150" t="s">
        <v>74</v>
      </c>
      <c r="E150" t="s">
        <v>74</v>
      </c>
      <c r="F150" t="s">
        <v>3200</v>
      </c>
      <c r="G150" t="s">
        <v>74</v>
      </c>
      <c r="H150" t="s">
        <v>74</v>
      </c>
      <c r="I150" t="s">
        <v>3201</v>
      </c>
      <c r="J150" t="s">
        <v>1677</v>
      </c>
      <c r="K150" t="s">
        <v>74</v>
      </c>
      <c r="L150" t="s">
        <v>74</v>
      </c>
      <c r="M150" t="s">
        <v>78</v>
      </c>
      <c r="N150" t="s">
        <v>79</v>
      </c>
      <c r="O150" t="s">
        <v>74</v>
      </c>
      <c r="P150" t="s">
        <v>74</v>
      </c>
      <c r="Q150" t="s">
        <v>74</v>
      </c>
      <c r="R150" t="s">
        <v>74</v>
      </c>
      <c r="S150" t="s">
        <v>74</v>
      </c>
      <c r="T150" t="s">
        <v>74</v>
      </c>
      <c r="U150" t="s">
        <v>3202</v>
      </c>
      <c r="V150" t="s">
        <v>3203</v>
      </c>
      <c r="W150" t="s">
        <v>3204</v>
      </c>
      <c r="X150" t="s">
        <v>3205</v>
      </c>
      <c r="Y150" t="s">
        <v>3206</v>
      </c>
      <c r="Z150" t="s">
        <v>3207</v>
      </c>
      <c r="AA150" t="s">
        <v>3208</v>
      </c>
      <c r="AB150" t="s">
        <v>3209</v>
      </c>
      <c r="AC150" t="s">
        <v>3210</v>
      </c>
      <c r="AD150" t="s">
        <v>3211</v>
      </c>
      <c r="AE150" t="s">
        <v>3212</v>
      </c>
      <c r="AF150" t="s">
        <v>74</v>
      </c>
      <c r="AG150">
        <v>47</v>
      </c>
      <c r="AH150">
        <v>72</v>
      </c>
      <c r="AI150">
        <v>76</v>
      </c>
      <c r="AJ150">
        <v>1</v>
      </c>
      <c r="AK150">
        <v>22</v>
      </c>
      <c r="AL150" t="s">
        <v>1689</v>
      </c>
      <c r="AM150" t="s">
        <v>1540</v>
      </c>
      <c r="AN150" t="s">
        <v>1690</v>
      </c>
      <c r="AO150" t="s">
        <v>1691</v>
      </c>
      <c r="AP150" t="s">
        <v>74</v>
      </c>
      <c r="AQ150" t="s">
        <v>74</v>
      </c>
      <c r="AR150" t="s">
        <v>1692</v>
      </c>
      <c r="AS150" t="s">
        <v>1693</v>
      </c>
      <c r="AT150" t="s">
        <v>3139</v>
      </c>
      <c r="AU150">
        <v>2018</v>
      </c>
      <c r="AV150">
        <v>9</v>
      </c>
      <c r="AW150" t="s">
        <v>74</v>
      </c>
      <c r="AX150" t="s">
        <v>74</v>
      </c>
      <c r="AY150" t="s">
        <v>74</v>
      </c>
      <c r="AZ150" t="s">
        <v>74</v>
      </c>
      <c r="BA150" t="s">
        <v>74</v>
      </c>
      <c r="BB150" t="s">
        <v>74</v>
      </c>
      <c r="BC150" t="s">
        <v>74</v>
      </c>
      <c r="BD150">
        <v>1789</v>
      </c>
      <c r="BE150" t="s">
        <v>3213</v>
      </c>
      <c r="BF150" t="str">
        <f>HYPERLINK("http://dx.doi.org/10.1038/s41467-018-04101-2","http://dx.doi.org/10.1038/s41467-018-04101-2")</f>
        <v>http://dx.doi.org/10.1038/s41467-018-04101-2</v>
      </c>
      <c r="BG150" t="s">
        <v>74</v>
      </c>
      <c r="BH150" t="s">
        <v>74</v>
      </c>
      <c r="BI150">
        <v>9</v>
      </c>
      <c r="BJ150" t="s">
        <v>1670</v>
      </c>
      <c r="BK150" t="s">
        <v>101</v>
      </c>
      <c r="BL150" t="s">
        <v>1671</v>
      </c>
      <c r="BM150" t="s">
        <v>3214</v>
      </c>
      <c r="BN150">
        <v>29724994</v>
      </c>
      <c r="BO150" t="s">
        <v>764</v>
      </c>
      <c r="BP150" t="s">
        <v>74</v>
      </c>
      <c r="BQ150" t="s">
        <v>74</v>
      </c>
      <c r="BR150" t="s">
        <v>105</v>
      </c>
      <c r="BS150" t="s">
        <v>3215</v>
      </c>
      <c r="BT150" t="str">
        <f>HYPERLINK("https%3A%2F%2Fwww.webofscience.com%2Fwos%2Fwoscc%2Ffull-record%2FWOS:000431298400014","View Full Record in Web of Science")</f>
        <v>View Full Record in Web of Science</v>
      </c>
    </row>
    <row r="151" spans="1:72" x14ac:dyDescent="0.15">
      <c r="A151" t="s">
        <v>72</v>
      </c>
      <c r="B151" t="s">
        <v>3216</v>
      </c>
      <c r="C151" t="s">
        <v>74</v>
      </c>
      <c r="D151" t="s">
        <v>74</v>
      </c>
      <c r="E151" t="s">
        <v>74</v>
      </c>
      <c r="F151" t="s">
        <v>3217</v>
      </c>
      <c r="G151" t="s">
        <v>74</v>
      </c>
      <c r="H151" t="s">
        <v>74</v>
      </c>
      <c r="I151" t="s">
        <v>3218</v>
      </c>
      <c r="J151" t="s">
        <v>2955</v>
      </c>
      <c r="K151" t="s">
        <v>74</v>
      </c>
      <c r="L151" t="s">
        <v>74</v>
      </c>
      <c r="M151" t="s">
        <v>78</v>
      </c>
      <c r="N151" t="s">
        <v>79</v>
      </c>
      <c r="O151" t="s">
        <v>74</v>
      </c>
      <c r="P151" t="s">
        <v>74</v>
      </c>
      <c r="Q151" t="s">
        <v>74</v>
      </c>
      <c r="R151" t="s">
        <v>74</v>
      </c>
      <c r="S151" t="s">
        <v>74</v>
      </c>
      <c r="T151" t="s">
        <v>3219</v>
      </c>
      <c r="U151" t="s">
        <v>3220</v>
      </c>
      <c r="V151" t="s">
        <v>3221</v>
      </c>
      <c r="W151" t="s">
        <v>3222</v>
      </c>
      <c r="X151" t="s">
        <v>3223</v>
      </c>
      <c r="Y151" t="s">
        <v>3224</v>
      </c>
      <c r="Z151" t="s">
        <v>3225</v>
      </c>
      <c r="AA151" t="s">
        <v>3226</v>
      </c>
      <c r="AB151" t="s">
        <v>3227</v>
      </c>
      <c r="AC151" t="s">
        <v>3228</v>
      </c>
      <c r="AD151" t="s">
        <v>3229</v>
      </c>
      <c r="AE151" t="s">
        <v>3230</v>
      </c>
      <c r="AF151" t="s">
        <v>74</v>
      </c>
      <c r="AG151">
        <v>53</v>
      </c>
      <c r="AH151">
        <v>12</v>
      </c>
      <c r="AI151">
        <v>15</v>
      </c>
      <c r="AJ151">
        <v>2</v>
      </c>
      <c r="AK151">
        <v>25</v>
      </c>
      <c r="AL151" t="s">
        <v>3231</v>
      </c>
      <c r="AM151" t="s">
        <v>1540</v>
      </c>
      <c r="AN151" t="s">
        <v>3232</v>
      </c>
      <c r="AO151" t="s">
        <v>2970</v>
      </c>
      <c r="AP151" t="s">
        <v>74</v>
      </c>
      <c r="AQ151" t="s">
        <v>74</v>
      </c>
      <c r="AR151" t="s">
        <v>2955</v>
      </c>
      <c r="AS151" t="s">
        <v>2971</v>
      </c>
      <c r="AT151" t="s">
        <v>3233</v>
      </c>
      <c r="AU151">
        <v>2018</v>
      </c>
      <c r="AV151">
        <v>19</v>
      </c>
      <c r="AW151" t="s">
        <v>74</v>
      </c>
      <c r="AX151" t="s">
        <v>74</v>
      </c>
      <c r="AY151" t="s">
        <v>74</v>
      </c>
      <c r="AZ151" t="s">
        <v>74</v>
      </c>
      <c r="BA151" t="s">
        <v>74</v>
      </c>
      <c r="BB151" t="s">
        <v>74</v>
      </c>
      <c r="BC151" t="s">
        <v>74</v>
      </c>
      <c r="BD151">
        <v>315</v>
      </c>
      <c r="BE151" t="s">
        <v>3234</v>
      </c>
      <c r="BF151" t="str">
        <f>HYPERLINK("http://dx.doi.org/10.1186/s12864-018-4684-z","http://dx.doi.org/10.1186/s12864-018-4684-z")</f>
        <v>http://dx.doi.org/10.1186/s12864-018-4684-z</v>
      </c>
      <c r="BG151" t="s">
        <v>74</v>
      </c>
      <c r="BH151" t="s">
        <v>74</v>
      </c>
      <c r="BI151">
        <v>10</v>
      </c>
      <c r="BJ151" t="s">
        <v>2973</v>
      </c>
      <c r="BK151" t="s">
        <v>101</v>
      </c>
      <c r="BL151" t="s">
        <v>2973</v>
      </c>
      <c r="BM151" t="s">
        <v>3235</v>
      </c>
      <c r="BN151">
        <v>29720106</v>
      </c>
      <c r="BO151" t="s">
        <v>764</v>
      </c>
      <c r="BP151" t="s">
        <v>74</v>
      </c>
      <c r="BQ151" t="s">
        <v>74</v>
      </c>
      <c r="BR151" t="s">
        <v>105</v>
      </c>
      <c r="BS151" t="s">
        <v>3236</v>
      </c>
      <c r="BT151" t="str">
        <f>HYPERLINK("https%3A%2F%2Fwww.webofscience.com%2Fwos%2Fwoscc%2Ffull-record%2FWOS:000431264800007","View Full Record in Web of Science")</f>
        <v>View Full Record in Web of Science</v>
      </c>
    </row>
    <row r="152" spans="1:72" x14ac:dyDescent="0.15">
      <c r="A152" t="s">
        <v>72</v>
      </c>
      <c r="B152" t="s">
        <v>3237</v>
      </c>
      <c r="C152" t="s">
        <v>74</v>
      </c>
      <c r="D152" t="s">
        <v>74</v>
      </c>
      <c r="E152" t="s">
        <v>74</v>
      </c>
      <c r="F152" t="s">
        <v>3238</v>
      </c>
      <c r="G152" t="s">
        <v>74</v>
      </c>
      <c r="H152" t="s">
        <v>74</v>
      </c>
      <c r="I152" t="s">
        <v>3239</v>
      </c>
      <c r="J152" t="s">
        <v>2298</v>
      </c>
      <c r="K152" t="s">
        <v>74</v>
      </c>
      <c r="L152" t="s">
        <v>74</v>
      </c>
      <c r="M152" t="s">
        <v>78</v>
      </c>
      <c r="N152" t="s">
        <v>999</v>
      </c>
      <c r="O152" t="s">
        <v>74</v>
      </c>
      <c r="P152" t="s">
        <v>74</v>
      </c>
      <c r="Q152" t="s">
        <v>74</v>
      </c>
      <c r="R152" t="s">
        <v>74</v>
      </c>
      <c r="S152" t="s">
        <v>74</v>
      </c>
      <c r="T152" t="s">
        <v>74</v>
      </c>
      <c r="U152" t="s">
        <v>74</v>
      </c>
      <c r="V152" t="s">
        <v>74</v>
      </c>
      <c r="W152" t="s">
        <v>74</v>
      </c>
      <c r="X152" t="s">
        <v>74</v>
      </c>
      <c r="Y152" t="s">
        <v>74</v>
      </c>
      <c r="Z152" t="s">
        <v>74</v>
      </c>
      <c r="AA152" t="s">
        <v>74</v>
      </c>
      <c r="AB152" t="s">
        <v>74</v>
      </c>
      <c r="AC152" t="s">
        <v>74</v>
      </c>
      <c r="AD152" t="s">
        <v>74</v>
      </c>
      <c r="AE152" t="s">
        <v>74</v>
      </c>
      <c r="AF152" t="s">
        <v>74</v>
      </c>
      <c r="AG152">
        <v>1</v>
      </c>
      <c r="AH152">
        <v>1</v>
      </c>
      <c r="AI152">
        <v>1</v>
      </c>
      <c r="AJ152">
        <v>0</v>
      </c>
      <c r="AK152">
        <v>4</v>
      </c>
      <c r="AL152" t="s">
        <v>2310</v>
      </c>
      <c r="AM152" t="s">
        <v>2311</v>
      </c>
      <c r="AN152" t="s">
        <v>2312</v>
      </c>
      <c r="AO152" t="s">
        <v>2313</v>
      </c>
      <c r="AP152" t="s">
        <v>74</v>
      </c>
      <c r="AQ152" t="s">
        <v>74</v>
      </c>
      <c r="AR152" t="s">
        <v>2298</v>
      </c>
      <c r="AS152" t="s">
        <v>2314</v>
      </c>
      <c r="AT152" t="s">
        <v>3233</v>
      </c>
      <c r="AU152">
        <v>2018</v>
      </c>
      <c r="AV152">
        <v>13</v>
      </c>
      <c r="AW152">
        <v>5</v>
      </c>
      <c r="AX152" t="s">
        <v>74</v>
      </c>
      <c r="AY152" t="s">
        <v>74</v>
      </c>
      <c r="AZ152" t="s">
        <v>74</v>
      </c>
      <c r="BA152" t="s">
        <v>74</v>
      </c>
      <c r="BB152" t="s">
        <v>74</v>
      </c>
      <c r="BC152" t="s">
        <v>74</v>
      </c>
      <c r="BD152" t="s">
        <v>3240</v>
      </c>
      <c r="BE152" t="s">
        <v>3241</v>
      </c>
      <c r="BF152" t="str">
        <f>HYPERLINK("http://dx.doi.org/10.1371/journal.pone.0197009","http://dx.doi.org/10.1371/journal.pone.0197009")</f>
        <v>http://dx.doi.org/10.1371/journal.pone.0197009</v>
      </c>
      <c r="BG152" t="s">
        <v>74</v>
      </c>
      <c r="BH152" t="s">
        <v>74</v>
      </c>
      <c r="BI152">
        <v>2</v>
      </c>
      <c r="BJ152" t="s">
        <v>1670</v>
      </c>
      <c r="BK152" t="s">
        <v>101</v>
      </c>
      <c r="BL152" t="s">
        <v>1671</v>
      </c>
      <c r="BM152" t="s">
        <v>3242</v>
      </c>
      <c r="BN152" t="s">
        <v>74</v>
      </c>
      <c r="BO152" t="s">
        <v>2293</v>
      </c>
      <c r="BP152" t="s">
        <v>74</v>
      </c>
      <c r="BQ152" t="s">
        <v>74</v>
      </c>
      <c r="BR152" t="s">
        <v>105</v>
      </c>
      <c r="BS152" t="s">
        <v>3243</v>
      </c>
      <c r="BT152" t="str">
        <f>HYPERLINK("https%3A%2F%2Fwww.webofscience.com%2Fwos%2Fwoscc%2Ffull-record%2FWOS:000431281900092","View Full Record in Web of Science")</f>
        <v>View Full Record in Web of Science</v>
      </c>
    </row>
    <row r="153" spans="1:72" x14ac:dyDescent="0.15">
      <c r="A153" t="s">
        <v>72</v>
      </c>
      <c r="B153" t="s">
        <v>3244</v>
      </c>
      <c r="C153" t="s">
        <v>74</v>
      </c>
      <c r="D153" t="s">
        <v>74</v>
      </c>
      <c r="E153" t="s">
        <v>74</v>
      </c>
      <c r="F153" t="s">
        <v>3245</v>
      </c>
      <c r="G153" t="s">
        <v>74</v>
      </c>
      <c r="H153" t="s">
        <v>74</v>
      </c>
      <c r="I153" t="s">
        <v>3246</v>
      </c>
      <c r="J153" t="s">
        <v>1623</v>
      </c>
      <c r="K153" t="s">
        <v>74</v>
      </c>
      <c r="L153" t="s">
        <v>74</v>
      </c>
      <c r="M153" t="s">
        <v>78</v>
      </c>
      <c r="N153" t="s">
        <v>79</v>
      </c>
      <c r="O153" t="s">
        <v>74</v>
      </c>
      <c r="P153" t="s">
        <v>74</v>
      </c>
      <c r="Q153" t="s">
        <v>74</v>
      </c>
      <c r="R153" t="s">
        <v>74</v>
      </c>
      <c r="S153" t="s">
        <v>74</v>
      </c>
      <c r="T153" t="s">
        <v>3247</v>
      </c>
      <c r="U153" t="s">
        <v>3248</v>
      </c>
      <c r="V153" t="s">
        <v>3249</v>
      </c>
      <c r="W153" t="s">
        <v>3250</v>
      </c>
      <c r="X153" t="s">
        <v>3251</v>
      </c>
      <c r="Y153" t="s">
        <v>3252</v>
      </c>
      <c r="Z153" t="s">
        <v>3253</v>
      </c>
      <c r="AA153" t="s">
        <v>598</v>
      </c>
      <c r="AB153" t="s">
        <v>3254</v>
      </c>
      <c r="AC153" t="s">
        <v>3255</v>
      </c>
      <c r="AD153" t="s">
        <v>3256</v>
      </c>
      <c r="AE153" t="s">
        <v>3257</v>
      </c>
      <c r="AF153" t="s">
        <v>74</v>
      </c>
      <c r="AG153">
        <v>48</v>
      </c>
      <c r="AH153">
        <v>16</v>
      </c>
      <c r="AI153">
        <v>19</v>
      </c>
      <c r="AJ153">
        <v>1</v>
      </c>
      <c r="AK153">
        <v>15</v>
      </c>
      <c r="AL153" t="s">
        <v>123</v>
      </c>
      <c r="AM153" t="s">
        <v>124</v>
      </c>
      <c r="AN153" t="s">
        <v>125</v>
      </c>
      <c r="AO153" t="s">
        <v>1639</v>
      </c>
      <c r="AP153" t="s">
        <v>1640</v>
      </c>
      <c r="AQ153" t="s">
        <v>74</v>
      </c>
      <c r="AR153" t="s">
        <v>2132</v>
      </c>
      <c r="AS153" t="s">
        <v>1642</v>
      </c>
      <c r="AT153" t="s">
        <v>3233</v>
      </c>
      <c r="AU153">
        <v>2018</v>
      </c>
      <c r="AV153">
        <v>37</v>
      </c>
      <c r="AW153" t="s">
        <v>74</v>
      </c>
      <c r="AX153" t="s">
        <v>74</v>
      </c>
      <c r="AY153" t="s">
        <v>74</v>
      </c>
      <c r="AZ153" t="s">
        <v>74</v>
      </c>
      <c r="BA153" t="s">
        <v>74</v>
      </c>
      <c r="BB153" t="s">
        <v>74</v>
      </c>
      <c r="BC153" t="s">
        <v>74</v>
      </c>
      <c r="BD153">
        <v>1444891</v>
      </c>
      <c r="BE153" t="s">
        <v>3258</v>
      </c>
      <c r="BF153" t="str">
        <f>HYPERLINK("http://dx.doi.org/10.1080/17518369.2018.1444891","http://dx.doi.org/10.1080/17518369.2018.1444891")</f>
        <v>http://dx.doi.org/10.1080/17518369.2018.1444891</v>
      </c>
      <c r="BG153" t="s">
        <v>74</v>
      </c>
      <c r="BH153" t="s">
        <v>74</v>
      </c>
      <c r="BI153">
        <v>13</v>
      </c>
      <c r="BJ153" t="s">
        <v>1644</v>
      </c>
      <c r="BK153" t="s">
        <v>101</v>
      </c>
      <c r="BL153" t="s">
        <v>1645</v>
      </c>
      <c r="BM153" t="s">
        <v>3259</v>
      </c>
      <c r="BN153" t="s">
        <v>74</v>
      </c>
      <c r="BO153" t="s">
        <v>133</v>
      </c>
      <c r="BP153" t="s">
        <v>74</v>
      </c>
      <c r="BQ153" t="s">
        <v>74</v>
      </c>
      <c r="BR153" t="s">
        <v>105</v>
      </c>
      <c r="BS153" t="s">
        <v>3260</v>
      </c>
      <c r="BT153" t="str">
        <f>HYPERLINK("https%3A%2F%2Fwww.webofscience.com%2Fwos%2Fwoscc%2Ffull-record%2FWOS:000431598800001","View Full Record in Web of Science")</f>
        <v>View Full Record in Web of Science</v>
      </c>
    </row>
    <row r="154" spans="1:72" x14ac:dyDescent="0.15">
      <c r="A154" t="s">
        <v>72</v>
      </c>
      <c r="B154" t="s">
        <v>3261</v>
      </c>
      <c r="C154" t="s">
        <v>74</v>
      </c>
      <c r="D154" t="s">
        <v>74</v>
      </c>
      <c r="E154" t="s">
        <v>74</v>
      </c>
      <c r="F154" t="s">
        <v>3262</v>
      </c>
      <c r="G154" t="s">
        <v>74</v>
      </c>
      <c r="H154" t="s">
        <v>74</v>
      </c>
      <c r="I154" t="s">
        <v>3263</v>
      </c>
      <c r="J154" t="s">
        <v>1576</v>
      </c>
      <c r="K154" t="s">
        <v>74</v>
      </c>
      <c r="L154" t="s">
        <v>74</v>
      </c>
      <c r="M154" t="s">
        <v>78</v>
      </c>
      <c r="N154" t="s">
        <v>79</v>
      </c>
      <c r="O154" t="s">
        <v>74</v>
      </c>
      <c r="P154" t="s">
        <v>74</v>
      </c>
      <c r="Q154" t="s">
        <v>74</v>
      </c>
      <c r="R154" t="s">
        <v>74</v>
      </c>
      <c r="S154" t="s">
        <v>74</v>
      </c>
      <c r="T154" t="s">
        <v>74</v>
      </c>
      <c r="U154" t="s">
        <v>3264</v>
      </c>
      <c r="V154" t="s">
        <v>3265</v>
      </c>
      <c r="W154" t="s">
        <v>3266</v>
      </c>
      <c r="X154" t="s">
        <v>3267</v>
      </c>
      <c r="Y154" t="s">
        <v>3268</v>
      </c>
      <c r="Z154" t="s">
        <v>3269</v>
      </c>
      <c r="AA154" t="s">
        <v>3270</v>
      </c>
      <c r="AB154" t="s">
        <v>3271</v>
      </c>
      <c r="AC154" t="s">
        <v>3272</v>
      </c>
      <c r="AD154" t="s">
        <v>3273</v>
      </c>
      <c r="AE154" t="s">
        <v>3274</v>
      </c>
      <c r="AF154" t="s">
        <v>74</v>
      </c>
      <c r="AG154">
        <v>36</v>
      </c>
      <c r="AH154">
        <v>51</v>
      </c>
      <c r="AI154">
        <v>59</v>
      </c>
      <c r="AJ154">
        <v>2</v>
      </c>
      <c r="AK154">
        <v>22</v>
      </c>
      <c r="AL154" t="s">
        <v>1563</v>
      </c>
      <c r="AM154" t="s">
        <v>1564</v>
      </c>
      <c r="AN154" t="s">
        <v>1565</v>
      </c>
      <c r="AO154" t="s">
        <v>1588</v>
      </c>
      <c r="AP154" t="s">
        <v>1589</v>
      </c>
      <c r="AQ154" t="s">
        <v>74</v>
      </c>
      <c r="AR154" t="s">
        <v>1576</v>
      </c>
      <c r="AS154" t="s">
        <v>1590</v>
      </c>
      <c r="AT154" t="s">
        <v>3233</v>
      </c>
      <c r="AU154">
        <v>2018</v>
      </c>
      <c r="AV154">
        <v>12</v>
      </c>
      <c r="AW154">
        <v>4</v>
      </c>
      <c r="AX154" t="s">
        <v>74</v>
      </c>
      <c r="AY154" t="s">
        <v>74</v>
      </c>
      <c r="AZ154" t="s">
        <v>74</v>
      </c>
      <c r="BA154" t="s">
        <v>74</v>
      </c>
      <c r="BB154">
        <v>1551</v>
      </c>
      <c r="BC154">
        <v>1562</v>
      </c>
      <c r="BD154" t="s">
        <v>74</v>
      </c>
      <c r="BE154" t="s">
        <v>3275</v>
      </c>
      <c r="BF154" t="str">
        <f>HYPERLINK("http://dx.doi.org/10.5194/tc-12-1551-2018","http://dx.doi.org/10.5194/tc-12-1551-2018")</f>
        <v>http://dx.doi.org/10.5194/tc-12-1551-2018</v>
      </c>
      <c r="BG154" t="s">
        <v>74</v>
      </c>
      <c r="BH154" t="s">
        <v>74</v>
      </c>
      <c r="BI154">
        <v>12</v>
      </c>
      <c r="BJ154" t="s">
        <v>338</v>
      </c>
      <c r="BK154" t="s">
        <v>101</v>
      </c>
      <c r="BL154" t="s">
        <v>339</v>
      </c>
      <c r="BM154" t="s">
        <v>3276</v>
      </c>
      <c r="BN154" t="s">
        <v>74</v>
      </c>
      <c r="BO154" t="s">
        <v>3277</v>
      </c>
      <c r="BP154" t="s">
        <v>74</v>
      </c>
      <c r="BQ154" t="s">
        <v>74</v>
      </c>
      <c r="BR154" t="s">
        <v>105</v>
      </c>
      <c r="BS154" t="s">
        <v>3278</v>
      </c>
      <c r="BT154" t="str">
        <f>HYPERLINK("https%3A%2F%2Fwww.webofscience.com%2Fwos%2Fwoscc%2Ffull-record%2FWOS:000431367800001","View Full Record in Web of Science")</f>
        <v>View Full Record in Web of Science</v>
      </c>
    </row>
    <row r="155" spans="1:72" x14ac:dyDescent="0.15">
      <c r="A155" t="s">
        <v>72</v>
      </c>
      <c r="B155" t="s">
        <v>3279</v>
      </c>
      <c r="C155" t="s">
        <v>74</v>
      </c>
      <c r="D155" t="s">
        <v>74</v>
      </c>
      <c r="E155" t="s">
        <v>74</v>
      </c>
      <c r="F155" t="s">
        <v>3280</v>
      </c>
      <c r="G155" t="s">
        <v>74</v>
      </c>
      <c r="H155" t="s">
        <v>74</v>
      </c>
      <c r="I155" t="s">
        <v>3281</v>
      </c>
      <c r="J155" t="s">
        <v>3282</v>
      </c>
      <c r="K155" t="s">
        <v>74</v>
      </c>
      <c r="L155" t="s">
        <v>74</v>
      </c>
      <c r="M155" t="s">
        <v>78</v>
      </c>
      <c r="N155" t="s">
        <v>79</v>
      </c>
      <c r="O155" t="s">
        <v>74</v>
      </c>
      <c r="P155" t="s">
        <v>74</v>
      </c>
      <c r="Q155" t="s">
        <v>74</v>
      </c>
      <c r="R155" t="s">
        <v>74</v>
      </c>
      <c r="S155" t="s">
        <v>74</v>
      </c>
      <c r="T155" t="s">
        <v>3283</v>
      </c>
      <c r="U155" t="s">
        <v>3284</v>
      </c>
      <c r="V155" t="s">
        <v>3285</v>
      </c>
      <c r="W155" t="s">
        <v>3286</v>
      </c>
      <c r="X155" t="s">
        <v>3287</v>
      </c>
      <c r="Y155" t="s">
        <v>3288</v>
      </c>
      <c r="Z155" t="s">
        <v>3289</v>
      </c>
      <c r="AA155" t="s">
        <v>3290</v>
      </c>
      <c r="AB155" t="s">
        <v>3291</v>
      </c>
      <c r="AC155" t="s">
        <v>3292</v>
      </c>
      <c r="AD155" t="s">
        <v>3293</v>
      </c>
      <c r="AE155" t="s">
        <v>3294</v>
      </c>
      <c r="AF155" t="s">
        <v>74</v>
      </c>
      <c r="AG155">
        <v>41</v>
      </c>
      <c r="AH155">
        <v>25</v>
      </c>
      <c r="AI155">
        <v>27</v>
      </c>
      <c r="AJ155">
        <v>1</v>
      </c>
      <c r="AK155">
        <v>4</v>
      </c>
      <c r="AL155" t="s">
        <v>627</v>
      </c>
      <c r="AM155" t="s">
        <v>628</v>
      </c>
      <c r="AN155" t="s">
        <v>629</v>
      </c>
      <c r="AO155" t="s">
        <v>74</v>
      </c>
      <c r="AP155" t="s">
        <v>3295</v>
      </c>
      <c r="AQ155" t="s">
        <v>74</v>
      </c>
      <c r="AR155" t="s">
        <v>3296</v>
      </c>
      <c r="AS155" t="s">
        <v>3297</v>
      </c>
      <c r="AT155" t="s">
        <v>3298</v>
      </c>
      <c r="AU155">
        <v>2018</v>
      </c>
      <c r="AV155">
        <v>9</v>
      </c>
      <c r="AW155">
        <v>5</v>
      </c>
      <c r="AX155" t="s">
        <v>74</v>
      </c>
      <c r="AY155" t="s">
        <v>74</v>
      </c>
      <c r="AZ155" t="s">
        <v>74</v>
      </c>
      <c r="BA155" t="s">
        <v>74</v>
      </c>
      <c r="BB155" t="s">
        <v>74</v>
      </c>
      <c r="BC155" t="s">
        <v>74</v>
      </c>
      <c r="BD155">
        <v>172</v>
      </c>
      <c r="BE155" t="s">
        <v>3299</v>
      </c>
      <c r="BF155" t="str">
        <f>HYPERLINK("http://dx.doi.org/10.3390/atmos9050172","http://dx.doi.org/10.3390/atmos9050172")</f>
        <v>http://dx.doi.org/10.3390/atmos9050172</v>
      </c>
      <c r="BG155" t="s">
        <v>74</v>
      </c>
      <c r="BH155" t="s">
        <v>74</v>
      </c>
      <c r="BI155">
        <v>13</v>
      </c>
      <c r="BJ155" t="s">
        <v>285</v>
      </c>
      <c r="BK155" t="s">
        <v>101</v>
      </c>
      <c r="BL155" t="s">
        <v>286</v>
      </c>
      <c r="BM155" t="s">
        <v>3300</v>
      </c>
      <c r="BN155" t="s">
        <v>74</v>
      </c>
      <c r="BO155" t="s">
        <v>2998</v>
      </c>
      <c r="BP155" t="s">
        <v>74</v>
      </c>
      <c r="BQ155" t="s">
        <v>74</v>
      </c>
      <c r="BR155" t="s">
        <v>105</v>
      </c>
      <c r="BS155" t="s">
        <v>3301</v>
      </c>
      <c r="BT155" t="str">
        <f>HYPERLINK("https%3A%2F%2Fwww.webofscience.com%2Fwos%2Fwoscc%2Ffull-record%2FWOS:000435190300015","View Full Record in Web of Science")</f>
        <v>View Full Record in Web of Science</v>
      </c>
    </row>
    <row r="156" spans="1:72" x14ac:dyDescent="0.15">
      <c r="A156" t="s">
        <v>72</v>
      </c>
      <c r="B156" t="s">
        <v>3302</v>
      </c>
      <c r="C156" t="s">
        <v>74</v>
      </c>
      <c r="D156" t="s">
        <v>74</v>
      </c>
      <c r="E156" t="s">
        <v>74</v>
      </c>
      <c r="F156" t="s">
        <v>3303</v>
      </c>
      <c r="G156" t="s">
        <v>74</v>
      </c>
      <c r="H156" t="s">
        <v>74</v>
      </c>
      <c r="I156" t="s">
        <v>3304</v>
      </c>
      <c r="J156" t="s">
        <v>3305</v>
      </c>
      <c r="K156" t="s">
        <v>74</v>
      </c>
      <c r="L156" t="s">
        <v>74</v>
      </c>
      <c r="M156" t="s">
        <v>78</v>
      </c>
      <c r="N156" t="s">
        <v>79</v>
      </c>
      <c r="O156" t="s">
        <v>74</v>
      </c>
      <c r="P156" t="s">
        <v>74</v>
      </c>
      <c r="Q156" t="s">
        <v>74</v>
      </c>
      <c r="R156" t="s">
        <v>74</v>
      </c>
      <c r="S156" t="s">
        <v>74</v>
      </c>
      <c r="T156" t="s">
        <v>3306</v>
      </c>
      <c r="U156" t="s">
        <v>3307</v>
      </c>
      <c r="V156" t="s">
        <v>3308</v>
      </c>
      <c r="W156" t="s">
        <v>3309</v>
      </c>
      <c r="X156" t="s">
        <v>3310</v>
      </c>
      <c r="Y156" t="s">
        <v>3311</v>
      </c>
      <c r="Z156" t="s">
        <v>3312</v>
      </c>
      <c r="AA156" t="s">
        <v>3313</v>
      </c>
      <c r="AB156" t="s">
        <v>3314</v>
      </c>
      <c r="AC156" t="s">
        <v>3315</v>
      </c>
      <c r="AD156" t="s">
        <v>3316</v>
      </c>
      <c r="AE156" t="s">
        <v>3317</v>
      </c>
      <c r="AF156" t="s">
        <v>74</v>
      </c>
      <c r="AG156">
        <v>81</v>
      </c>
      <c r="AH156">
        <v>11</v>
      </c>
      <c r="AI156">
        <v>11</v>
      </c>
      <c r="AJ156">
        <v>2</v>
      </c>
      <c r="AK156">
        <v>49</v>
      </c>
      <c r="AL156" t="s">
        <v>425</v>
      </c>
      <c r="AM156" t="s">
        <v>278</v>
      </c>
      <c r="AN156" t="s">
        <v>426</v>
      </c>
      <c r="AO156" t="s">
        <v>3318</v>
      </c>
      <c r="AP156" t="s">
        <v>3319</v>
      </c>
      <c r="AQ156" t="s">
        <v>74</v>
      </c>
      <c r="AR156" t="s">
        <v>3320</v>
      </c>
      <c r="AS156" t="s">
        <v>3321</v>
      </c>
      <c r="AT156" t="s">
        <v>3298</v>
      </c>
      <c r="AU156">
        <v>2018</v>
      </c>
      <c r="AV156">
        <v>69</v>
      </c>
      <c r="AW156" t="s">
        <v>74</v>
      </c>
      <c r="AX156" t="s">
        <v>74</v>
      </c>
      <c r="AY156" t="s">
        <v>74</v>
      </c>
      <c r="AZ156" t="s">
        <v>74</v>
      </c>
      <c r="BA156" t="s">
        <v>74</v>
      </c>
      <c r="BB156">
        <v>74</v>
      </c>
      <c r="BC156">
        <v>86</v>
      </c>
      <c r="BD156" t="s">
        <v>74</v>
      </c>
      <c r="BE156" t="s">
        <v>3322</v>
      </c>
      <c r="BF156" t="str">
        <f>HYPERLINK("http://dx.doi.org/10.1016/j.compenvurbsys.2018.01.002","http://dx.doi.org/10.1016/j.compenvurbsys.2018.01.002")</f>
        <v>http://dx.doi.org/10.1016/j.compenvurbsys.2018.01.002</v>
      </c>
      <c r="BG156" t="s">
        <v>74</v>
      </c>
      <c r="BH156" t="s">
        <v>74</v>
      </c>
      <c r="BI156">
        <v>13</v>
      </c>
      <c r="BJ156" t="s">
        <v>3323</v>
      </c>
      <c r="BK156" t="s">
        <v>719</v>
      </c>
      <c r="BL156" t="s">
        <v>3324</v>
      </c>
      <c r="BM156" t="s">
        <v>3325</v>
      </c>
      <c r="BN156" t="s">
        <v>74</v>
      </c>
      <c r="BO156" t="s">
        <v>1085</v>
      </c>
      <c r="BP156" t="s">
        <v>74</v>
      </c>
      <c r="BQ156" t="s">
        <v>74</v>
      </c>
      <c r="BR156" t="s">
        <v>105</v>
      </c>
      <c r="BS156" t="s">
        <v>3326</v>
      </c>
      <c r="BT156" t="str">
        <f>HYPERLINK("https%3A%2F%2Fwww.webofscience.com%2Fwos%2Fwoscc%2Ffull-record%2FWOS:000429393200007","View Full Record in Web of Science")</f>
        <v>View Full Record in Web of Science</v>
      </c>
    </row>
    <row r="157" spans="1:72" x14ac:dyDescent="0.15">
      <c r="A157" t="s">
        <v>72</v>
      </c>
      <c r="B157" t="s">
        <v>3327</v>
      </c>
      <c r="C157" t="s">
        <v>74</v>
      </c>
      <c r="D157" t="s">
        <v>74</v>
      </c>
      <c r="E157" t="s">
        <v>74</v>
      </c>
      <c r="F157" t="s">
        <v>3328</v>
      </c>
      <c r="G157" t="s">
        <v>74</v>
      </c>
      <c r="H157" t="s">
        <v>74</v>
      </c>
      <c r="I157" t="s">
        <v>3329</v>
      </c>
      <c r="J157" t="s">
        <v>3330</v>
      </c>
      <c r="K157" t="s">
        <v>74</v>
      </c>
      <c r="L157" t="s">
        <v>74</v>
      </c>
      <c r="M157" t="s">
        <v>78</v>
      </c>
      <c r="N157" t="s">
        <v>79</v>
      </c>
      <c r="O157" t="s">
        <v>74</v>
      </c>
      <c r="P157" t="s">
        <v>74</v>
      </c>
      <c r="Q157" t="s">
        <v>74</v>
      </c>
      <c r="R157" t="s">
        <v>74</v>
      </c>
      <c r="S157" t="s">
        <v>74</v>
      </c>
      <c r="T157" t="s">
        <v>3331</v>
      </c>
      <c r="U157" t="s">
        <v>3332</v>
      </c>
      <c r="V157" t="s">
        <v>3333</v>
      </c>
      <c r="W157" t="s">
        <v>3334</v>
      </c>
      <c r="X157" t="s">
        <v>3335</v>
      </c>
      <c r="Y157" t="s">
        <v>3336</v>
      </c>
      <c r="Z157" t="s">
        <v>3337</v>
      </c>
      <c r="AA157" t="s">
        <v>3338</v>
      </c>
      <c r="AB157" t="s">
        <v>3339</v>
      </c>
      <c r="AC157" t="s">
        <v>3340</v>
      </c>
      <c r="AD157" t="s">
        <v>3341</v>
      </c>
      <c r="AE157" t="s">
        <v>3342</v>
      </c>
      <c r="AF157" t="s">
        <v>74</v>
      </c>
      <c r="AG157">
        <v>46</v>
      </c>
      <c r="AH157">
        <v>37</v>
      </c>
      <c r="AI157">
        <v>40</v>
      </c>
      <c r="AJ157">
        <v>1</v>
      </c>
      <c r="AK157">
        <v>27</v>
      </c>
      <c r="AL157" t="s">
        <v>1511</v>
      </c>
      <c r="AM157" t="s">
        <v>1512</v>
      </c>
      <c r="AN157" t="s">
        <v>1513</v>
      </c>
      <c r="AO157" t="s">
        <v>3343</v>
      </c>
      <c r="AP157" t="s">
        <v>74</v>
      </c>
      <c r="AQ157" t="s">
        <v>74</v>
      </c>
      <c r="AR157" t="s">
        <v>3344</v>
      </c>
      <c r="AS157" t="s">
        <v>3345</v>
      </c>
      <c r="AT157" t="s">
        <v>3298</v>
      </c>
      <c r="AU157">
        <v>2018</v>
      </c>
      <c r="AV157">
        <v>13</v>
      </c>
      <c r="AW157">
        <v>5</v>
      </c>
      <c r="AX157" t="s">
        <v>74</v>
      </c>
      <c r="AY157" t="s">
        <v>74</v>
      </c>
      <c r="AZ157" t="s">
        <v>74</v>
      </c>
      <c r="BA157" t="s">
        <v>74</v>
      </c>
      <c r="BB157" t="s">
        <v>74</v>
      </c>
      <c r="BC157" t="s">
        <v>74</v>
      </c>
      <c r="BD157">
        <v>54024</v>
      </c>
      <c r="BE157" t="s">
        <v>3346</v>
      </c>
      <c r="BF157" t="str">
        <f>HYPERLINK("http://dx.doi.org/10.1088/1748-9326/aabf21","http://dx.doi.org/10.1088/1748-9326/aabf21")</f>
        <v>http://dx.doi.org/10.1088/1748-9326/aabf21</v>
      </c>
      <c r="BG157" t="s">
        <v>74</v>
      </c>
      <c r="BH157" t="s">
        <v>74</v>
      </c>
      <c r="BI157">
        <v>11</v>
      </c>
      <c r="BJ157" t="s">
        <v>285</v>
      </c>
      <c r="BK157" t="s">
        <v>101</v>
      </c>
      <c r="BL157" t="s">
        <v>286</v>
      </c>
      <c r="BM157" t="s">
        <v>3347</v>
      </c>
      <c r="BN157" t="s">
        <v>74</v>
      </c>
      <c r="BO157" t="s">
        <v>2161</v>
      </c>
      <c r="BP157" t="s">
        <v>74</v>
      </c>
      <c r="BQ157" t="s">
        <v>74</v>
      </c>
      <c r="BR157" t="s">
        <v>105</v>
      </c>
      <c r="BS157" t="s">
        <v>3348</v>
      </c>
      <c r="BT157" t="str">
        <f>HYPERLINK("https%3A%2F%2Fwww.webofscience.com%2Fwos%2Fwoscc%2Ffull-record%2FWOS:000431799700001","View Full Record in Web of Science")</f>
        <v>View Full Record in Web of Science</v>
      </c>
    </row>
    <row r="158" spans="1:72" x14ac:dyDescent="0.15">
      <c r="A158" t="s">
        <v>72</v>
      </c>
      <c r="B158" t="s">
        <v>3349</v>
      </c>
      <c r="C158" t="s">
        <v>74</v>
      </c>
      <c r="D158" t="s">
        <v>74</v>
      </c>
      <c r="E158" t="s">
        <v>74</v>
      </c>
      <c r="F158" t="s">
        <v>3350</v>
      </c>
      <c r="G158" t="s">
        <v>74</v>
      </c>
      <c r="H158" t="s">
        <v>74</v>
      </c>
      <c r="I158" t="s">
        <v>3351</v>
      </c>
      <c r="J158" t="s">
        <v>3352</v>
      </c>
      <c r="K158" t="s">
        <v>74</v>
      </c>
      <c r="L158" t="s">
        <v>74</v>
      </c>
      <c r="M158" t="s">
        <v>78</v>
      </c>
      <c r="N158" t="s">
        <v>466</v>
      </c>
      <c r="O158" t="s">
        <v>74</v>
      </c>
      <c r="P158" t="s">
        <v>74</v>
      </c>
      <c r="Q158" t="s">
        <v>74</v>
      </c>
      <c r="R158" t="s">
        <v>74</v>
      </c>
      <c r="S158" t="s">
        <v>74</v>
      </c>
      <c r="T158" t="s">
        <v>3353</v>
      </c>
      <c r="U158" t="s">
        <v>3354</v>
      </c>
      <c r="V158" t="s">
        <v>3355</v>
      </c>
      <c r="W158" t="s">
        <v>3356</v>
      </c>
      <c r="X158" t="s">
        <v>3357</v>
      </c>
      <c r="Y158" t="s">
        <v>3358</v>
      </c>
      <c r="Z158" t="s">
        <v>3359</v>
      </c>
      <c r="AA158" t="s">
        <v>3360</v>
      </c>
      <c r="AB158" t="s">
        <v>3361</v>
      </c>
      <c r="AC158" t="s">
        <v>3362</v>
      </c>
      <c r="AD158" t="s">
        <v>3363</v>
      </c>
      <c r="AE158" t="s">
        <v>3364</v>
      </c>
      <c r="AF158" t="s">
        <v>74</v>
      </c>
      <c r="AG158">
        <v>70</v>
      </c>
      <c r="AH158">
        <v>44</v>
      </c>
      <c r="AI158">
        <v>47</v>
      </c>
      <c r="AJ158">
        <v>5</v>
      </c>
      <c r="AK158">
        <v>79</v>
      </c>
      <c r="AL158" t="s">
        <v>425</v>
      </c>
      <c r="AM158" t="s">
        <v>278</v>
      </c>
      <c r="AN158" t="s">
        <v>426</v>
      </c>
      <c r="AO158" t="s">
        <v>3365</v>
      </c>
      <c r="AP158" t="s">
        <v>3366</v>
      </c>
      <c r="AQ158" t="s">
        <v>74</v>
      </c>
      <c r="AR158" t="s">
        <v>3367</v>
      </c>
      <c r="AS158" t="s">
        <v>3368</v>
      </c>
      <c r="AT158" t="s">
        <v>3298</v>
      </c>
      <c r="AU158">
        <v>2018</v>
      </c>
      <c r="AV158">
        <v>83</v>
      </c>
      <c r="AW158" t="s">
        <v>74</v>
      </c>
      <c r="AX158" t="s">
        <v>74</v>
      </c>
      <c r="AY158" t="s">
        <v>74</v>
      </c>
      <c r="AZ158" t="s">
        <v>74</v>
      </c>
      <c r="BA158" t="s">
        <v>74</v>
      </c>
      <c r="BB158">
        <v>86</v>
      </c>
      <c r="BC158">
        <v>95</v>
      </c>
      <c r="BD158" t="s">
        <v>74</v>
      </c>
      <c r="BE158" t="s">
        <v>3369</v>
      </c>
      <c r="BF158" t="str">
        <f>HYPERLINK("http://dx.doi.org/10.1016/j.envsci.2018.02.006","http://dx.doi.org/10.1016/j.envsci.2018.02.006")</f>
        <v>http://dx.doi.org/10.1016/j.envsci.2018.02.006</v>
      </c>
      <c r="BG158" t="s">
        <v>74</v>
      </c>
      <c r="BH158" t="s">
        <v>74</v>
      </c>
      <c r="BI158">
        <v>10</v>
      </c>
      <c r="BJ158" t="s">
        <v>921</v>
      </c>
      <c r="BK158" t="s">
        <v>101</v>
      </c>
      <c r="BL158" t="s">
        <v>315</v>
      </c>
      <c r="BM158" t="s">
        <v>3370</v>
      </c>
      <c r="BN158" t="s">
        <v>74</v>
      </c>
      <c r="BO158" t="s">
        <v>3371</v>
      </c>
      <c r="BP158" t="s">
        <v>74</v>
      </c>
      <c r="BQ158" t="s">
        <v>74</v>
      </c>
      <c r="BR158" t="s">
        <v>105</v>
      </c>
      <c r="BS158" t="s">
        <v>3372</v>
      </c>
      <c r="BT158" t="str">
        <f>HYPERLINK("https%3A%2F%2Fwww.webofscience.com%2Fwos%2Fwoscc%2Ffull-record%2FWOS:000429511100010","View Full Record in Web of Science")</f>
        <v>View Full Record in Web of Science</v>
      </c>
    </row>
    <row r="159" spans="1:72" x14ac:dyDescent="0.15">
      <c r="A159" t="s">
        <v>72</v>
      </c>
      <c r="B159" t="s">
        <v>3373</v>
      </c>
      <c r="C159" t="s">
        <v>74</v>
      </c>
      <c r="D159" t="s">
        <v>74</v>
      </c>
      <c r="E159" t="s">
        <v>74</v>
      </c>
      <c r="F159" t="s">
        <v>3374</v>
      </c>
      <c r="G159" t="s">
        <v>74</v>
      </c>
      <c r="H159" t="s">
        <v>74</v>
      </c>
      <c r="I159" t="s">
        <v>3375</v>
      </c>
      <c r="J159" t="s">
        <v>3376</v>
      </c>
      <c r="K159" t="s">
        <v>74</v>
      </c>
      <c r="L159" t="s">
        <v>74</v>
      </c>
      <c r="M159" t="s">
        <v>78</v>
      </c>
      <c r="N159" t="s">
        <v>79</v>
      </c>
      <c r="O159" t="s">
        <v>74</v>
      </c>
      <c r="P159" t="s">
        <v>74</v>
      </c>
      <c r="Q159" t="s">
        <v>74</v>
      </c>
      <c r="R159" t="s">
        <v>74</v>
      </c>
      <c r="S159" t="s">
        <v>74</v>
      </c>
      <c r="T159" t="s">
        <v>3377</v>
      </c>
      <c r="U159" t="s">
        <v>3378</v>
      </c>
      <c r="V159" t="s">
        <v>3379</v>
      </c>
      <c r="W159" t="s">
        <v>3380</v>
      </c>
      <c r="X159" t="s">
        <v>3381</v>
      </c>
      <c r="Y159" t="s">
        <v>3382</v>
      </c>
      <c r="Z159" t="s">
        <v>3383</v>
      </c>
      <c r="AA159" t="s">
        <v>3384</v>
      </c>
      <c r="AB159" t="s">
        <v>3385</v>
      </c>
      <c r="AC159" t="s">
        <v>3386</v>
      </c>
      <c r="AD159" t="s">
        <v>3387</v>
      </c>
      <c r="AE159" t="s">
        <v>3388</v>
      </c>
      <c r="AF159" t="s">
        <v>74</v>
      </c>
      <c r="AG159">
        <v>42</v>
      </c>
      <c r="AH159">
        <v>13</v>
      </c>
      <c r="AI159">
        <v>18</v>
      </c>
      <c r="AJ159">
        <v>0</v>
      </c>
      <c r="AK159">
        <v>5</v>
      </c>
      <c r="AL159" t="s">
        <v>179</v>
      </c>
      <c r="AM159" t="s">
        <v>180</v>
      </c>
      <c r="AN159" t="s">
        <v>181</v>
      </c>
      <c r="AO159" t="s">
        <v>3389</v>
      </c>
      <c r="AP159" t="s">
        <v>3390</v>
      </c>
      <c r="AQ159" t="s">
        <v>74</v>
      </c>
      <c r="AR159" t="s">
        <v>3391</v>
      </c>
      <c r="AS159" t="s">
        <v>3392</v>
      </c>
      <c r="AT159" t="s">
        <v>3298</v>
      </c>
      <c r="AU159">
        <v>2018</v>
      </c>
      <c r="AV159">
        <v>285</v>
      </c>
      <c r="AW159">
        <v>10</v>
      </c>
      <c r="AX159" t="s">
        <v>74</v>
      </c>
      <c r="AY159" t="s">
        <v>74</v>
      </c>
      <c r="AZ159" t="s">
        <v>74</v>
      </c>
      <c r="BA159" t="s">
        <v>74</v>
      </c>
      <c r="BB159">
        <v>1812</v>
      </c>
      <c r="BC159">
        <v>1826</v>
      </c>
      <c r="BD159" t="s">
        <v>74</v>
      </c>
      <c r="BE159" t="s">
        <v>3393</v>
      </c>
      <c r="BF159" t="str">
        <f>HYPERLINK("http://dx.doi.org/10.1111/febs.14441","http://dx.doi.org/10.1111/febs.14441")</f>
        <v>http://dx.doi.org/10.1111/febs.14441</v>
      </c>
      <c r="BG159" t="s">
        <v>74</v>
      </c>
      <c r="BH159" t="s">
        <v>74</v>
      </c>
      <c r="BI159">
        <v>15</v>
      </c>
      <c r="BJ159" t="s">
        <v>3394</v>
      </c>
      <c r="BK159" t="s">
        <v>101</v>
      </c>
      <c r="BL159" t="s">
        <v>3394</v>
      </c>
      <c r="BM159" t="s">
        <v>3395</v>
      </c>
      <c r="BN159">
        <v>29575515</v>
      </c>
      <c r="BO159" t="s">
        <v>1933</v>
      </c>
      <c r="BP159" t="s">
        <v>74</v>
      </c>
      <c r="BQ159" t="s">
        <v>74</v>
      </c>
      <c r="BR159" t="s">
        <v>105</v>
      </c>
      <c r="BS159" t="s">
        <v>3396</v>
      </c>
      <c r="BT159" t="str">
        <f>HYPERLINK("https%3A%2F%2Fwww.webofscience.com%2Fwos%2Fwoscc%2Ffull-record%2FWOS:000434177700006","View Full Record in Web of Science")</f>
        <v>View Full Record in Web of Science</v>
      </c>
    </row>
    <row r="160" spans="1:72" x14ac:dyDescent="0.15">
      <c r="A160" t="s">
        <v>72</v>
      </c>
      <c r="B160" t="s">
        <v>3397</v>
      </c>
      <c r="C160" t="s">
        <v>74</v>
      </c>
      <c r="D160" t="s">
        <v>74</v>
      </c>
      <c r="E160" t="s">
        <v>74</v>
      </c>
      <c r="F160" t="s">
        <v>3398</v>
      </c>
      <c r="G160" t="s">
        <v>74</v>
      </c>
      <c r="H160" t="s">
        <v>74</v>
      </c>
      <c r="I160" t="s">
        <v>3399</v>
      </c>
      <c r="J160" t="s">
        <v>3400</v>
      </c>
      <c r="K160" t="s">
        <v>74</v>
      </c>
      <c r="L160" t="s">
        <v>74</v>
      </c>
      <c r="M160" t="s">
        <v>78</v>
      </c>
      <c r="N160" t="s">
        <v>466</v>
      </c>
      <c r="O160" t="s">
        <v>74</v>
      </c>
      <c r="P160" t="s">
        <v>74</v>
      </c>
      <c r="Q160" t="s">
        <v>74</v>
      </c>
      <c r="R160" t="s">
        <v>74</v>
      </c>
      <c r="S160" t="s">
        <v>74</v>
      </c>
      <c r="T160" t="s">
        <v>3401</v>
      </c>
      <c r="U160" t="s">
        <v>3402</v>
      </c>
      <c r="V160" t="s">
        <v>3403</v>
      </c>
      <c r="W160" t="s">
        <v>3404</v>
      </c>
      <c r="X160" t="s">
        <v>3405</v>
      </c>
      <c r="Y160" t="s">
        <v>3406</v>
      </c>
      <c r="Z160" t="s">
        <v>3407</v>
      </c>
      <c r="AA160" t="s">
        <v>3408</v>
      </c>
      <c r="AB160" t="s">
        <v>3409</v>
      </c>
      <c r="AC160" t="s">
        <v>3410</v>
      </c>
      <c r="AD160" t="s">
        <v>3411</v>
      </c>
      <c r="AE160" t="s">
        <v>3412</v>
      </c>
      <c r="AF160" t="s">
        <v>74</v>
      </c>
      <c r="AG160">
        <v>119</v>
      </c>
      <c r="AH160">
        <v>16</v>
      </c>
      <c r="AI160">
        <v>17</v>
      </c>
      <c r="AJ160">
        <v>2</v>
      </c>
      <c r="AK160">
        <v>33</v>
      </c>
      <c r="AL160" t="s">
        <v>3413</v>
      </c>
      <c r="AM160" t="s">
        <v>278</v>
      </c>
      <c r="AN160" t="s">
        <v>3414</v>
      </c>
      <c r="AO160" t="s">
        <v>3415</v>
      </c>
      <c r="AP160" t="s">
        <v>3416</v>
      </c>
      <c r="AQ160" t="s">
        <v>74</v>
      </c>
      <c r="AR160" t="s">
        <v>3417</v>
      </c>
      <c r="AS160" t="s">
        <v>3418</v>
      </c>
      <c r="AT160" t="s">
        <v>3298</v>
      </c>
      <c r="AU160">
        <v>2018</v>
      </c>
      <c r="AV160">
        <v>365</v>
      </c>
      <c r="AW160">
        <v>10</v>
      </c>
      <c r="AX160" t="s">
        <v>74</v>
      </c>
      <c r="AY160" t="s">
        <v>74</v>
      </c>
      <c r="AZ160" t="s">
        <v>74</v>
      </c>
      <c r="BA160" t="s">
        <v>74</v>
      </c>
      <c r="BB160" t="s">
        <v>74</v>
      </c>
      <c r="BC160" t="s">
        <v>74</v>
      </c>
      <c r="BD160" t="s">
        <v>3419</v>
      </c>
      <c r="BE160" t="s">
        <v>3420</v>
      </c>
      <c r="BF160" t="str">
        <f>HYPERLINK("http://dx.doi.org/10.1093/femsle/fny090","http://dx.doi.org/10.1093/femsle/fny090")</f>
        <v>http://dx.doi.org/10.1093/femsle/fny090</v>
      </c>
      <c r="BG160" t="s">
        <v>74</v>
      </c>
      <c r="BH160" t="s">
        <v>74</v>
      </c>
      <c r="BI160">
        <v>13</v>
      </c>
      <c r="BJ160" t="s">
        <v>510</v>
      </c>
      <c r="BK160" t="s">
        <v>101</v>
      </c>
      <c r="BL160" t="s">
        <v>510</v>
      </c>
      <c r="BM160" t="s">
        <v>3421</v>
      </c>
      <c r="BN160">
        <v>29788084</v>
      </c>
      <c r="BO160" t="s">
        <v>162</v>
      </c>
      <c r="BP160" t="s">
        <v>74</v>
      </c>
      <c r="BQ160" t="s">
        <v>74</v>
      </c>
      <c r="BR160" t="s">
        <v>105</v>
      </c>
      <c r="BS160" t="s">
        <v>3422</v>
      </c>
      <c r="BT160" t="str">
        <f>HYPERLINK("https%3A%2F%2Fwww.webofscience.com%2Fwos%2Fwoscc%2Ffull-record%2FWOS:000441112200007","View Full Record in Web of Science")</f>
        <v>View Full Record in Web of Science</v>
      </c>
    </row>
    <row r="161" spans="1:72" x14ac:dyDescent="0.15">
      <c r="A161" t="s">
        <v>72</v>
      </c>
      <c r="B161" t="s">
        <v>3423</v>
      </c>
      <c r="C161" t="s">
        <v>74</v>
      </c>
      <c r="D161" t="s">
        <v>74</v>
      </c>
      <c r="E161" t="s">
        <v>74</v>
      </c>
      <c r="F161" t="s">
        <v>3424</v>
      </c>
      <c r="G161" t="s">
        <v>74</v>
      </c>
      <c r="H161" t="s">
        <v>74</v>
      </c>
      <c r="I161" t="s">
        <v>3425</v>
      </c>
      <c r="J161" t="s">
        <v>3426</v>
      </c>
      <c r="K161" t="s">
        <v>74</v>
      </c>
      <c r="L161" t="s">
        <v>74</v>
      </c>
      <c r="M161" t="s">
        <v>78</v>
      </c>
      <c r="N161" t="s">
        <v>79</v>
      </c>
      <c r="O161" t="s">
        <v>74</v>
      </c>
      <c r="P161" t="s">
        <v>74</v>
      </c>
      <c r="Q161" t="s">
        <v>74</v>
      </c>
      <c r="R161" t="s">
        <v>74</v>
      </c>
      <c r="S161" t="s">
        <v>74</v>
      </c>
      <c r="T161" t="s">
        <v>3427</v>
      </c>
      <c r="U161" t="s">
        <v>3428</v>
      </c>
      <c r="V161" t="s">
        <v>3429</v>
      </c>
      <c r="W161" t="s">
        <v>3430</v>
      </c>
      <c r="X161" t="s">
        <v>3431</v>
      </c>
      <c r="Y161" t="s">
        <v>3432</v>
      </c>
      <c r="Z161" t="s">
        <v>3433</v>
      </c>
      <c r="AA161" t="s">
        <v>3434</v>
      </c>
      <c r="AB161" t="s">
        <v>3435</v>
      </c>
      <c r="AC161" t="s">
        <v>3436</v>
      </c>
      <c r="AD161" t="s">
        <v>3437</v>
      </c>
      <c r="AE161" t="s">
        <v>3438</v>
      </c>
      <c r="AF161" t="s">
        <v>74</v>
      </c>
      <c r="AG161">
        <v>44</v>
      </c>
      <c r="AH161">
        <v>14</v>
      </c>
      <c r="AI161">
        <v>14</v>
      </c>
      <c r="AJ161">
        <v>0</v>
      </c>
      <c r="AK161">
        <v>15</v>
      </c>
      <c r="AL161" t="s">
        <v>179</v>
      </c>
      <c r="AM161" t="s">
        <v>180</v>
      </c>
      <c r="AN161" t="s">
        <v>181</v>
      </c>
      <c r="AO161" t="s">
        <v>3439</v>
      </c>
      <c r="AP161" t="s">
        <v>3440</v>
      </c>
      <c r="AQ161" t="s">
        <v>74</v>
      </c>
      <c r="AR161" t="s">
        <v>3441</v>
      </c>
      <c r="AS161" t="s">
        <v>3442</v>
      </c>
      <c r="AT161" t="s">
        <v>3298</v>
      </c>
      <c r="AU161">
        <v>2018</v>
      </c>
      <c r="AV161">
        <v>27</v>
      </c>
      <c r="AW161">
        <v>3</v>
      </c>
      <c r="AX161" t="s">
        <v>74</v>
      </c>
      <c r="AY161" t="s">
        <v>74</v>
      </c>
      <c r="AZ161" t="s">
        <v>74</v>
      </c>
      <c r="BA161" t="s">
        <v>74</v>
      </c>
      <c r="BB161">
        <v>274</v>
      </c>
      <c r="BC161">
        <v>287</v>
      </c>
      <c r="BD161" t="s">
        <v>74</v>
      </c>
      <c r="BE161" t="s">
        <v>3443</v>
      </c>
      <c r="BF161" t="str">
        <f>HYPERLINK("http://dx.doi.org/10.1111/fog.12251","http://dx.doi.org/10.1111/fog.12251")</f>
        <v>http://dx.doi.org/10.1111/fog.12251</v>
      </c>
      <c r="BG161" t="s">
        <v>74</v>
      </c>
      <c r="BH161" t="s">
        <v>74</v>
      </c>
      <c r="BI161">
        <v>14</v>
      </c>
      <c r="BJ161" t="s">
        <v>3444</v>
      </c>
      <c r="BK161" t="s">
        <v>101</v>
      </c>
      <c r="BL161" t="s">
        <v>3444</v>
      </c>
      <c r="BM161" t="s">
        <v>3445</v>
      </c>
      <c r="BN161" t="s">
        <v>74</v>
      </c>
      <c r="BO161" t="s">
        <v>162</v>
      </c>
      <c r="BP161" t="s">
        <v>74</v>
      </c>
      <c r="BQ161" t="s">
        <v>74</v>
      </c>
      <c r="BR161" t="s">
        <v>105</v>
      </c>
      <c r="BS161" t="s">
        <v>3446</v>
      </c>
      <c r="BT161" t="str">
        <f>HYPERLINK("https%3A%2F%2Fwww.webofscience.com%2Fwos%2Fwoscc%2Ffull-record%2FWOS:000428400500008","View Full Record in Web of Science")</f>
        <v>View Full Record in Web of Science</v>
      </c>
    </row>
    <row r="162" spans="1:72" x14ac:dyDescent="0.15">
      <c r="A162" t="s">
        <v>72</v>
      </c>
      <c r="B162" t="s">
        <v>3447</v>
      </c>
      <c r="C162" t="s">
        <v>74</v>
      </c>
      <c r="D162" t="s">
        <v>74</v>
      </c>
      <c r="E162" t="s">
        <v>74</v>
      </c>
      <c r="F162" t="s">
        <v>3448</v>
      </c>
      <c r="G162" t="s">
        <v>74</v>
      </c>
      <c r="H162" t="s">
        <v>74</v>
      </c>
      <c r="I162" t="s">
        <v>3449</v>
      </c>
      <c r="J162" t="s">
        <v>3450</v>
      </c>
      <c r="K162" t="s">
        <v>74</v>
      </c>
      <c r="L162" t="s">
        <v>74</v>
      </c>
      <c r="M162" t="s">
        <v>78</v>
      </c>
      <c r="N162" t="s">
        <v>79</v>
      </c>
      <c r="O162" t="s">
        <v>74</v>
      </c>
      <c r="P162" t="s">
        <v>74</v>
      </c>
      <c r="Q162" t="s">
        <v>74</v>
      </c>
      <c r="R162" t="s">
        <v>74</v>
      </c>
      <c r="S162" t="s">
        <v>74</v>
      </c>
      <c r="T162" t="s">
        <v>3451</v>
      </c>
      <c r="U162" t="s">
        <v>3452</v>
      </c>
      <c r="V162" t="s">
        <v>3453</v>
      </c>
      <c r="W162" t="s">
        <v>3454</v>
      </c>
      <c r="X162" t="s">
        <v>3455</v>
      </c>
      <c r="Y162" t="s">
        <v>3456</v>
      </c>
      <c r="Z162" t="s">
        <v>3457</v>
      </c>
      <c r="AA162" t="s">
        <v>3458</v>
      </c>
      <c r="AB162" t="s">
        <v>3459</v>
      </c>
      <c r="AC162" t="s">
        <v>3460</v>
      </c>
      <c r="AD162" t="s">
        <v>3461</v>
      </c>
      <c r="AE162" t="s">
        <v>3460</v>
      </c>
      <c r="AF162" t="s">
        <v>74</v>
      </c>
      <c r="AG162">
        <v>93</v>
      </c>
      <c r="AH162">
        <v>43</v>
      </c>
      <c r="AI162">
        <v>48</v>
      </c>
      <c r="AJ162">
        <v>0</v>
      </c>
      <c r="AK162">
        <v>38</v>
      </c>
      <c r="AL162" t="s">
        <v>179</v>
      </c>
      <c r="AM162" t="s">
        <v>180</v>
      </c>
      <c r="AN162" t="s">
        <v>181</v>
      </c>
      <c r="AO162" t="s">
        <v>3462</v>
      </c>
      <c r="AP162" t="s">
        <v>3463</v>
      </c>
      <c r="AQ162" t="s">
        <v>74</v>
      </c>
      <c r="AR162" t="s">
        <v>3464</v>
      </c>
      <c r="AS162" t="s">
        <v>3465</v>
      </c>
      <c r="AT162" t="s">
        <v>3298</v>
      </c>
      <c r="AU162">
        <v>2018</v>
      </c>
      <c r="AV162">
        <v>32</v>
      </c>
      <c r="AW162">
        <v>5</v>
      </c>
      <c r="AX162" t="s">
        <v>74</v>
      </c>
      <c r="AY162" t="s">
        <v>74</v>
      </c>
      <c r="AZ162" t="s">
        <v>74</v>
      </c>
      <c r="BA162" t="s">
        <v>74</v>
      </c>
      <c r="BB162">
        <v>1329</v>
      </c>
      <c r="BC162">
        <v>1342</v>
      </c>
      <c r="BD162" t="s">
        <v>74</v>
      </c>
      <c r="BE162" t="s">
        <v>3466</v>
      </c>
      <c r="BF162" t="str">
        <f>HYPERLINK("http://dx.doi.org/10.1111/1365-2435.13067","http://dx.doi.org/10.1111/1365-2435.13067")</f>
        <v>http://dx.doi.org/10.1111/1365-2435.13067</v>
      </c>
      <c r="BG162" t="s">
        <v>74</v>
      </c>
      <c r="BH162" t="s">
        <v>74</v>
      </c>
      <c r="BI162">
        <v>14</v>
      </c>
      <c r="BJ162" t="s">
        <v>314</v>
      </c>
      <c r="BK162" t="s">
        <v>101</v>
      </c>
      <c r="BL162" t="s">
        <v>315</v>
      </c>
      <c r="BM162" t="s">
        <v>3467</v>
      </c>
      <c r="BN162" t="s">
        <v>74</v>
      </c>
      <c r="BO162" t="s">
        <v>1933</v>
      </c>
      <c r="BP162" t="s">
        <v>74</v>
      </c>
      <c r="BQ162" t="s">
        <v>74</v>
      </c>
      <c r="BR162" t="s">
        <v>105</v>
      </c>
      <c r="BS162" t="s">
        <v>3468</v>
      </c>
      <c r="BT162" t="str">
        <f>HYPERLINK("https%3A%2F%2Fwww.webofscience.com%2Fwos%2Fwoscc%2Ffull-record%2FWOS:000431991700018","View Full Record in Web of Science")</f>
        <v>View Full Record in Web of Science</v>
      </c>
    </row>
    <row r="163" spans="1:72" x14ac:dyDescent="0.15">
      <c r="A163" t="s">
        <v>72</v>
      </c>
      <c r="B163" t="s">
        <v>3469</v>
      </c>
      <c r="C163" t="s">
        <v>74</v>
      </c>
      <c r="D163" t="s">
        <v>74</v>
      </c>
      <c r="E163" t="s">
        <v>74</v>
      </c>
      <c r="F163" t="s">
        <v>3470</v>
      </c>
      <c r="G163" t="s">
        <v>74</v>
      </c>
      <c r="H163" t="s">
        <v>74</v>
      </c>
      <c r="I163" t="s">
        <v>3471</v>
      </c>
      <c r="J163" t="s">
        <v>3472</v>
      </c>
      <c r="K163" t="s">
        <v>74</v>
      </c>
      <c r="L163" t="s">
        <v>74</v>
      </c>
      <c r="M163" t="s">
        <v>78</v>
      </c>
      <c r="N163" t="s">
        <v>79</v>
      </c>
      <c r="O163" t="s">
        <v>74</v>
      </c>
      <c r="P163" t="s">
        <v>74</v>
      </c>
      <c r="Q163" t="s">
        <v>74</v>
      </c>
      <c r="R163" t="s">
        <v>74</v>
      </c>
      <c r="S163" t="s">
        <v>74</v>
      </c>
      <c r="T163" t="s">
        <v>3473</v>
      </c>
      <c r="U163" t="s">
        <v>3474</v>
      </c>
      <c r="V163" t="s">
        <v>3475</v>
      </c>
      <c r="W163" t="s">
        <v>3476</v>
      </c>
      <c r="X163" t="s">
        <v>3477</v>
      </c>
      <c r="Y163" t="s">
        <v>3478</v>
      </c>
      <c r="Z163" t="s">
        <v>3479</v>
      </c>
      <c r="AA163" t="s">
        <v>3480</v>
      </c>
      <c r="AB163" t="s">
        <v>3481</v>
      </c>
      <c r="AC163" t="s">
        <v>3482</v>
      </c>
      <c r="AD163" t="s">
        <v>3483</v>
      </c>
      <c r="AE163" t="s">
        <v>3484</v>
      </c>
      <c r="AF163" t="s">
        <v>74</v>
      </c>
      <c r="AG163">
        <v>83</v>
      </c>
      <c r="AH163">
        <v>8</v>
      </c>
      <c r="AI163">
        <v>8</v>
      </c>
      <c r="AJ163">
        <v>0</v>
      </c>
      <c r="AK163">
        <v>10</v>
      </c>
      <c r="AL163" t="s">
        <v>3485</v>
      </c>
      <c r="AM163" t="s">
        <v>1540</v>
      </c>
      <c r="AN163" t="s">
        <v>3486</v>
      </c>
      <c r="AO163" t="s">
        <v>3487</v>
      </c>
      <c r="AP163" t="s">
        <v>3488</v>
      </c>
      <c r="AQ163" t="s">
        <v>74</v>
      </c>
      <c r="AR163" t="s">
        <v>3472</v>
      </c>
      <c r="AS163" t="s">
        <v>3489</v>
      </c>
      <c r="AT163" t="s">
        <v>3298</v>
      </c>
      <c r="AU163">
        <v>2018</v>
      </c>
      <c r="AV163">
        <v>28</v>
      </c>
      <c r="AW163">
        <v>5</v>
      </c>
      <c r="AX163" t="s">
        <v>74</v>
      </c>
      <c r="AY163" t="s">
        <v>74</v>
      </c>
      <c r="AZ163" t="s">
        <v>74</v>
      </c>
      <c r="BA163" t="s">
        <v>74</v>
      </c>
      <c r="BB163">
        <v>695</v>
      </c>
      <c r="BC163">
        <v>705</v>
      </c>
      <c r="BD163" t="s">
        <v>74</v>
      </c>
      <c r="BE163" t="s">
        <v>3490</v>
      </c>
      <c r="BF163" t="str">
        <f>HYPERLINK("http://dx.doi.org/10.1177/0959683617744259","http://dx.doi.org/10.1177/0959683617744259")</f>
        <v>http://dx.doi.org/10.1177/0959683617744259</v>
      </c>
      <c r="BG163" t="s">
        <v>74</v>
      </c>
      <c r="BH163" t="s">
        <v>74</v>
      </c>
      <c r="BI163">
        <v>11</v>
      </c>
      <c r="BJ163" t="s">
        <v>338</v>
      </c>
      <c r="BK163" t="s">
        <v>101</v>
      </c>
      <c r="BL163" t="s">
        <v>339</v>
      </c>
      <c r="BM163" t="s">
        <v>3491</v>
      </c>
      <c r="BN163" t="s">
        <v>74</v>
      </c>
      <c r="BO163" t="s">
        <v>74</v>
      </c>
      <c r="BP163" t="s">
        <v>74</v>
      </c>
      <c r="BQ163" t="s">
        <v>74</v>
      </c>
      <c r="BR163" t="s">
        <v>105</v>
      </c>
      <c r="BS163" t="s">
        <v>3492</v>
      </c>
      <c r="BT163" t="str">
        <f>HYPERLINK("https%3A%2F%2Fwww.webofscience.com%2Fwos%2Fwoscc%2Ffull-record%2FWOS:000432240500002","View Full Record in Web of Science")</f>
        <v>View Full Record in Web of Science</v>
      </c>
    </row>
    <row r="164" spans="1:72" x14ac:dyDescent="0.15">
      <c r="A164" t="s">
        <v>72</v>
      </c>
      <c r="B164" t="s">
        <v>3493</v>
      </c>
      <c r="C164" t="s">
        <v>74</v>
      </c>
      <c r="D164" t="s">
        <v>74</v>
      </c>
      <c r="E164" t="s">
        <v>74</v>
      </c>
      <c r="F164" t="s">
        <v>3494</v>
      </c>
      <c r="G164" t="s">
        <v>74</v>
      </c>
      <c r="H164" t="s">
        <v>74</v>
      </c>
      <c r="I164" t="s">
        <v>3495</v>
      </c>
      <c r="J164" t="s">
        <v>3496</v>
      </c>
      <c r="K164" t="s">
        <v>74</v>
      </c>
      <c r="L164" t="s">
        <v>74</v>
      </c>
      <c r="M164" t="s">
        <v>78</v>
      </c>
      <c r="N164" t="s">
        <v>79</v>
      </c>
      <c r="O164" t="s">
        <v>74</v>
      </c>
      <c r="P164" t="s">
        <v>74</v>
      </c>
      <c r="Q164" t="s">
        <v>74</v>
      </c>
      <c r="R164" t="s">
        <v>74</v>
      </c>
      <c r="S164" t="s">
        <v>74</v>
      </c>
      <c r="T164" t="s">
        <v>3497</v>
      </c>
      <c r="U164" t="s">
        <v>3498</v>
      </c>
      <c r="V164" t="s">
        <v>3499</v>
      </c>
      <c r="W164" t="s">
        <v>3500</v>
      </c>
      <c r="X164" t="s">
        <v>3501</v>
      </c>
      <c r="Y164" t="s">
        <v>3502</v>
      </c>
      <c r="Z164" t="s">
        <v>3503</v>
      </c>
      <c r="AA164" t="s">
        <v>3504</v>
      </c>
      <c r="AB164" t="s">
        <v>3505</v>
      </c>
      <c r="AC164" t="s">
        <v>3506</v>
      </c>
      <c r="AD164" t="s">
        <v>3506</v>
      </c>
      <c r="AE164" t="s">
        <v>3507</v>
      </c>
      <c r="AF164" t="s">
        <v>74</v>
      </c>
      <c r="AG164">
        <v>41</v>
      </c>
      <c r="AH164">
        <v>4</v>
      </c>
      <c r="AI164">
        <v>4</v>
      </c>
      <c r="AJ164">
        <v>0</v>
      </c>
      <c r="AK164">
        <v>6</v>
      </c>
      <c r="AL164" t="s">
        <v>3508</v>
      </c>
      <c r="AM164" t="s">
        <v>1540</v>
      </c>
      <c r="AN164" t="s">
        <v>3509</v>
      </c>
      <c r="AO164" t="s">
        <v>3510</v>
      </c>
      <c r="AP164" t="s">
        <v>3511</v>
      </c>
      <c r="AQ164" t="s">
        <v>74</v>
      </c>
      <c r="AR164" t="s">
        <v>3512</v>
      </c>
      <c r="AS164" t="s">
        <v>3513</v>
      </c>
      <c r="AT164" t="s">
        <v>3298</v>
      </c>
      <c r="AU164">
        <v>2018</v>
      </c>
      <c r="AV164">
        <v>68</v>
      </c>
      <c r="AW164">
        <v>5</v>
      </c>
      <c r="AX164" t="s">
        <v>74</v>
      </c>
      <c r="AY164" t="s">
        <v>74</v>
      </c>
      <c r="AZ164" t="s">
        <v>74</v>
      </c>
      <c r="BA164" t="s">
        <v>74</v>
      </c>
      <c r="BB164">
        <v>1565</v>
      </c>
      <c r="BC164">
        <v>1570</v>
      </c>
      <c r="BD164" t="s">
        <v>74</v>
      </c>
      <c r="BE164" t="s">
        <v>3514</v>
      </c>
      <c r="BF164" t="str">
        <f>HYPERLINK("http://dx.doi.org/10.1099/ijsem.0.002712","http://dx.doi.org/10.1099/ijsem.0.002712")</f>
        <v>http://dx.doi.org/10.1099/ijsem.0.002712</v>
      </c>
      <c r="BG164" t="s">
        <v>74</v>
      </c>
      <c r="BH164" t="s">
        <v>74</v>
      </c>
      <c r="BI164">
        <v>6</v>
      </c>
      <c r="BJ164" t="s">
        <v>510</v>
      </c>
      <c r="BK164" t="s">
        <v>101</v>
      </c>
      <c r="BL164" t="s">
        <v>510</v>
      </c>
      <c r="BM164" t="s">
        <v>3515</v>
      </c>
      <c r="BN164">
        <v>29537359</v>
      </c>
      <c r="BO164" t="s">
        <v>162</v>
      </c>
      <c r="BP164" t="s">
        <v>74</v>
      </c>
      <c r="BQ164" t="s">
        <v>74</v>
      </c>
      <c r="BR164" t="s">
        <v>105</v>
      </c>
      <c r="BS164" t="s">
        <v>3516</v>
      </c>
      <c r="BT164" t="str">
        <f>HYPERLINK("https%3A%2F%2Fwww.webofscience.com%2Fwos%2Fwoscc%2Ffull-record%2FWOS:000433171000025","View Full Record in Web of Science")</f>
        <v>View Full Record in Web of Science</v>
      </c>
    </row>
    <row r="165" spans="1:72" x14ac:dyDescent="0.15">
      <c r="A165" t="s">
        <v>72</v>
      </c>
      <c r="B165" t="s">
        <v>3517</v>
      </c>
      <c r="C165" t="s">
        <v>74</v>
      </c>
      <c r="D165" t="s">
        <v>74</v>
      </c>
      <c r="E165" t="s">
        <v>74</v>
      </c>
      <c r="F165" t="s">
        <v>3518</v>
      </c>
      <c r="G165" t="s">
        <v>74</v>
      </c>
      <c r="H165" t="s">
        <v>74</v>
      </c>
      <c r="I165" t="s">
        <v>3519</v>
      </c>
      <c r="J165" t="s">
        <v>3520</v>
      </c>
      <c r="K165" t="s">
        <v>74</v>
      </c>
      <c r="L165" t="s">
        <v>74</v>
      </c>
      <c r="M165" t="s">
        <v>78</v>
      </c>
      <c r="N165" t="s">
        <v>79</v>
      </c>
      <c r="O165" t="s">
        <v>74</v>
      </c>
      <c r="P165" t="s">
        <v>74</v>
      </c>
      <c r="Q165" t="s">
        <v>74</v>
      </c>
      <c r="R165" t="s">
        <v>74</v>
      </c>
      <c r="S165" t="s">
        <v>74</v>
      </c>
      <c r="T165" t="s">
        <v>74</v>
      </c>
      <c r="U165" t="s">
        <v>3521</v>
      </c>
      <c r="V165" t="s">
        <v>3522</v>
      </c>
      <c r="W165" t="s">
        <v>3523</v>
      </c>
      <c r="X165" t="s">
        <v>3524</v>
      </c>
      <c r="Y165" t="s">
        <v>3525</v>
      </c>
      <c r="Z165" t="s">
        <v>3526</v>
      </c>
      <c r="AA165" t="s">
        <v>3527</v>
      </c>
      <c r="AB165" t="s">
        <v>3528</v>
      </c>
      <c r="AC165" t="s">
        <v>3529</v>
      </c>
      <c r="AD165" t="s">
        <v>3530</v>
      </c>
      <c r="AE165" t="s">
        <v>3531</v>
      </c>
      <c r="AF165" t="s">
        <v>74</v>
      </c>
      <c r="AG165">
        <v>86</v>
      </c>
      <c r="AH165">
        <v>38</v>
      </c>
      <c r="AI165">
        <v>40</v>
      </c>
      <c r="AJ165">
        <v>9</v>
      </c>
      <c r="AK165">
        <v>62</v>
      </c>
      <c r="AL165" t="s">
        <v>1689</v>
      </c>
      <c r="AM165" t="s">
        <v>1540</v>
      </c>
      <c r="AN165" t="s">
        <v>1690</v>
      </c>
      <c r="AO165" t="s">
        <v>3532</v>
      </c>
      <c r="AP165" t="s">
        <v>3533</v>
      </c>
      <c r="AQ165" t="s">
        <v>74</v>
      </c>
      <c r="AR165" t="s">
        <v>3534</v>
      </c>
      <c r="AS165" t="s">
        <v>3535</v>
      </c>
      <c r="AT165" t="s">
        <v>3298</v>
      </c>
      <c r="AU165">
        <v>2018</v>
      </c>
      <c r="AV165">
        <v>12</v>
      </c>
      <c r="AW165">
        <v>5</v>
      </c>
      <c r="AX165" t="s">
        <v>74</v>
      </c>
      <c r="AY165" t="s">
        <v>74</v>
      </c>
      <c r="AZ165" t="s">
        <v>74</v>
      </c>
      <c r="BA165" t="s">
        <v>74</v>
      </c>
      <c r="BB165">
        <v>1237</v>
      </c>
      <c r="BC165">
        <v>1251</v>
      </c>
      <c r="BD165" t="s">
        <v>74</v>
      </c>
      <c r="BE165" t="s">
        <v>3536</v>
      </c>
      <c r="BF165" t="str">
        <f>HYPERLINK("http://dx.doi.org/10.1038/s41396-017-0039-z","http://dx.doi.org/10.1038/s41396-017-0039-z")</f>
        <v>http://dx.doi.org/10.1038/s41396-017-0039-z</v>
      </c>
      <c r="BG165" t="s">
        <v>74</v>
      </c>
      <c r="BH165" t="s">
        <v>74</v>
      </c>
      <c r="BI165">
        <v>15</v>
      </c>
      <c r="BJ165" t="s">
        <v>3537</v>
      </c>
      <c r="BK165" t="s">
        <v>101</v>
      </c>
      <c r="BL165" t="s">
        <v>187</v>
      </c>
      <c r="BM165" t="s">
        <v>3538</v>
      </c>
      <c r="BN165">
        <v>29348581</v>
      </c>
      <c r="BO165" t="s">
        <v>3539</v>
      </c>
      <c r="BP165" t="s">
        <v>74</v>
      </c>
      <c r="BQ165" t="s">
        <v>74</v>
      </c>
      <c r="BR165" t="s">
        <v>105</v>
      </c>
      <c r="BS165" t="s">
        <v>3540</v>
      </c>
      <c r="BT165" t="str">
        <f>HYPERLINK("https%3A%2F%2Fwww.webofscience.com%2Fwos%2Fwoscc%2Ffull-record%2FWOS:000431321500008","View Full Record in Web of Science")</f>
        <v>View Full Record in Web of Science</v>
      </c>
    </row>
    <row r="166" spans="1:72" x14ac:dyDescent="0.15">
      <c r="A166" t="s">
        <v>72</v>
      </c>
      <c r="B166" t="s">
        <v>3541</v>
      </c>
      <c r="C166" t="s">
        <v>74</v>
      </c>
      <c r="D166" t="s">
        <v>74</v>
      </c>
      <c r="E166" t="s">
        <v>74</v>
      </c>
      <c r="F166" t="s">
        <v>3542</v>
      </c>
      <c r="G166" t="s">
        <v>74</v>
      </c>
      <c r="H166" t="s">
        <v>74</v>
      </c>
      <c r="I166" t="s">
        <v>3543</v>
      </c>
      <c r="J166" t="s">
        <v>2751</v>
      </c>
      <c r="K166" t="s">
        <v>74</v>
      </c>
      <c r="L166" t="s">
        <v>74</v>
      </c>
      <c r="M166" t="s">
        <v>78</v>
      </c>
      <c r="N166" t="s">
        <v>79</v>
      </c>
      <c r="O166" t="s">
        <v>74</v>
      </c>
      <c r="P166" t="s">
        <v>74</v>
      </c>
      <c r="Q166" t="s">
        <v>74</v>
      </c>
      <c r="R166" t="s">
        <v>74</v>
      </c>
      <c r="S166" t="s">
        <v>74</v>
      </c>
      <c r="T166" t="s">
        <v>3544</v>
      </c>
      <c r="U166" t="s">
        <v>3545</v>
      </c>
      <c r="V166" t="s">
        <v>3546</v>
      </c>
      <c r="W166" t="s">
        <v>3547</v>
      </c>
      <c r="X166" t="s">
        <v>3548</v>
      </c>
      <c r="Y166" t="s">
        <v>3549</v>
      </c>
      <c r="Z166" t="s">
        <v>3550</v>
      </c>
      <c r="AA166" t="s">
        <v>3551</v>
      </c>
      <c r="AB166" t="s">
        <v>3552</v>
      </c>
      <c r="AC166" t="s">
        <v>3553</v>
      </c>
      <c r="AD166" t="s">
        <v>3554</v>
      </c>
      <c r="AE166" t="s">
        <v>3555</v>
      </c>
      <c r="AF166" t="s">
        <v>74</v>
      </c>
      <c r="AG166">
        <v>84</v>
      </c>
      <c r="AH166">
        <v>22</v>
      </c>
      <c r="AI166">
        <v>23</v>
      </c>
      <c r="AJ166">
        <v>0</v>
      </c>
      <c r="AK166">
        <v>16</v>
      </c>
      <c r="AL166" t="s">
        <v>277</v>
      </c>
      <c r="AM166" t="s">
        <v>278</v>
      </c>
      <c r="AN166" t="s">
        <v>279</v>
      </c>
      <c r="AO166" t="s">
        <v>2764</v>
      </c>
      <c r="AP166" t="s">
        <v>2765</v>
      </c>
      <c r="AQ166" t="s">
        <v>74</v>
      </c>
      <c r="AR166" t="s">
        <v>2766</v>
      </c>
      <c r="AS166" t="s">
        <v>2767</v>
      </c>
      <c r="AT166" t="s">
        <v>3556</v>
      </c>
      <c r="AU166">
        <v>2018</v>
      </c>
      <c r="AV166">
        <v>156</v>
      </c>
      <c r="AW166" t="s">
        <v>74</v>
      </c>
      <c r="AX166" t="s">
        <v>74</v>
      </c>
      <c r="AY166" t="s">
        <v>74</v>
      </c>
      <c r="AZ166" t="s">
        <v>74</v>
      </c>
      <c r="BA166" t="s">
        <v>74</v>
      </c>
      <c r="BB166">
        <v>122</v>
      </c>
      <c r="BC166">
        <v>144</v>
      </c>
      <c r="BD166" t="s">
        <v>74</v>
      </c>
      <c r="BE166" t="s">
        <v>3557</v>
      </c>
      <c r="BF166" t="str">
        <f>HYPERLINK("http://dx.doi.org/10.1016/j.jseaes.2018.01.017","http://dx.doi.org/10.1016/j.jseaes.2018.01.017")</f>
        <v>http://dx.doi.org/10.1016/j.jseaes.2018.01.017</v>
      </c>
      <c r="BG166" t="s">
        <v>74</v>
      </c>
      <c r="BH166" t="s">
        <v>74</v>
      </c>
      <c r="BI166">
        <v>23</v>
      </c>
      <c r="BJ166" t="s">
        <v>1243</v>
      </c>
      <c r="BK166" t="s">
        <v>101</v>
      </c>
      <c r="BL166" t="s">
        <v>1181</v>
      </c>
      <c r="BM166" t="s">
        <v>3558</v>
      </c>
      <c r="BN166" t="s">
        <v>74</v>
      </c>
      <c r="BO166" t="s">
        <v>74</v>
      </c>
      <c r="BP166" t="s">
        <v>74</v>
      </c>
      <c r="BQ166" t="s">
        <v>74</v>
      </c>
      <c r="BR166" t="s">
        <v>105</v>
      </c>
      <c r="BS166" t="s">
        <v>3559</v>
      </c>
      <c r="BT166" t="str">
        <f>HYPERLINK("https%3A%2F%2Fwww.webofscience.com%2Fwos%2Fwoscc%2Ffull-record%2FWOS:000428829700010","View Full Record in Web of Science")</f>
        <v>View Full Record in Web of Science</v>
      </c>
    </row>
    <row r="167" spans="1:72" x14ac:dyDescent="0.15">
      <c r="A167" t="s">
        <v>72</v>
      </c>
      <c r="B167" t="s">
        <v>3560</v>
      </c>
      <c r="C167" t="s">
        <v>74</v>
      </c>
      <c r="D167" t="s">
        <v>74</v>
      </c>
      <c r="E167" t="s">
        <v>74</v>
      </c>
      <c r="F167" t="s">
        <v>3561</v>
      </c>
      <c r="G167" t="s">
        <v>74</v>
      </c>
      <c r="H167" t="s">
        <v>74</v>
      </c>
      <c r="I167" t="s">
        <v>3562</v>
      </c>
      <c r="J167" t="s">
        <v>3563</v>
      </c>
      <c r="K167" t="s">
        <v>74</v>
      </c>
      <c r="L167" t="s">
        <v>74</v>
      </c>
      <c r="M167" t="s">
        <v>78</v>
      </c>
      <c r="N167" t="s">
        <v>79</v>
      </c>
      <c r="O167" t="s">
        <v>74</v>
      </c>
      <c r="P167" t="s">
        <v>74</v>
      </c>
      <c r="Q167" t="s">
        <v>74</v>
      </c>
      <c r="R167" t="s">
        <v>74</v>
      </c>
      <c r="S167" t="s">
        <v>74</v>
      </c>
      <c r="T167" t="s">
        <v>3564</v>
      </c>
      <c r="U167" t="s">
        <v>3565</v>
      </c>
      <c r="V167" t="s">
        <v>3566</v>
      </c>
      <c r="W167" t="s">
        <v>3567</v>
      </c>
      <c r="X167" t="s">
        <v>3568</v>
      </c>
      <c r="Y167" t="s">
        <v>3569</v>
      </c>
      <c r="Z167" t="s">
        <v>3570</v>
      </c>
      <c r="AA167" t="s">
        <v>3571</v>
      </c>
      <c r="AB167" t="s">
        <v>3572</v>
      </c>
      <c r="AC167" t="s">
        <v>74</v>
      </c>
      <c r="AD167" t="s">
        <v>74</v>
      </c>
      <c r="AE167" t="s">
        <v>74</v>
      </c>
      <c r="AF167" t="s">
        <v>74</v>
      </c>
      <c r="AG167">
        <v>53</v>
      </c>
      <c r="AH167">
        <v>7</v>
      </c>
      <c r="AI167">
        <v>8</v>
      </c>
      <c r="AJ167">
        <v>3</v>
      </c>
      <c r="AK167">
        <v>36</v>
      </c>
      <c r="AL167" t="s">
        <v>179</v>
      </c>
      <c r="AM167" t="s">
        <v>180</v>
      </c>
      <c r="AN167" t="s">
        <v>181</v>
      </c>
      <c r="AO167" t="s">
        <v>3573</v>
      </c>
      <c r="AP167" t="s">
        <v>3574</v>
      </c>
      <c r="AQ167" t="s">
        <v>74</v>
      </c>
      <c r="AR167" t="s">
        <v>3575</v>
      </c>
      <c r="AS167" t="s">
        <v>3576</v>
      </c>
      <c r="AT167" t="s">
        <v>3298</v>
      </c>
      <c r="AU167">
        <v>2018</v>
      </c>
      <c r="AV167">
        <v>58</v>
      </c>
      <c r="AW167">
        <v>5</v>
      </c>
      <c r="AX167" t="s">
        <v>74</v>
      </c>
      <c r="AY167" t="s">
        <v>74</v>
      </c>
      <c r="AZ167" t="s">
        <v>74</v>
      </c>
      <c r="BA167" t="s">
        <v>74</v>
      </c>
      <c r="BB167">
        <v>390</v>
      </c>
      <c r="BC167">
        <v>402</v>
      </c>
      <c r="BD167" t="s">
        <v>74</v>
      </c>
      <c r="BE167" t="s">
        <v>3577</v>
      </c>
      <c r="BF167" t="str">
        <f>HYPERLINK("http://dx.doi.org/10.1002/jobm.201700580","http://dx.doi.org/10.1002/jobm.201700580")</f>
        <v>http://dx.doi.org/10.1002/jobm.201700580</v>
      </c>
      <c r="BG167" t="s">
        <v>74</v>
      </c>
      <c r="BH167" t="s">
        <v>74</v>
      </c>
      <c r="BI167">
        <v>13</v>
      </c>
      <c r="BJ167" t="s">
        <v>510</v>
      </c>
      <c r="BK167" t="s">
        <v>101</v>
      </c>
      <c r="BL167" t="s">
        <v>510</v>
      </c>
      <c r="BM167" t="s">
        <v>3578</v>
      </c>
      <c r="BN167">
        <v>29534290</v>
      </c>
      <c r="BO167" t="s">
        <v>74</v>
      </c>
      <c r="BP167" t="s">
        <v>74</v>
      </c>
      <c r="BQ167" t="s">
        <v>74</v>
      </c>
      <c r="BR167" t="s">
        <v>105</v>
      </c>
      <c r="BS167" t="s">
        <v>3579</v>
      </c>
      <c r="BT167" t="str">
        <f>HYPERLINK("https%3A%2F%2Fwww.webofscience.com%2Fwos%2Fwoscc%2Ffull-record%2FWOS:000431499900002","View Full Record in Web of Science")</f>
        <v>View Full Record in Web of Science</v>
      </c>
    </row>
    <row r="168" spans="1:72" x14ac:dyDescent="0.15">
      <c r="A168" t="s">
        <v>72</v>
      </c>
      <c r="B168" t="s">
        <v>3580</v>
      </c>
      <c r="C168" t="s">
        <v>74</v>
      </c>
      <c r="D168" t="s">
        <v>74</v>
      </c>
      <c r="E168" t="s">
        <v>74</v>
      </c>
      <c r="F168" t="s">
        <v>3581</v>
      </c>
      <c r="G168" t="s">
        <v>74</v>
      </c>
      <c r="H168" t="s">
        <v>74</v>
      </c>
      <c r="I168" t="s">
        <v>3582</v>
      </c>
      <c r="J168" t="s">
        <v>3583</v>
      </c>
      <c r="K168" t="s">
        <v>74</v>
      </c>
      <c r="L168" t="s">
        <v>74</v>
      </c>
      <c r="M168" t="s">
        <v>78</v>
      </c>
      <c r="N168" t="s">
        <v>79</v>
      </c>
      <c r="O168" t="s">
        <v>74</v>
      </c>
      <c r="P168" t="s">
        <v>74</v>
      </c>
      <c r="Q168" t="s">
        <v>74</v>
      </c>
      <c r="R168" t="s">
        <v>74</v>
      </c>
      <c r="S168" t="s">
        <v>74</v>
      </c>
      <c r="T168" t="s">
        <v>74</v>
      </c>
      <c r="U168" t="s">
        <v>3584</v>
      </c>
      <c r="V168" t="s">
        <v>3585</v>
      </c>
      <c r="W168" t="s">
        <v>3586</v>
      </c>
      <c r="X168" t="s">
        <v>3587</v>
      </c>
      <c r="Y168" t="s">
        <v>3588</v>
      </c>
      <c r="Z168" t="s">
        <v>3589</v>
      </c>
      <c r="AA168" t="s">
        <v>3590</v>
      </c>
      <c r="AB168" t="s">
        <v>3591</v>
      </c>
      <c r="AC168" t="s">
        <v>3592</v>
      </c>
      <c r="AD168" t="s">
        <v>3593</v>
      </c>
      <c r="AE168" t="s">
        <v>3594</v>
      </c>
      <c r="AF168" t="s">
        <v>74</v>
      </c>
      <c r="AG168">
        <v>65</v>
      </c>
      <c r="AH168">
        <v>22</v>
      </c>
      <c r="AI168">
        <v>26</v>
      </c>
      <c r="AJ168">
        <v>0</v>
      </c>
      <c r="AK168">
        <v>20</v>
      </c>
      <c r="AL168" t="s">
        <v>3595</v>
      </c>
      <c r="AM168" t="s">
        <v>3596</v>
      </c>
      <c r="AN168" t="s">
        <v>3597</v>
      </c>
      <c r="AO168" t="s">
        <v>3598</v>
      </c>
      <c r="AP168" t="s">
        <v>3599</v>
      </c>
      <c r="AQ168" t="s">
        <v>74</v>
      </c>
      <c r="AR168" t="s">
        <v>3600</v>
      </c>
      <c r="AS168" t="s">
        <v>3601</v>
      </c>
      <c r="AT168" t="s">
        <v>3298</v>
      </c>
      <c r="AU168">
        <v>2018</v>
      </c>
      <c r="AV168">
        <v>31</v>
      </c>
      <c r="AW168">
        <v>9</v>
      </c>
      <c r="AX168" t="s">
        <v>74</v>
      </c>
      <c r="AY168" t="s">
        <v>74</v>
      </c>
      <c r="AZ168" t="s">
        <v>74</v>
      </c>
      <c r="BA168" t="s">
        <v>74</v>
      </c>
      <c r="BB168">
        <v>3597</v>
      </c>
      <c r="BC168">
        <v>3608</v>
      </c>
      <c r="BD168" t="s">
        <v>74</v>
      </c>
      <c r="BE168" t="s">
        <v>3602</v>
      </c>
      <c r="BF168" t="str">
        <f>HYPERLINK("http://dx.doi.org/10.1175/JCLI-D-17-0598.1","http://dx.doi.org/10.1175/JCLI-D-17-0598.1")</f>
        <v>http://dx.doi.org/10.1175/JCLI-D-17-0598.1</v>
      </c>
      <c r="BG168" t="s">
        <v>74</v>
      </c>
      <c r="BH168" t="s">
        <v>74</v>
      </c>
      <c r="BI168">
        <v>12</v>
      </c>
      <c r="BJ168" t="s">
        <v>131</v>
      </c>
      <c r="BK168" t="s">
        <v>101</v>
      </c>
      <c r="BL168" t="s">
        <v>131</v>
      </c>
      <c r="BM168" t="s">
        <v>3603</v>
      </c>
      <c r="BN168" t="s">
        <v>74</v>
      </c>
      <c r="BO168" t="s">
        <v>3604</v>
      </c>
      <c r="BP168" t="s">
        <v>74</v>
      </c>
      <c r="BQ168" t="s">
        <v>74</v>
      </c>
      <c r="BR168" t="s">
        <v>105</v>
      </c>
      <c r="BS168" t="s">
        <v>3605</v>
      </c>
      <c r="BT168" t="str">
        <f>HYPERLINK("https%3A%2F%2Fwww.webofscience.com%2Fwos%2Fwoscc%2Ffull-record%2FWOS:000429529900014","View Full Record in Web of Science")</f>
        <v>View Full Record in Web of Science</v>
      </c>
    </row>
    <row r="169" spans="1:72" x14ac:dyDescent="0.15">
      <c r="A169" t="s">
        <v>72</v>
      </c>
      <c r="B169" t="s">
        <v>3606</v>
      </c>
      <c r="C169" t="s">
        <v>74</v>
      </c>
      <c r="D169" t="s">
        <v>74</v>
      </c>
      <c r="E169" t="s">
        <v>74</v>
      </c>
      <c r="F169" t="s">
        <v>3607</v>
      </c>
      <c r="G169" t="s">
        <v>74</v>
      </c>
      <c r="H169" t="s">
        <v>74</v>
      </c>
      <c r="I169" t="s">
        <v>3608</v>
      </c>
      <c r="J169" t="s">
        <v>3609</v>
      </c>
      <c r="K169" t="s">
        <v>74</v>
      </c>
      <c r="L169" t="s">
        <v>74</v>
      </c>
      <c r="M169" t="s">
        <v>78</v>
      </c>
      <c r="N169" t="s">
        <v>79</v>
      </c>
      <c r="O169" t="s">
        <v>74</v>
      </c>
      <c r="P169" t="s">
        <v>74</v>
      </c>
      <c r="Q169" t="s">
        <v>74</v>
      </c>
      <c r="R169" t="s">
        <v>74</v>
      </c>
      <c r="S169" t="s">
        <v>74</v>
      </c>
      <c r="T169" t="s">
        <v>3610</v>
      </c>
      <c r="U169" t="s">
        <v>3611</v>
      </c>
      <c r="V169" t="s">
        <v>3612</v>
      </c>
      <c r="W169" t="s">
        <v>3613</v>
      </c>
      <c r="X169" t="s">
        <v>3614</v>
      </c>
      <c r="Y169" t="s">
        <v>3615</v>
      </c>
      <c r="Z169" t="s">
        <v>3616</v>
      </c>
      <c r="AA169" t="s">
        <v>3617</v>
      </c>
      <c r="AB169" t="s">
        <v>3618</v>
      </c>
      <c r="AC169" t="s">
        <v>3619</v>
      </c>
      <c r="AD169" t="s">
        <v>3620</v>
      </c>
      <c r="AE169" t="s">
        <v>3621</v>
      </c>
      <c r="AF169" t="s">
        <v>74</v>
      </c>
      <c r="AG169">
        <v>51</v>
      </c>
      <c r="AH169">
        <v>6</v>
      </c>
      <c r="AI169">
        <v>7</v>
      </c>
      <c r="AJ169">
        <v>0</v>
      </c>
      <c r="AK169">
        <v>13</v>
      </c>
      <c r="AL169" t="s">
        <v>179</v>
      </c>
      <c r="AM169" t="s">
        <v>180</v>
      </c>
      <c r="AN169" t="s">
        <v>181</v>
      </c>
      <c r="AO169" t="s">
        <v>3622</v>
      </c>
      <c r="AP169" t="s">
        <v>3623</v>
      </c>
      <c r="AQ169" t="s">
        <v>74</v>
      </c>
      <c r="AR169" t="s">
        <v>3624</v>
      </c>
      <c r="AS169" t="s">
        <v>3625</v>
      </c>
      <c r="AT169" t="s">
        <v>3298</v>
      </c>
      <c r="AU169">
        <v>2018</v>
      </c>
      <c r="AV169">
        <v>92</v>
      </c>
      <c r="AW169">
        <v>5</v>
      </c>
      <c r="AX169" t="s">
        <v>74</v>
      </c>
      <c r="AY169" t="s">
        <v>74</v>
      </c>
      <c r="AZ169" t="s">
        <v>74</v>
      </c>
      <c r="BA169" t="s">
        <v>74</v>
      </c>
      <c r="BB169">
        <v>1463</v>
      </c>
      <c r="BC169">
        <v>1486</v>
      </c>
      <c r="BD169" t="s">
        <v>74</v>
      </c>
      <c r="BE169" t="s">
        <v>3626</v>
      </c>
      <c r="BF169" t="str">
        <f>HYPERLINK("http://dx.doi.org/10.1111/jfb.13602","http://dx.doi.org/10.1111/jfb.13602")</f>
        <v>http://dx.doi.org/10.1111/jfb.13602</v>
      </c>
      <c r="BG169" t="s">
        <v>74</v>
      </c>
      <c r="BH169" t="s">
        <v>74</v>
      </c>
      <c r="BI169">
        <v>24</v>
      </c>
      <c r="BJ169" t="s">
        <v>3627</v>
      </c>
      <c r="BK169" t="s">
        <v>101</v>
      </c>
      <c r="BL169" t="s">
        <v>3627</v>
      </c>
      <c r="BM169" t="s">
        <v>3628</v>
      </c>
      <c r="BN169">
        <v>29672848</v>
      </c>
      <c r="BO169" t="s">
        <v>74</v>
      </c>
      <c r="BP169" t="s">
        <v>74</v>
      </c>
      <c r="BQ169" t="s">
        <v>74</v>
      </c>
      <c r="BR169" t="s">
        <v>105</v>
      </c>
      <c r="BS169" t="s">
        <v>3629</v>
      </c>
      <c r="BT169" t="str">
        <f>HYPERLINK("https%3A%2F%2Fwww.webofscience.com%2Fwos%2Fwoscc%2Ffull-record%2FWOS:000433581200014","View Full Record in Web of Science")</f>
        <v>View Full Record in Web of Science</v>
      </c>
    </row>
    <row r="170" spans="1:72" x14ac:dyDescent="0.15">
      <c r="A170" t="s">
        <v>72</v>
      </c>
      <c r="B170" t="s">
        <v>3630</v>
      </c>
      <c r="C170" t="s">
        <v>74</v>
      </c>
      <c r="D170" t="s">
        <v>74</v>
      </c>
      <c r="E170" t="s">
        <v>74</v>
      </c>
      <c r="F170" t="s">
        <v>3631</v>
      </c>
      <c r="G170" t="s">
        <v>74</v>
      </c>
      <c r="H170" t="s">
        <v>74</v>
      </c>
      <c r="I170" t="s">
        <v>3632</v>
      </c>
      <c r="J170" t="s">
        <v>3633</v>
      </c>
      <c r="K170" t="s">
        <v>74</v>
      </c>
      <c r="L170" t="s">
        <v>74</v>
      </c>
      <c r="M170" t="s">
        <v>78</v>
      </c>
      <c r="N170" t="s">
        <v>79</v>
      </c>
      <c r="O170" t="s">
        <v>74</v>
      </c>
      <c r="P170" t="s">
        <v>74</v>
      </c>
      <c r="Q170" t="s">
        <v>74</v>
      </c>
      <c r="R170" t="s">
        <v>74</v>
      </c>
      <c r="S170" t="s">
        <v>74</v>
      </c>
      <c r="T170" t="s">
        <v>3634</v>
      </c>
      <c r="U170" t="s">
        <v>3635</v>
      </c>
      <c r="V170" t="s">
        <v>3636</v>
      </c>
      <c r="W170" t="s">
        <v>3637</v>
      </c>
      <c r="X170" t="s">
        <v>3638</v>
      </c>
      <c r="Y170" t="s">
        <v>3639</v>
      </c>
      <c r="Z170" t="s">
        <v>3640</v>
      </c>
      <c r="AA170" t="s">
        <v>3641</v>
      </c>
      <c r="AB170" t="s">
        <v>3642</v>
      </c>
      <c r="AC170" t="s">
        <v>3643</v>
      </c>
      <c r="AD170" t="s">
        <v>3644</v>
      </c>
      <c r="AE170" t="s">
        <v>3645</v>
      </c>
      <c r="AF170" t="s">
        <v>74</v>
      </c>
      <c r="AG170">
        <v>68</v>
      </c>
      <c r="AH170">
        <v>60</v>
      </c>
      <c r="AI170">
        <v>64</v>
      </c>
      <c r="AJ170">
        <v>3</v>
      </c>
      <c r="AK170">
        <v>29</v>
      </c>
      <c r="AL170" t="s">
        <v>574</v>
      </c>
      <c r="AM170" t="s">
        <v>575</v>
      </c>
      <c r="AN170" t="s">
        <v>576</v>
      </c>
      <c r="AO170" t="s">
        <v>3646</v>
      </c>
      <c r="AP170" t="s">
        <v>3647</v>
      </c>
      <c r="AQ170" t="s">
        <v>74</v>
      </c>
      <c r="AR170" t="s">
        <v>3648</v>
      </c>
      <c r="AS170" t="s">
        <v>3649</v>
      </c>
      <c r="AT170" t="s">
        <v>3298</v>
      </c>
      <c r="AU170">
        <v>2018</v>
      </c>
      <c r="AV170">
        <v>123</v>
      </c>
      <c r="AW170">
        <v>5</v>
      </c>
      <c r="AX170" t="s">
        <v>74</v>
      </c>
      <c r="AY170" t="s">
        <v>74</v>
      </c>
      <c r="AZ170" t="s">
        <v>74</v>
      </c>
      <c r="BA170" t="s">
        <v>74</v>
      </c>
      <c r="BB170">
        <v>1094</v>
      </c>
      <c r="BC170">
        <v>1115</v>
      </c>
      <c r="BD170" t="s">
        <v>74</v>
      </c>
      <c r="BE170" t="s">
        <v>3650</v>
      </c>
      <c r="BF170" t="str">
        <f>HYPERLINK("http://dx.doi.org/10.1029/2017JF004395","http://dx.doi.org/10.1029/2017JF004395")</f>
        <v>http://dx.doi.org/10.1029/2017JF004395</v>
      </c>
      <c r="BG170" t="s">
        <v>74</v>
      </c>
      <c r="BH170" t="s">
        <v>74</v>
      </c>
      <c r="BI170">
        <v>22</v>
      </c>
      <c r="BJ170" t="s">
        <v>1243</v>
      </c>
      <c r="BK170" t="s">
        <v>101</v>
      </c>
      <c r="BL170" t="s">
        <v>1181</v>
      </c>
      <c r="BM170" t="s">
        <v>3651</v>
      </c>
      <c r="BN170" t="s">
        <v>74</v>
      </c>
      <c r="BO170" t="s">
        <v>2453</v>
      </c>
      <c r="BP170" t="s">
        <v>74</v>
      </c>
      <c r="BQ170" t="s">
        <v>74</v>
      </c>
      <c r="BR170" t="s">
        <v>105</v>
      </c>
      <c r="BS170" t="s">
        <v>3652</v>
      </c>
      <c r="BT170" t="str">
        <f>HYPERLINK("https%3A%2F%2Fwww.webofscience.com%2Fwos%2Fwoscc%2Ffull-record%2FWOS:000435277100014","View Full Record in Web of Science")</f>
        <v>View Full Record in Web of Science</v>
      </c>
    </row>
    <row r="171" spans="1:72" x14ac:dyDescent="0.15">
      <c r="A171" t="s">
        <v>72</v>
      </c>
      <c r="B171" t="s">
        <v>3653</v>
      </c>
      <c r="C171" t="s">
        <v>74</v>
      </c>
      <c r="D171" t="s">
        <v>74</v>
      </c>
      <c r="E171" t="s">
        <v>74</v>
      </c>
      <c r="F171" t="s">
        <v>3654</v>
      </c>
      <c r="G171" t="s">
        <v>74</v>
      </c>
      <c r="H171" t="s">
        <v>74</v>
      </c>
      <c r="I171" t="s">
        <v>3655</v>
      </c>
      <c r="J171" t="s">
        <v>3656</v>
      </c>
      <c r="K171" t="s">
        <v>74</v>
      </c>
      <c r="L171" t="s">
        <v>74</v>
      </c>
      <c r="M171" t="s">
        <v>78</v>
      </c>
      <c r="N171" t="s">
        <v>79</v>
      </c>
      <c r="O171" t="s">
        <v>74</v>
      </c>
      <c r="P171" t="s">
        <v>74</v>
      </c>
      <c r="Q171" t="s">
        <v>74</v>
      </c>
      <c r="R171" t="s">
        <v>74</v>
      </c>
      <c r="S171" t="s">
        <v>74</v>
      </c>
      <c r="T171" t="s">
        <v>3657</v>
      </c>
      <c r="U171" t="s">
        <v>3658</v>
      </c>
      <c r="V171" t="s">
        <v>3659</v>
      </c>
      <c r="W171" t="s">
        <v>3660</v>
      </c>
      <c r="X171" t="s">
        <v>3661</v>
      </c>
      <c r="Y171" t="s">
        <v>3662</v>
      </c>
      <c r="Z171" t="s">
        <v>3663</v>
      </c>
      <c r="AA171" t="s">
        <v>3664</v>
      </c>
      <c r="AB171" t="s">
        <v>3665</v>
      </c>
      <c r="AC171" t="s">
        <v>3666</v>
      </c>
      <c r="AD171" t="s">
        <v>3667</v>
      </c>
      <c r="AE171" t="s">
        <v>3668</v>
      </c>
      <c r="AF171" t="s">
        <v>74</v>
      </c>
      <c r="AG171">
        <v>126</v>
      </c>
      <c r="AH171">
        <v>15</v>
      </c>
      <c r="AI171">
        <v>15</v>
      </c>
      <c r="AJ171">
        <v>1</v>
      </c>
      <c r="AK171">
        <v>45</v>
      </c>
      <c r="AL171" t="s">
        <v>574</v>
      </c>
      <c r="AM171" t="s">
        <v>575</v>
      </c>
      <c r="AN171" t="s">
        <v>576</v>
      </c>
      <c r="AO171" t="s">
        <v>3669</v>
      </c>
      <c r="AP171" t="s">
        <v>3670</v>
      </c>
      <c r="AQ171" t="s">
        <v>74</v>
      </c>
      <c r="AR171" t="s">
        <v>3671</v>
      </c>
      <c r="AS171" t="s">
        <v>3672</v>
      </c>
      <c r="AT171" t="s">
        <v>3298</v>
      </c>
      <c r="AU171">
        <v>2018</v>
      </c>
      <c r="AV171">
        <v>123</v>
      </c>
      <c r="AW171">
        <v>5</v>
      </c>
      <c r="AX171" t="s">
        <v>74</v>
      </c>
      <c r="AY171" t="s">
        <v>74</v>
      </c>
      <c r="AZ171" t="s">
        <v>74</v>
      </c>
      <c r="BA171" t="s">
        <v>74</v>
      </c>
      <c r="BB171">
        <v>3204</v>
      </c>
      <c r="BC171">
        <v>3226</v>
      </c>
      <c r="BD171" t="s">
        <v>74</v>
      </c>
      <c r="BE171" t="s">
        <v>3673</v>
      </c>
      <c r="BF171" t="str">
        <f>HYPERLINK("http://dx.doi.org/10.1029/2018JC013775","http://dx.doi.org/10.1029/2018JC013775")</f>
        <v>http://dx.doi.org/10.1029/2018JC013775</v>
      </c>
      <c r="BG171" t="s">
        <v>74</v>
      </c>
      <c r="BH171" t="s">
        <v>74</v>
      </c>
      <c r="BI171">
        <v>23</v>
      </c>
      <c r="BJ171" t="s">
        <v>364</v>
      </c>
      <c r="BK171" t="s">
        <v>101</v>
      </c>
      <c r="BL171" t="s">
        <v>364</v>
      </c>
      <c r="BM171" t="s">
        <v>3674</v>
      </c>
      <c r="BN171" t="s">
        <v>74</v>
      </c>
      <c r="BO171" t="s">
        <v>1292</v>
      </c>
      <c r="BP171" t="s">
        <v>74</v>
      </c>
      <c r="BQ171" t="s">
        <v>74</v>
      </c>
      <c r="BR171" t="s">
        <v>105</v>
      </c>
      <c r="BS171" t="s">
        <v>3675</v>
      </c>
      <c r="BT171" t="str">
        <f>HYPERLINK("https%3A%2F%2Fwww.webofscience.com%2Fwos%2Fwoscc%2Ffull-record%2FWOS:000436111400005","View Full Record in Web of Science")</f>
        <v>View Full Record in Web of Science</v>
      </c>
    </row>
    <row r="172" spans="1:72" x14ac:dyDescent="0.15">
      <c r="A172" t="s">
        <v>72</v>
      </c>
      <c r="B172" t="s">
        <v>3676</v>
      </c>
      <c r="C172" t="s">
        <v>74</v>
      </c>
      <c r="D172" t="s">
        <v>74</v>
      </c>
      <c r="E172" t="s">
        <v>74</v>
      </c>
      <c r="F172" t="s">
        <v>3677</v>
      </c>
      <c r="G172" t="s">
        <v>74</v>
      </c>
      <c r="H172" t="s">
        <v>74</v>
      </c>
      <c r="I172" t="s">
        <v>3678</v>
      </c>
      <c r="J172" t="s">
        <v>561</v>
      </c>
      <c r="K172" t="s">
        <v>74</v>
      </c>
      <c r="L172" t="s">
        <v>74</v>
      </c>
      <c r="M172" t="s">
        <v>78</v>
      </c>
      <c r="N172" t="s">
        <v>79</v>
      </c>
      <c r="O172" t="s">
        <v>74</v>
      </c>
      <c r="P172" t="s">
        <v>74</v>
      </c>
      <c r="Q172" t="s">
        <v>74</v>
      </c>
      <c r="R172" t="s">
        <v>74</v>
      </c>
      <c r="S172" t="s">
        <v>74</v>
      </c>
      <c r="T172" t="s">
        <v>3679</v>
      </c>
      <c r="U172" t="s">
        <v>3680</v>
      </c>
      <c r="V172" t="s">
        <v>3681</v>
      </c>
      <c r="W172" t="s">
        <v>3682</v>
      </c>
      <c r="X172" t="s">
        <v>3683</v>
      </c>
      <c r="Y172" t="s">
        <v>3684</v>
      </c>
      <c r="Z172" t="s">
        <v>3685</v>
      </c>
      <c r="AA172" t="s">
        <v>3686</v>
      </c>
      <c r="AB172" t="s">
        <v>3687</v>
      </c>
      <c r="AC172" t="s">
        <v>3688</v>
      </c>
      <c r="AD172" t="s">
        <v>3689</v>
      </c>
      <c r="AE172" t="s">
        <v>3690</v>
      </c>
      <c r="AF172" t="s">
        <v>74</v>
      </c>
      <c r="AG172">
        <v>56</v>
      </c>
      <c r="AH172">
        <v>12</v>
      </c>
      <c r="AI172">
        <v>12</v>
      </c>
      <c r="AJ172">
        <v>1</v>
      </c>
      <c r="AK172">
        <v>3</v>
      </c>
      <c r="AL172" t="s">
        <v>574</v>
      </c>
      <c r="AM172" t="s">
        <v>575</v>
      </c>
      <c r="AN172" t="s">
        <v>576</v>
      </c>
      <c r="AO172" t="s">
        <v>577</v>
      </c>
      <c r="AP172" t="s">
        <v>578</v>
      </c>
      <c r="AQ172" t="s">
        <v>74</v>
      </c>
      <c r="AR172" t="s">
        <v>579</v>
      </c>
      <c r="AS172" t="s">
        <v>580</v>
      </c>
      <c r="AT172" t="s">
        <v>3298</v>
      </c>
      <c r="AU172">
        <v>2018</v>
      </c>
      <c r="AV172">
        <v>123</v>
      </c>
      <c r="AW172">
        <v>5</v>
      </c>
      <c r="AX172" t="s">
        <v>74</v>
      </c>
      <c r="AY172" t="s">
        <v>74</v>
      </c>
      <c r="AZ172" t="s">
        <v>74</v>
      </c>
      <c r="BA172" t="s">
        <v>74</v>
      </c>
      <c r="BB172">
        <v>3965</v>
      </c>
      <c r="BC172">
        <v>3982</v>
      </c>
      <c r="BD172" t="s">
        <v>74</v>
      </c>
      <c r="BE172" t="s">
        <v>3691</v>
      </c>
      <c r="BF172" t="str">
        <f>HYPERLINK("http://dx.doi.org/10.1029/2018JA025338","http://dx.doi.org/10.1029/2018JA025338")</f>
        <v>http://dx.doi.org/10.1029/2018JA025338</v>
      </c>
      <c r="BG172" t="s">
        <v>74</v>
      </c>
      <c r="BH172" t="s">
        <v>74</v>
      </c>
      <c r="BI172">
        <v>18</v>
      </c>
      <c r="BJ172" t="s">
        <v>582</v>
      </c>
      <c r="BK172" t="s">
        <v>101</v>
      </c>
      <c r="BL172" t="s">
        <v>582</v>
      </c>
      <c r="BM172" t="s">
        <v>3692</v>
      </c>
      <c r="BN172" t="s">
        <v>74</v>
      </c>
      <c r="BO172" t="s">
        <v>162</v>
      </c>
      <c r="BP172" t="s">
        <v>74</v>
      </c>
      <c r="BQ172" t="s">
        <v>74</v>
      </c>
      <c r="BR172" t="s">
        <v>105</v>
      </c>
      <c r="BS172" t="s">
        <v>3693</v>
      </c>
      <c r="BT172" t="str">
        <f>HYPERLINK("https%3A%2F%2Fwww.webofscience.com%2Fwos%2Fwoscc%2Ffull-record%2FWOS:000435943300044","View Full Record in Web of Science")</f>
        <v>View Full Record in Web of Science</v>
      </c>
    </row>
    <row r="173" spans="1:72" x14ac:dyDescent="0.15">
      <c r="A173" t="s">
        <v>72</v>
      </c>
      <c r="B173" t="s">
        <v>3694</v>
      </c>
      <c r="C173" t="s">
        <v>74</v>
      </c>
      <c r="D173" t="s">
        <v>74</v>
      </c>
      <c r="E173" t="s">
        <v>74</v>
      </c>
      <c r="F173" t="s">
        <v>3695</v>
      </c>
      <c r="G173" t="s">
        <v>74</v>
      </c>
      <c r="H173" t="s">
        <v>74</v>
      </c>
      <c r="I173" t="s">
        <v>3696</v>
      </c>
      <c r="J173" t="s">
        <v>3697</v>
      </c>
      <c r="K173" t="s">
        <v>74</v>
      </c>
      <c r="L173" t="s">
        <v>74</v>
      </c>
      <c r="M173" t="s">
        <v>78</v>
      </c>
      <c r="N173" t="s">
        <v>79</v>
      </c>
      <c r="O173" t="s">
        <v>74</v>
      </c>
      <c r="P173" t="s">
        <v>74</v>
      </c>
      <c r="Q173" t="s">
        <v>74</v>
      </c>
      <c r="R173" t="s">
        <v>74</v>
      </c>
      <c r="S173" t="s">
        <v>74</v>
      </c>
      <c r="T173" t="s">
        <v>74</v>
      </c>
      <c r="U173" t="s">
        <v>3698</v>
      </c>
      <c r="V173" t="s">
        <v>3699</v>
      </c>
      <c r="W173" t="s">
        <v>3700</v>
      </c>
      <c r="X173" t="s">
        <v>3701</v>
      </c>
      <c r="Y173" t="s">
        <v>3702</v>
      </c>
      <c r="Z173" t="s">
        <v>3703</v>
      </c>
      <c r="AA173" t="s">
        <v>3704</v>
      </c>
      <c r="AB173" t="s">
        <v>3705</v>
      </c>
      <c r="AC173" t="s">
        <v>3706</v>
      </c>
      <c r="AD173" t="s">
        <v>3707</v>
      </c>
      <c r="AE173" t="s">
        <v>3708</v>
      </c>
      <c r="AF173" t="s">
        <v>74</v>
      </c>
      <c r="AG173">
        <v>72</v>
      </c>
      <c r="AH173">
        <v>19</v>
      </c>
      <c r="AI173">
        <v>22</v>
      </c>
      <c r="AJ173">
        <v>1</v>
      </c>
      <c r="AK173">
        <v>47</v>
      </c>
      <c r="AL173" t="s">
        <v>179</v>
      </c>
      <c r="AM173" t="s">
        <v>180</v>
      </c>
      <c r="AN173" t="s">
        <v>181</v>
      </c>
      <c r="AO173" t="s">
        <v>3709</v>
      </c>
      <c r="AP173" t="s">
        <v>3710</v>
      </c>
      <c r="AQ173" t="s">
        <v>74</v>
      </c>
      <c r="AR173" t="s">
        <v>3711</v>
      </c>
      <c r="AS173" t="s">
        <v>3712</v>
      </c>
      <c r="AT173" t="s">
        <v>3298</v>
      </c>
      <c r="AU173">
        <v>2018</v>
      </c>
      <c r="AV173">
        <v>63</v>
      </c>
      <c r="AW173">
        <v>3</v>
      </c>
      <c r="AX173" t="s">
        <v>74</v>
      </c>
      <c r="AY173" t="s">
        <v>74</v>
      </c>
      <c r="AZ173" t="s">
        <v>74</v>
      </c>
      <c r="BA173" t="s">
        <v>74</v>
      </c>
      <c r="BB173">
        <v>1156</v>
      </c>
      <c r="BC173">
        <v>1167</v>
      </c>
      <c r="BD173" t="s">
        <v>74</v>
      </c>
      <c r="BE173" t="s">
        <v>3713</v>
      </c>
      <c r="BF173" t="str">
        <f>HYPERLINK("http://dx.doi.org/10.1002/lno.10761","http://dx.doi.org/10.1002/lno.10761")</f>
        <v>http://dx.doi.org/10.1002/lno.10761</v>
      </c>
      <c r="BG173" t="s">
        <v>74</v>
      </c>
      <c r="BH173" t="s">
        <v>74</v>
      </c>
      <c r="BI173">
        <v>12</v>
      </c>
      <c r="BJ173" t="s">
        <v>3714</v>
      </c>
      <c r="BK173" t="s">
        <v>101</v>
      </c>
      <c r="BL173" t="s">
        <v>693</v>
      </c>
      <c r="BM173" t="s">
        <v>3715</v>
      </c>
      <c r="BN173" t="s">
        <v>74</v>
      </c>
      <c r="BO173" t="s">
        <v>74</v>
      </c>
      <c r="BP173" t="s">
        <v>74</v>
      </c>
      <c r="BQ173" t="s">
        <v>74</v>
      </c>
      <c r="BR173" t="s">
        <v>105</v>
      </c>
      <c r="BS173" t="s">
        <v>3716</v>
      </c>
      <c r="BT173" t="str">
        <f>HYPERLINK("https%3A%2F%2Fwww.webofscience.com%2Fwos%2Fwoscc%2Ffull-record%2FWOS:000432019600008","View Full Record in Web of Science")</f>
        <v>View Full Record in Web of Science</v>
      </c>
    </row>
    <row r="174" spans="1:72" x14ac:dyDescent="0.15">
      <c r="A174" t="s">
        <v>72</v>
      </c>
      <c r="B174" t="s">
        <v>3717</v>
      </c>
      <c r="C174" t="s">
        <v>74</v>
      </c>
      <c r="D174" t="s">
        <v>74</v>
      </c>
      <c r="E174" t="s">
        <v>74</v>
      </c>
      <c r="F174" t="s">
        <v>3718</v>
      </c>
      <c r="G174" t="s">
        <v>74</v>
      </c>
      <c r="H174" t="s">
        <v>74</v>
      </c>
      <c r="I174" t="s">
        <v>3719</v>
      </c>
      <c r="J174" t="s">
        <v>3720</v>
      </c>
      <c r="K174" t="s">
        <v>74</v>
      </c>
      <c r="L174" t="s">
        <v>74</v>
      </c>
      <c r="M174" t="s">
        <v>78</v>
      </c>
      <c r="N174" t="s">
        <v>466</v>
      </c>
      <c r="O174" t="s">
        <v>74</v>
      </c>
      <c r="P174" t="s">
        <v>74</v>
      </c>
      <c r="Q174" t="s">
        <v>74</v>
      </c>
      <c r="R174" t="s">
        <v>74</v>
      </c>
      <c r="S174" t="s">
        <v>74</v>
      </c>
      <c r="T174" t="s">
        <v>74</v>
      </c>
      <c r="U174" t="s">
        <v>3721</v>
      </c>
      <c r="V174" t="s">
        <v>3722</v>
      </c>
      <c r="W174" t="s">
        <v>3723</v>
      </c>
      <c r="X174" t="s">
        <v>3724</v>
      </c>
      <c r="Y174" t="s">
        <v>3725</v>
      </c>
      <c r="Z174" t="s">
        <v>3726</v>
      </c>
      <c r="AA174" t="s">
        <v>3727</v>
      </c>
      <c r="AB174" t="s">
        <v>3728</v>
      </c>
      <c r="AC174" t="s">
        <v>3729</v>
      </c>
      <c r="AD174" t="s">
        <v>3730</v>
      </c>
      <c r="AE174" t="s">
        <v>3731</v>
      </c>
      <c r="AF174" t="s">
        <v>74</v>
      </c>
      <c r="AG174">
        <v>285</v>
      </c>
      <c r="AH174">
        <v>54</v>
      </c>
      <c r="AI174">
        <v>55</v>
      </c>
      <c r="AJ174">
        <v>4</v>
      </c>
      <c r="AK174">
        <v>163</v>
      </c>
      <c r="AL174" t="s">
        <v>397</v>
      </c>
      <c r="AM174" t="s">
        <v>398</v>
      </c>
      <c r="AN174" t="s">
        <v>399</v>
      </c>
      <c r="AO174" t="s">
        <v>3732</v>
      </c>
      <c r="AP174" t="s">
        <v>3733</v>
      </c>
      <c r="AQ174" t="s">
        <v>74</v>
      </c>
      <c r="AR174" t="s">
        <v>3734</v>
      </c>
      <c r="AS174" t="s">
        <v>3735</v>
      </c>
      <c r="AT174" t="s">
        <v>3298</v>
      </c>
      <c r="AU174">
        <v>2018</v>
      </c>
      <c r="AV174">
        <v>165</v>
      </c>
      <c r="AW174">
        <v>5</v>
      </c>
      <c r="AX174" t="s">
        <v>74</v>
      </c>
      <c r="AY174" t="s">
        <v>74</v>
      </c>
      <c r="AZ174" t="s">
        <v>74</v>
      </c>
      <c r="BA174" t="s">
        <v>74</v>
      </c>
      <c r="BB174" t="s">
        <v>74</v>
      </c>
      <c r="BC174" t="s">
        <v>74</v>
      </c>
      <c r="BD174">
        <v>93</v>
      </c>
      <c r="BE174" t="s">
        <v>3736</v>
      </c>
      <c r="BF174" t="str">
        <f>HYPERLINK("http://dx.doi.org/10.1007/s00227-018-3352-9","http://dx.doi.org/10.1007/s00227-018-3352-9")</f>
        <v>http://dx.doi.org/10.1007/s00227-018-3352-9</v>
      </c>
      <c r="BG174" t="s">
        <v>74</v>
      </c>
      <c r="BH174" t="s">
        <v>74</v>
      </c>
      <c r="BI174">
        <v>26</v>
      </c>
      <c r="BJ174" t="s">
        <v>3737</v>
      </c>
      <c r="BK174" t="s">
        <v>101</v>
      </c>
      <c r="BL174" t="s">
        <v>3737</v>
      </c>
      <c r="BM174" t="s">
        <v>3738</v>
      </c>
      <c r="BN174" t="s">
        <v>74</v>
      </c>
      <c r="BO174" t="s">
        <v>1421</v>
      </c>
      <c r="BP174" t="s">
        <v>74</v>
      </c>
      <c r="BQ174" t="s">
        <v>74</v>
      </c>
      <c r="BR174" t="s">
        <v>105</v>
      </c>
      <c r="BS174" t="s">
        <v>3739</v>
      </c>
      <c r="BT174" t="str">
        <f>HYPERLINK("https%3A%2F%2Fwww.webofscience.com%2Fwos%2Fwoscc%2Ffull-record%2FWOS:000431717900015","View Full Record in Web of Science")</f>
        <v>View Full Record in Web of Science</v>
      </c>
    </row>
    <row r="175" spans="1:72" x14ac:dyDescent="0.15">
      <c r="A175" t="s">
        <v>72</v>
      </c>
      <c r="B175" t="s">
        <v>3740</v>
      </c>
      <c r="C175" t="s">
        <v>74</v>
      </c>
      <c r="D175" t="s">
        <v>74</v>
      </c>
      <c r="E175" t="s">
        <v>74</v>
      </c>
      <c r="F175" t="s">
        <v>3741</v>
      </c>
      <c r="G175" t="s">
        <v>74</v>
      </c>
      <c r="H175" t="s">
        <v>74</v>
      </c>
      <c r="I175" t="s">
        <v>3742</v>
      </c>
      <c r="J175" t="s">
        <v>3743</v>
      </c>
      <c r="K175" t="s">
        <v>74</v>
      </c>
      <c r="L175" t="s">
        <v>74</v>
      </c>
      <c r="M175" t="s">
        <v>78</v>
      </c>
      <c r="N175" t="s">
        <v>79</v>
      </c>
      <c r="O175" t="s">
        <v>74</v>
      </c>
      <c r="P175" t="s">
        <v>74</v>
      </c>
      <c r="Q175" t="s">
        <v>74</v>
      </c>
      <c r="R175" t="s">
        <v>74</v>
      </c>
      <c r="S175" t="s">
        <v>74</v>
      </c>
      <c r="T175" t="s">
        <v>3744</v>
      </c>
      <c r="U175" t="s">
        <v>3745</v>
      </c>
      <c r="V175" t="s">
        <v>3746</v>
      </c>
      <c r="W175" t="s">
        <v>3747</v>
      </c>
      <c r="X175" t="s">
        <v>3748</v>
      </c>
      <c r="Y175" t="s">
        <v>3749</v>
      </c>
      <c r="Z175" t="s">
        <v>3750</v>
      </c>
      <c r="AA175" t="s">
        <v>3751</v>
      </c>
      <c r="AB175" t="s">
        <v>3752</v>
      </c>
      <c r="AC175" t="s">
        <v>3753</v>
      </c>
      <c r="AD175" t="s">
        <v>3754</v>
      </c>
      <c r="AE175" t="s">
        <v>3755</v>
      </c>
      <c r="AF175" t="s">
        <v>74</v>
      </c>
      <c r="AG175">
        <v>55</v>
      </c>
      <c r="AH175">
        <v>18</v>
      </c>
      <c r="AI175">
        <v>19</v>
      </c>
      <c r="AJ175">
        <v>3</v>
      </c>
      <c r="AK175">
        <v>46</v>
      </c>
      <c r="AL175" t="s">
        <v>277</v>
      </c>
      <c r="AM175" t="s">
        <v>278</v>
      </c>
      <c r="AN175" t="s">
        <v>279</v>
      </c>
      <c r="AO175" t="s">
        <v>3756</v>
      </c>
      <c r="AP175" t="s">
        <v>3757</v>
      </c>
      <c r="AQ175" t="s">
        <v>74</v>
      </c>
      <c r="AR175" t="s">
        <v>3758</v>
      </c>
      <c r="AS175" t="s">
        <v>3759</v>
      </c>
      <c r="AT175" t="s">
        <v>3298</v>
      </c>
      <c r="AU175">
        <v>2018</v>
      </c>
      <c r="AV175">
        <v>130</v>
      </c>
      <c r="AW175" t="s">
        <v>74</v>
      </c>
      <c r="AX175" t="s">
        <v>74</v>
      </c>
      <c r="AY175" t="s">
        <v>74</v>
      </c>
      <c r="AZ175" t="s">
        <v>74</v>
      </c>
      <c r="BA175" t="s">
        <v>74</v>
      </c>
      <c r="BB175">
        <v>159</v>
      </c>
      <c r="BC175">
        <v>169</v>
      </c>
      <c r="BD175" t="s">
        <v>74</v>
      </c>
      <c r="BE175" t="s">
        <v>3760</v>
      </c>
      <c r="BF175" t="str">
        <f>HYPERLINK("http://dx.doi.org/10.1016/j.marpolbul.2018.02.053","http://dx.doi.org/10.1016/j.marpolbul.2018.02.053")</f>
        <v>http://dx.doi.org/10.1016/j.marpolbul.2018.02.053</v>
      </c>
      <c r="BG175" t="s">
        <v>74</v>
      </c>
      <c r="BH175" t="s">
        <v>74</v>
      </c>
      <c r="BI175">
        <v>11</v>
      </c>
      <c r="BJ175" t="s">
        <v>2159</v>
      </c>
      <c r="BK175" t="s">
        <v>101</v>
      </c>
      <c r="BL175" t="s">
        <v>1268</v>
      </c>
      <c r="BM175" t="s">
        <v>3761</v>
      </c>
      <c r="BN175">
        <v>29866542</v>
      </c>
      <c r="BO175" t="s">
        <v>74</v>
      </c>
      <c r="BP175" t="s">
        <v>74</v>
      </c>
      <c r="BQ175" t="s">
        <v>74</v>
      </c>
      <c r="BR175" t="s">
        <v>105</v>
      </c>
      <c r="BS175" t="s">
        <v>3762</v>
      </c>
      <c r="BT175" t="str">
        <f>HYPERLINK("https%3A%2F%2Fwww.webofscience.com%2Fwos%2Fwoscc%2Ffull-record%2FWOS:000436221000019","View Full Record in Web of Science")</f>
        <v>View Full Record in Web of Science</v>
      </c>
    </row>
    <row r="176" spans="1:72" x14ac:dyDescent="0.15">
      <c r="A176" t="s">
        <v>72</v>
      </c>
      <c r="B176" t="s">
        <v>3763</v>
      </c>
      <c r="C176" t="s">
        <v>74</v>
      </c>
      <c r="D176" t="s">
        <v>74</v>
      </c>
      <c r="E176" t="s">
        <v>74</v>
      </c>
      <c r="F176" t="s">
        <v>3764</v>
      </c>
      <c r="G176" t="s">
        <v>74</v>
      </c>
      <c r="H176" t="s">
        <v>74</v>
      </c>
      <c r="I176" t="s">
        <v>3765</v>
      </c>
      <c r="J176" t="s">
        <v>3743</v>
      </c>
      <c r="K176" t="s">
        <v>74</v>
      </c>
      <c r="L176" t="s">
        <v>74</v>
      </c>
      <c r="M176" t="s">
        <v>78</v>
      </c>
      <c r="N176" t="s">
        <v>79</v>
      </c>
      <c r="O176" t="s">
        <v>74</v>
      </c>
      <c r="P176" t="s">
        <v>74</v>
      </c>
      <c r="Q176" t="s">
        <v>74</v>
      </c>
      <c r="R176" t="s">
        <v>74</v>
      </c>
      <c r="S176" t="s">
        <v>74</v>
      </c>
      <c r="T176" t="s">
        <v>3766</v>
      </c>
      <c r="U176" t="s">
        <v>3767</v>
      </c>
      <c r="V176" t="s">
        <v>3768</v>
      </c>
      <c r="W176" t="s">
        <v>3769</v>
      </c>
      <c r="X176" t="s">
        <v>3770</v>
      </c>
      <c r="Y176" t="s">
        <v>3771</v>
      </c>
      <c r="Z176" t="s">
        <v>3772</v>
      </c>
      <c r="AA176" t="s">
        <v>3773</v>
      </c>
      <c r="AB176" t="s">
        <v>3774</v>
      </c>
      <c r="AC176" t="s">
        <v>3775</v>
      </c>
      <c r="AD176" t="s">
        <v>3776</v>
      </c>
      <c r="AE176" t="s">
        <v>3777</v>
      </c>
      <c r="AF176" t="s">
        <v>74</v>
      </c>
      <c r="AG176">
        <v>63</v>
      </c>
      <c r="AH176">
        <v>39</v>
      </c>
      <c r="AI176">
        <v>40</v>
      </c>
      <c r="AJ176">
        <v>1</v>
      </c>
      <c r="AK176">
        <v>46</v>
      </c>
      <c r="AL176" t="s">
        <v>277</v>
      </c>
      <c r="AM176" t="s">
        <v>278</v>
      </c>
      <c r="AN176" t="s">
        <v>279</v>
      </c>
      <c r="AO176" t="s">
        <v>3756</v>
      </c>
      <c r="AP176" t="s">
        <v>3757</v>
      </c>
      <c r="AQ176" t="s">
        <v>74</v>
      </c>
      <c r="AR176" t="s">
        <v>3758</v>
      </c>
      <c r="AS176" t="s">
        <v>3759</v>
      </c>
      <c r="AT176" t="s">
        <v>3298</v>
      </c>
      <c r="AU176">
        <v>2018</v>
      </c>
      <c r="AV176">
        <v>130</v>
      </c>
      <c r="AW176" t="s">
        <v>74</v>
      </c>
      <c r="AX176" t="s">
        <v>74</v>
      </c>
      <c r="AY176" t="s">
        <v>74</v>
      </c>
      <c r="AZ176" t="s">
        <v>74</v>
      </c>
      <c r="BA176" t="s">
        <v>74</v>
      </c>
      <c r="BB176">
        <v>198</v>
      </c>
      <c r="BC176">
        <v>205</v>
      </c>
      <c r="BD176" t="s">
        <v>74</v>
      </c>
      <c r="BE176" t="s">
        <v>3778</v>
      </c>
      <c r="BF176" t="str">
        <f>HYPERLINK("http://dx.doi.org/10.1016/j.marpolbul.2018.03.031","http://dx.doi.org/10.1016/j.marpolbul.2018.03.031")</f>
        <v>http://dx.doi.org/10.1016/j.marpolbul.2018.03.031</v>
      </c>
      <c r="BG176" t="s">
        <v>74</v>
      </c>
      <c r="BH176" t="s">
        <v>74</v>
      </c>
      <c r="BI176">
        <v>8</v>
      </c>
      <c r="BJ176" t="s">
        <v>2159</v>
      </c>
      <c r="BK176" t="s">
        <v>101</v>
      </c>
      <c r="BL176" t="s">
        <v>1268</v>
      </c>
      <c r="BM176" t="s">
        <v>3761</v>
      </c>
      <c r="BN176">
        <v>29866548</v>
      </c>
      <c r="BO176" t="s">
        <v>74</v>
      </c>
      <c r="BP176" t="s">
        <v>74</v>
      </c>
      <c r="BQ176" t="s">
        <v>74</v>
      </c>
      <c r="BR176" t="s">
        <v>105</v>
      </c>
      <c r="BS176" t="s">
        <v>3779</v>
      </c>
      <c r="BT176" t="str">
        <f>HYPERLINK("https%3A%2F%2Fwww.webofscience.com%2Fwos%2Fwoscc%2Ffull-record%2FWOS:000436221000024","View Full Record in Web of Science")</f>
        <v>View Full Record in Web of Science</v>
      </c>
    </row>
    <row r="177" spans="1:72" x14ac:dyDescent="0.15">
      <c r="A177" t="s">
        <v>72</v>
      </c>
      <c r="B177" t="s">
        <v>3780</v>
      </c>
      <c r="C177" t="s">
        <v>74</v>
      </c>
      <c r="D177" t="s">
        <v>74</v>
      </c>
      <c r="E177" t="s">
        <v>74</v>
      </c>
      <c r="F177" t="s">
        <v>3781</v>
      </c>
      <c r="G177" t="s">
        <v>74</v>
      </c>
      <c r="H177" t="s">
        <v>74</v>
      </c>
      <c r="I177" t="s">
        <v>3782</v>
      </c>
      <c r="J177" t="s">
        <v>3783</v>
      </c>
      <c r="K177" t="s">
        <v>74</v>
      </c>
      <c r="L177" t="s">
        <v>74</v>
      </c>
      <c r="M177" t="s">
        <v>78</v>
      </c>
      <c r="N177" t="s">
        <v>79</v>
      </c>
      <c r="O177" t="s">
        <v>74</v>
      </c>
      <c r="P177" t="s">
        <v>74</v>
      </c>
      <c r="Q177" t="s">
        <v>74</v>
      </c>
      <c r="R177" t="s">
        <v>74</v>
      </c>
      <c r="S177" t="s">
        <v>74</v>
      </c>
      <c r="T177" t="s">
        <v>3784</v>
      </c>
      <c r="U177" t="s">
        <v>3785</v>
      </c>
      <c r="V177" t="s">
        <v>3786</v>
      </c>
      <c r="W177" t="s">
        <v>3787</v>
      </c>
      <c r="X177" t="s">
        <v>3788</v>
      </c>
      <c r="Y177" t="s">
        <v>3789</v>
      </c>
      <c r="Z177" t="s">
        <v>3790</v>
      </c>
      <c r="AA177" t="s">
        <v>3791</v>
      </c>
      <c r="AB177" t="s">
        <v>3792</v>
      </c>
      <c r="AC177" t="s">
        <v>74</v>
      </c>
      <c r="AD177" t="s">
        <v>74</v>
      </c>
      <c r="AE177" t="s">
        <v>74</v>
      </c>
      <c r="AF177" t="s">
        <v>74</v>
      </c>
      <c r="AG177">
        <v>29</v>
      </c>
      <c r="AH177">
        <v>14</v>
      </c>
      <c r="AI177">
        <v>14</v>
      </c>
      <c r="AJ177">
        <v>0</v>
      </c>
      <c r="AK177">
        <v>18</v>
      </c>
      <c r="AL177" t="s">
        <v>179</v>
      </c>
      <c r="AM177" t="s">
        <v>180</v>
      </c>
      <c r="AN177" t="s">
        <v>181</v>
      </c>
      <c r="AO177" t="s">
        <v>3793</v>
      </c>
      <c r="AP177" t="s">
        <v>3794</v>
      </c>
      <c r="AQ177" t="s">
        <v>74</v>
      </c>
      <c r="AR177" t="s">
        <v>3795</v>
      </c>
      <c r="AS177" t="s">
        <v>3796</v>
      </c>
      <c r="AT177" t="s">
        <v>3298</v>
      </c>
      <c r="AU177">
        <v>2018</v>
      </c>
      <c r="AV177">
        <v>9</v>
      </c>
      <c r="AW177">
        <v>5</v>
      </c>
      <c r="AX177" t="s">
        <v>74</v>
      </c>
      <c r="AY177" t="s">
        <v>74</v>
      </c>
      <c r="AZ177" t="s">
        <v>74</v>
      </c>
      <c r="BA177" t="s">
        <v>74</v>
      </c>
      <c r="BB177">
        <v>1190</v>
      </c>
      <c r="BC177">
        <v>1198</v>
      </c>
      <c r="BD177" t="s">
        <v>74</v>
      </c>
      <c r="BE177" t="s">
        <v>3797</v>
      </c>
      <c r="BF177" t="str">
        <f>HYPERLINK("http://dx.doi.org/10.1111/2041-210X.12953","http://dx.doi.org/10.1111/2041-210X.12953")</f>
        <v>http://dx.doi.org/10.1111/2041-210X.12953</v>
      </c>
      <c r="BG177" t="s">
        <v>74</v>
      </c>
      <c r="BH177" t="s">
        <v>74</v>
      </c>
      <c r="BI177">
        <v>9</v>
      </c>
      <c r="BJ177" t="s">
        <v>314</v>
      </c>
      <c r="BK177" t="s">
        <v>101</v>
      </c>
      <c r="BL177" t="s">
        <v>315</v>
      </c>
      <c r="BM177" t="s">
        <v>3798</v>
      </c>
      <c r="BN177" t="s">
        <v>74</v>
      </c>
      <c r="BO177" t="s">
        <v>162</v>
      </c>
      <c r="BP177" t="s">
        <v>74</v>
      </c>
      <c r="BQ177" t="s">
        <v>74</v>
      </c>
      <c r="BR177" t="s">
        <v>105</v>
      </c>
      <c r="BS177" t="s">
        <v>3799</v>
      </c>
      <c r="BT177" t="str">
        <f>HYPERLINK("https%3A%2F%2Fwww.webofscience.com%2Fwos%2Fwoscc%2Ffull-record%2FWOS:000431666300004","View Full Record in Web of Science")</f>
        <v>View Full Record in Web of Science</v>
      </c>
    </row>
    <row r="178" spans="1:72" x14ac:dyDescent="0.15">
      <c r="A178" t="s">
        <v>72</v>
      </c>
      <c r="B178" t="s">
        <v>3800</v>
      </c>
      <c r="C178" t="s">
        <v>74</v>
      </c>
      <c r="D178" t="s">
        <v>74</v>
      </c>
      <c r="E178" t="s">
        <v>74</v>
      </c>
      <c r="F178" t="s">
        <v>3801</v>
      </c>
      <c r="G178" t="s">
        <v>74</v>
      </c>
      <c r="H178" t="s">
        <v>74</v>
      </c>
      <c r="I178" t="s">
        <v>3802</v>
      </c>
      <c r="J178" t="s">
        <v>3803</v>
      </c>
      <c r="K178" t="s">
        <v>74</v>
      </c>
      <c r="L178" t="s">
        <v>74</v>
      </c>
      <c r="M178" t="s">
        <v>78</v>
      </c>
      <c r="N178" t="s">
        <v>79</v>
      </c>
      <c r="O178" t="s">
        <v>74</v>
      </c>
      <c r="P178" t="s">
        <v>74</v>
      </c>
      <c r="Q178" t="s">
        <v>74</v>
      </c>
      <c r="R178" t="s">
        <v>74</v>
      </c>
      <c r="S178" t="s">
        <v>74</v>
      </c>
      <c r="T178" t="s">
        <v>3804</v>
      </c>
      <c r="U178" t="s">
        <v>3805</v>
      </c>
      <c r="V178" t="s">
        <v>3806</v>
      </c>
      <c r="W178" t="s">
        <v>3807</v>
      </c>
      <c r="X178" t="s">
        <v>3808</v>
      </c>
      <c r="Y178" t="s">
        <v>3809</v>
      </c>
      <c r="Z178" t="s">
        <v>3810</v>
      </c>
      <c r="AA178" t="s">
        <v>3811</v>
      </c>
      <c r="AB178" t="s">
        <v>74</v>
      </c>
      <c r="AC178" t="s">
        <v>3812</v>
      </c>
      <c r="AD178" t="s">
        <v>3813</v>
      </c>
      <c r="AE178" t="s">
        <v>3814</v>
      </c>
      <c r="AF178" t="s">
        <v>74</v>
      </c>
      <c r="AG178">
        <v>34</v>
      </c>
      <c r="AH178">
        <v>14</v>
      </c>
      <c r="AI178">
        <v>15</v>
      </c>
      <c r="AJ178">
        <v>1</v>
      </c>
      <c r="AK178">
        <v>24</v>
      </c>
      <c r="AL178" t="s">
        <v>914</v>
      </c>
      <c r="AM178" t="s">
        <v>452</v>
      </c>
      <c r="AN178" t="s">
        <v>915</v>
      </c>
      <c r="AO178" t="s">
        <v>3815</v>
      </c>
      <c r="AP178" t="s">
        <v>3816</v>
      </c>
      <c r="AQ178" t="s">
        <v>74</v>
      </c>
      <c r="AR178" t="s">
        <v>3817</v>
      </c>
      <c r="AS178" t="s">
        <v>3818</v>
      </c>
      <c r="AT178" t="s">
        <v>3298</v>
      </c>
      <c r="AU178">
        <v>2018</v>
      </c>
      <c r="AV178">
        <v>809</v>
      </c>
      <c r="AW178" t="s">
        <v>74</v>
      </c>
      <c r="AX178" t="s">
        <v>74</v>
      </c>
      <c r="AY178" t="s">
        <v>74</v>
      </c>
      <c r="AZ178" t="s">
        <v>74</v>
      </c>
      <c r="BA178" t="s">
        <v>74</v>
      </c>
      <c r="BB178">
        <v>13</v>
      </c>
      <c r="BC178">
        <v>19</v>
      </c>
      <c r="BD178" t="s">
        <v>74</v>
      </c>
      <c r="BE178" t="s">
        <v>3819</v>
      </c>
      <c r="BF178" t="str">
        <f>HYPERLINK("http://dx.doi.org/10.1016/j.mrfmmm.2018.03.004","http://dx.doi.org/10.1016/j.mrfmmm.2018.03.004")</f>
        <v>http://dx.doi.org/10.1016/j.mrfmmm.2018.03.004</v>
      </c>
      <c r="BG178" t="s">
        <v>74</v>
      </c>
      <c r="BH178" t="s">
        <v>74</v>
      </c>
      <c r="BI178">
        <v>7</v>
      </c>
      <c r="BJ178" t="s">
        <v>3820</v>
      </c>
      <c r="BK178" t="s">
        <v>101</v>
      </c>
      <c r="BL178" t="s">
        <v>3820</v>
      </c>
      <c r="BM178" t="s">
        <v>3821</v>
      </c>
      <c r="BN178">
        <v>29625375</v>
      </c>
      <c r="BO178" t="s">
        <v>74</v>
      </c>
      <c r="BP178" t="s">
        <v>74</v>
      </c>
      <c r="BQ178" t="s">
        <v>74</v>
      </c>
      <c r="BR178" t="s">
        <v>105</v>
      </c>
      <c r="BS178" t="s">
        <v>3822</v>
      </c>
      <c r="BT178" t="str">
        <f>HYPERLINK("https%3A%2F%2Fwww.webofscience.com%2Fwos%2Fwoscc%2Ffull-record%2FWOS:000432598800003","View Full Record in Web of Science")</f>
        <v>View Full Record in Web of Science</v>
      </c>
    </row>
    <row r="179" spans="1:72" x14ac:dyDescent="0.15">
      <c r="A179" t="s">
        <v>72</v>
      </c>
      <c r="B179" t="s">
        <v>3823</v>
      </c>
      <c r="C179" t="s">
        <v>74</v>
      </c>
      <c r="D179" t="s">
        <v>74</v>
      </c>
      <c r="E179" t="s">
        <v>74</v>
      </c>
      <c r="F179" t="s">
        <v>3824</v>
      </c>
      <c r="G179" t="s">
        <v>74</v>
      </c>
      <c r="H179" t="s">
        <v>74</v>
      </c>
      <c r="I179" t="s">
        <v>3825</v>
      </c>
      <c r="J179" t="s">
        <v>3826</v>
      </c>
      <c r="K179" t="s">
        <v>74</v>
      </c>
      <c r="L179" t="s">
        <v>74</v>
      </c>
      <c r="M179" t="s">
        <v>78</v>
      </c>
      <c r="N179" t="s">
        <v>79</v>
      </c>
      <c r="O179" t="s">
        <v>74</v>
      </c>
      <c r="P179" t="s">
        <v>74</v>
      </c>
      <c r="Q179" t="s">
        <v>74</v>
      </c>
      <c r="R179" t="s">
        <v>74</v>
      </c>
      <c r="S179" t="s">
        <v>74</v>
      </c>
      <c r="T179" t="s">
        <v>3827</v>
      </c>
      <c r="U179" t="s">
        <v>3828</v>
      </c>
      <c r="V179" t="s">
        <v>3829</v>
      </c>
      <c r="W179" t="s">
        <v>3830</v>
      </c>
      <c r="X179" t="s">
        <v>3831</v>
      </c>
      <c r="Y179" t="s">
        <v>3832</v>
      </c>
      <c r="Z179" t="s">
        <v>3833</v>
      </c>
      <c r="AA179" t="s">
        <v>3834</v>
      </c>
      <c r="AB179" t="s">
        <v>3835</v>
      </c>
      <c r="AC179" t="s">
        <v>3836</v>
      </c>
      <c r="AD179" t="s">
        <v>3837</v>
      </c>
      <c r="AE179" t="s">
        <v>3838</v>
      </c>
      <c r="AF179" t="s">
        <v>74</v>
      </c>
      <c r="AG179">
        <v>37</v>
      </c>
      <c r="AH179">
        <v>27</v>
      </c>
      <c r="AI179">
        <v>27</v>
      </c>
      <c r="AJ179">
        <v>3</v>
      </c>
      <c r="AK179">
        <v>41</v>
      </c>
      <c r="AL179" t="s">
        <v>3839</v>
      </c>
      <c r="AM179" t="s">
        <v>2028</v>
      </c>
      <c r="AN179" t="s">
        <v>3840</v>
      </c>
      <c r="AO179" t="s">
        <v>3841</v>
      </c>
      <c r="AP179" t="s">
        <v>3842</v>
      </c>
      <c r="AQ179" t="s">
        <v>74</v>
      </c>
      <c r="AR179" t="s">
        <v>3843</v>
      </c>
      <c r="AS179" t="s">
        <v>3844</v>
      </c>
      <c r="AT179" t="s">
        <v>3298</v>
      </c>
      <c r="AU179">
        <v>2018</v>
      </c>
      <c r="AV179">
        <v>11</v>
      </c>
      <c r="AW179">
        <v>5</v>
      </c>
      <c r="AX179" t="s">
        <v>74</v>
      </c>
      <c r="AY179" t="s">
        <v>74</v>
      </c>
      <c r="AZ179" t="s">
        <v>74</v>
      </c>
      <c r="BA179" t="s">
        <v>74</v>
      </c>
      <c r="BB179">
        <v>2632</v>
      </c>
      <c r="BC179">
        <v>2647</v>
      </c>
      <c r="BD179" t="s">
        <v>74</v>
      </c>
      <c r="BE179" t="s">
        <v>3845</v>
      </c>
      <c r="BF179" t="str">
        <f>HYPERLINK("http://dx.doi.org/10.1007/s12274-017-1893-z","http://dx.doi.org/10.1007/s12274-017-1893-z")</f>
        <v>http://dx.doi.org/10.1007/s12274-017-1893-z</v>
      </c>
      <c r="BG179" t="s">
        <v>74</v>
      </c>
      <c r="BH179" t="s">
        <v>74</v>
      </c>
      <c r="BI179">
        <v>16</v>
      </c>
      <c r="BJ179" t="s">
        <v>3846</v>
      </c>
      <c r="BK179" t="s">
        <v>101</v>
      </c>
      <c r="BL179" t="s">
        <v>3847</v>
      </c>
      <c r="BM179" t="s">
        <v>3848</v>
      </c>
      <c r="BN179" t="s">
        <v>74</v>
      </c>
      <c r="BO179" t="s">
        <v>74</v>
      </c>
      <c r="BP179" t="s">
        <v>74</v>
      </c>
      <c r="BQ179" t="s">
        <v>74</v>
      </c>
      <c r="BR179" t="s">
        <v>105</v>
      </c>
      <c r="BS179" t="s">
        <v>3849</v>
      </c>
      <c r="BT179" t="str">
        <f>HYPERLINK("https%3A%2F%2Fwww.webofscience.com%2Fwos%2Fwoscc%2Ffull-record%2FWOS:000431999700029","View Full Record in Web of Science")</f>
        <v>View Full Record in Web of Science</v>
      </c>
    </row>
    <row r="180" spans="1:72" x14ac:dyDescent="0.15">
      <c r="A180" t="s">
        <v>72</v>
      </c>
      <c r="B180" t="s">
        <v>3850</v>
      </c>
      <c r="C180" t="s">
        <v>74</v>
      </c>
      <c r="D180" t="s">
        <v>74</v>
      </c>
      <c r="E180" t="s">
        <v>74</v>
      </c>
      <c r="F180" t="s">
        <v>3851</v>
      </c>
      <c r="G180" t="s">
        <v>74</v>
      </c>
      <c r="H180" t="s">
        <v>74</v>
      </c>
      <c r="I180" t="s">
        <v>3852</v>
      </c>
      <c r="J180" t="s">
        <v>3853</v>
      </c>
      <c r="K180" t="s">
        <v>74</v>
      </c>
      <c r="L180" t="s">
        <v>74</v>
      </c>
      <c r="M180" t="s">
        <v>78</v>
      </c>
      <c r="N180" t="s">
        <v>79</v>
      </c>
      <c r="O180" t="s">
        <v>74</v>
      </c>
      <c r="P180" t="s">
        <v>74</v>
      </c>
      <c r="Q180" t="s">
        <v>74</v>
      </c>
      <c r="R180" t="s">
        <v>74</v>
      </c>
      <c r="S180" t="s">
        <v>74</v>
      </c>
      <c r="T180" t="s">
        <v>3854</v>
      </c>
      <c r="U180" t="s">
        <v>3855</v>
      </c>
      <c r="V180" t="s">
        <v>3856</v>
      </c>
      <c r="W180" t="s">
        <v>3857</v>
      </c>
      <c r="X180" t="s">
        <v>3858</v>
      </c>
      <c r="Y180" t="s">
        <v>3859</v>
      </c>
      <c r="Z180" t="s">
        <v>3860</v>
      </c>
      <c r="AA180" t="s">
        <v>3861</v>
      </c>
      <c r="AB180" t="s">
        <v>3862</v>
      </c>
      <c r="AC180" t="s">
        <v>3863</v>
      </c>
      <c r="AD180" t="s">
        <v>3864</v>
      </c>
      <c r="AE180" t="s">
        <v>3865</v>
      </c>
      <c r="AF180" t="s">
        <v>74</v>
      </c>
      <c r="AG180">
        <v>58</v>
      </c>
      <c r="AH180">
        <v>13</v>
      </c>
      <c r="AI180">
        <v>15</v>
      </c>
      <c r="AJ180">
        <v>2</v>
      </c>
      <c r="AK180">
        <v>7</v>
      </c>
      <c r="AL180" t="s">
        <v>425</v>
      </c>
      <c r="AM180" t="s">
        <v>278</v>
      </c>
      <c r="AN180" t="s">
        <v>426</v>
      </c>
      <c r="AO180" t="s">
        <v>3866</v>
      </c>
      <c r="AP180" t="s">
        <v>3867</v>
      </c>
      <c r="AQ180" t="s">
        <v>74</v>
      </c>
      <c r="AR180" t="s">
        <v>3868</v>
      </c>
      <c r="AS180" t="s">
        <v>3869</v>
      </c>
      <c r="AT180" t="s">
        <v>3298</v>
      </c>
      <c r="AU180">
        <v>2018</v>
      </c>
      <c r="AV180">
        <v>125</v>
      </c>
      <c r="AW180" t="s">
        <v>74</v>
      </c>
      <c r="AX180" t="s">
        <v>74</v>
      </c>
      <c r="AY180" t="s">
        <v>74</v>
      </c>
      <c r="AZ180" t="s">
        <v>74</v>
      </c>
      <c r="BA180" t="s">
        <v>74</v>
      </c>
      <c r="BB180">
        <v>45</v>
      </c>
      <c r="BC180">
        <v>60</v>
      </c>
      <c r="BD180" t="s">
        <v>74</v>
      </c>
      <c r="BE180" t="s">
        <v>3870</v>
      </c>
      <c r="BF180" t="str">
        <f>HYPERLINK("http://dx.doi.org/10.1016/j.ocemod.2018.03.005","http://dx.doi.org/10.1016/j.ocemod.2018.03.005")</f>
        <v>http://dx.doi.org/10.1016/j.ocemod.2018.03.005</v>
      </c>
      <c r="BG180" t="s">
        <v>74</v>
      </c>
      <c r="BH180" t="s">
        <v>74</v>
      </c>
      <c r="BI180">
        <v>16</v>
      </c>
      <c r="BJ180" t="s">
        <v>3871</v>
      </c>
      <c r="BK180" t="s">
        <v>101</v>
      </c>
      <c r="BL180" t="s">
        <v>3871</v>
      </c>
      <c r="BM180" t="s">
        <v>3872</v>
      </c>
      <c r="BN180" t="s">
        <v>74</v>
      </c>
      <c r="BO180" t="s">
        <v>3371</v>
      </c>
      <c r="BP180" t="s">
        <v>74</v>
      </c>
      <c r="BQ180" t="s">
        <v>74</v>
      </c>
      <c r="BR180" t="s">
        <v>105</v>
      </c>
      <c r="BS180" t="s">
        <v>3873</v>
      </c>
      <c r="BT180" t="str">
        <f>HYPERLINK("https%3A%2F%2Fwww.webofscience.com%2Fwos%2Fwoscc%2Ffull-record%2FWOS:000430408700004","View Full Record in Web of Science")</f>
        <v>View Full Record in Web of Science</v>
      </c>
    </row>
    <row r="181" spans="1:72" x14ac:dyDescent="0.15">
      <c r="A181" t="s">
        <v>72</v>
      </c>
      <c r="B181" t="s">
        <v>3874</v>
      </c>
      <c r="C181" t="s">
        <v>74</v>
      </c>
      <c r="D181" t="s">
        <v>74</v>
      </c>
      <c r="E181" t="s">
        <v>74</v>
      </c>
      <c r="F181" t="s">
        <v>3875</v>
      </c>
      <c r="G181" t="s">
        <v>74</v>
      </c>
      <c r="H181" t="s">
        <v>74</v>
      </c>
      <c r="I181" t="s">
        <v>3876</v>
      </c>
      <c r="J181" t="s">
        <v>852</v>
      </c>
      <c r="K181" t="s">
        <v>74</v>
      </c>
      <c r="L181" t="s">
        <v>74</v>
      </c>
      <c r="M181" t="s">
        <v>78</v>
      </c>
      <c r="N181" t="s">
        <v>79</v>
      </c>
      <c r="O181" t="s">
        <v>74</v>
      </c>
      <c r="P181" t="s">
        <v>74</v>
      </c>
      <c r="Q181" t="s">
        <v>74</v>
      </c>
      <c r="R181" t="s">
        <v>74</v>
      </c>
      <c r="S181" t="s">
        <v>74</v>
      </c>
      <c r="T181" t="s">
        <v>3877</v>
      </c>
      <c r="U181" t="s">
        <v>3878</v>
      </c>
      <c r="V181" t="s">
        <v>3879</v>
      </c>
      <c r="W181" t="s">
        <v>3880</v>
      </c>
      <c r="X181" t="s">
        <v>3881</v>
      </c>
      <c r="Y181" t="s">
        <v>3882</v>
      </c>
      <c r="Z181" t="s">
        <v>3883</v>
      </c>
      <c r="AA181" t="s">
        <v>3884</v>
      </c>
      <c r="AB181" t="s">
        <v>3885</v>
      </c>
      <c r="AC181" t="s">
        <v>3886</v>
      </c>
      <c r="AD181" t="s">
        <v>3887</v>
      </c>
      <c r="AE181" t="s">
        <v>3888</v>
      </c>
      <c r="AF181" t="s">
        <v>74</v>
      </c>
      <c r="AG181">
        <v>45</v>
      </c>
      <c r="AH181">
        <v>11</v>
      </c>
      <c r="AI181">
        <v>11</v>
      </c>
      <c r="AJ181">
        <v>0</v>
      </c>
      <c r="AK181">
        <v>32</v>
      </c>
      <c r="AL181" t="s">
        <v>865</v>
      </c>
      <c r="AM181" t="s">
        <v>92</v>
      </c>
      <c r="AN181" t="s">
        <v>866</v>
      </c>
      <c r="AO181" t="s">
        <v>867</v>
      </c>
      <c r="AP181" t="s">
        <v>868</v>
      </c>
      <c r="AQ181" t="s">
        <v>74</v>
      </c>
      <c r="AR181" t="s">
        <v>869</v>
      </c>
      <c r="AS181" t="s">
        <v>870</v>
      </c>
      <c r="AT181" t="s">
        <v>3298</v>
      </c>
      <c r="AU181">
        <v>2018</v>
      </c>
      <c r="AV181">
        <v>209</v>
      </c>
      <c r="AW181" t="s">
        <v>74</v>
      </c>
      <c r="AX181" t="s">
        <v>74</v>
      </c>
      <c r="AY181" t="s">
        <v>74</v>
      </c>
      <c r="AZ181" t="s">
        <v>74</v>
      </c>
      <c r="BA181" t="s">
        <v>74</v>
      </c>
      <c r="BB181">
        <v>41</v>
      </c>
      <c r="BC181">
        <v>51</v>
      </c>
      <c r="BD181" t="s">
        <v>74</v>
      </c>
      <c r="BE181" t="s">
        <v>3889</v>
      </c>
      <c r="BF181" t="str">
        <f>HYPERLINK("http://dx.doi.org/10.1016/j.rse.2018.02.033","http://dx.doi.org/10.1016/j.rse.2018.02.033")</f>
        <v>http://dx.doi.org/10.1016/j.rse.2018.02.033</v>
      </c>
      <c r="BG181" t="s">
        <v>74</v>
      </c>
      <c r="BH181" t="s">
        <v>74</v>
      </c>
      <c r="BI181">
        <v>11</v>
      </c>
      <c r="BJ181" t="s">
        <v>872</v>
      </c>
      <c r="BK181" t="s">
        <v>101</v>
      </c>
      <c r="BL181" t="s">
        <v>873</v>
      </c>
      <c r="BM181" t="s">
        <v>3890</v>
      </c>
      <c r="BN181" t="s">
        <v>74</v>
      </c>
      <c r="BO181" t="s">
        <v>74</v>
      </c>
      <c r="BP181" t="s">
        <v>74</v>
      </c>
      <c r="BQ181" t="s">
        <v>74</v>
      </c>
      <c r="BR181" t="s">
        <v>105</v>
      </c>
      <c r="BS181" t="s">
        <v>3891</v>
      </c>
      <c r="BT181" t="str">
        <f>HYPERLINK("https%3A%2F%2Fwww.webofscience.com%2Fwos%2Fwoscc%2Ffull-record%2FWOS:000430897300004","View Full Record in Web of Science")</f>
        <v>View Full Record in Web of Science</v>
      </c>
    </row>
    <row r="182" spans="1:72" x14ac:dyDescent="0.15">
      <c r="A182" t="s">
        <v>72</v>
      </c>
      <c r="B182" t="s">
        <v>3892</v>
      </c>
      <c r="C182" t="s">
        <v>74</v>
      </c>
      <c r="D182" t="s">
        <v>74</v>
      </c>
      <c r="E182" t="s">
        <v>74</v>
      </c>
      <c r="F182" t="s">
        <v>3893</v>
      </c>
      <c r="G182" t="s">
        <v>74</v>
      </c>
      <c r="H182" t="s">
        <v>74</v>
      </c>
      <c r="I182" t="s">
        <v>3894</v>
      </c>
      <c r="J182" t="s">
        <v>852</v>
      </c>
      <c r="K182" t="s">
        <v>74</v>
      </c>
      <c r="L182" t="s">
        <v>74</v>
      </c>
      <c r="M182" t="s">
        <v>78</v>
      </c>
      <c r="N182" t="s">
        <v>79</v>
      </c>
      <c r="O182" t="s">
        <v>74</v>
      </c>
      <c r="P182" t="s">
        <v>74</v>
      </c>
      <c r="Q182" t="s">
        <v>74</v>
      </c>
      <c r="R182" t="s">
        <v>74</v>
      </c>
      <c r="S182" t="s">
        <v>74</v>
      </c>
      <c r="T182" t="s">
        <v>3895</v>
      </c>
      <c r="U182" t="s">
        <v>3896</v>
      </c>
      <c r="V182" t="s">
        <v>3897</v>
      </c>
      <c r="W182" t="s">
        <v>3898</v>
      </c>
      <c r="X182" t="s">
        <v>3899</v>
      </c>
      <c r="Y182" t="s">
        <v>3900</v>
      </c>
      <c r="Z182" t="s">
        <v>3901</v>
      </c>
      <c r="AA182" t="s">
        <v>3902</v>
      </c>
      <c r="AB182" t="s">
        <v>3903</v>
      </c>
      <c r="AC182" t="s">
        <v>3904</v>
      </c>
      <c r="AD182" t="s">
        <v>3905</v>
      </c>
      <c r="AE182" t="s">
        <v>3906</v>
      </c>
      <c r="AF182" t="s">
        <v>74</v>
      </c>
      <c r="AG182">
        <v>57</v>
      </c>
      <c r="AH182">
        <v>21</v>
      </c>
      <c r="AI182">
        <v>22</v>
      </c>
      <c r="AJ182">
        <v>1</v>
      </c>
      <c r="AK182">
        <v>45</v>
      </c>
      <c r="AL182" t="s">
        <v>865</v>
      </c>
      <c r="AM182" t="s">
        <v>92</v>
      </c>
      <c r="AN182" t="s">
        <v>3907</v>
      </c>
      <c r="AO182" t="s">
        <v>867</v>
      </c>
      <c r="AP182" t="s">
        <v>868</v>
      </c>
      <c r="AQ182" t="s">
        <v>74</v>
      </c>
      <c r="AR182" t="s">
        <v>869</v>
      </c>
      <c r="AS182" t="s">
        <v>870</v>
      </c>
      <c r="AT182" t="s">
        <v>3298</v>
      </c>
      <c r="AU182">
        <v>2018</v>
      </c>
      <c r="AV182">
        <v>209</v>
      </c>
      <c r="AW182" t="s">
        <v>74</v>
      </c>
      <c r="AX182" t="s">
        <v>74</v>
      </c>
      <c r="AY182" t="s">
        <v>74</v>
      </c>
      <c r="AZ182" t="s">
        <v>74</v>
      </c>
      <c r="BA182" t="s">
        <v>74</v>
      </c>
      <c r="BB182">
        <v>166</v>
      </c>
      <c r="BC182">
        <v>180</v>
      </c>
      <c r="BD182" t="s">
        <v>74</v>
      </c>
      <c r="BE182" t="s">
        <v>3908</v>
      </c>
      <c r="BF182" t="str">
        <f>HYPERLINK("http://dx.doi.org/10.1016/j.rse.2018.02.048","http://dx.doi.org/10.1016/j.rse.2018.02.048")</f>
        <v>http://dx.doi.org/10.1016/j.rse.2018.02.048</v>
      </c>
      <c r="BG182" t="s">
        <v>74</v>
      </c>
      <c r="BH182" t="s">
        <v>74</v>
      </c>
      <c r="BI182">
        <v>15</v>
      </c>
      <c r="BJ182" t="s">
        <v>872</v>
      </c>
      <c r="BK182" t="s">
        <v>101</v>
      </c>
      <c r="BL182" t="s">
        <v>873</v>
      </c>
      <c r="BM182" t="s">
        <v>3890</v>
      </c>
      <c r="BN182" t="s">
        <v>74</v>
      </c>
      <c r="BO182" t="s">
        <v>74</v>
      </c>
      <c r="BP182" t="s">
        <v>74</v>
      </c>
      <c r="BQ182" t="s">
        <v>74</v>
      </c>
      <c r="BR182" t="s">
        <v>105</v>
      </c>
      <c r="BS182" t="s">
        <v>3909</v>
      </c>
      <c r="BT182" t="str">
        <f>HYPERLINK("https%3A%2F%2Fwww.webofscience.com%2Fwos%2Fwoscc%2Ffull-record%2FWOS:000430897300013","View Full Record in Web of Science")</f>
        <v>View Full Record in Web of Science</v>
      </c>
    </row>
    <row r="183" spans="1:72" x14ac:dyDescent="0.15">
      <c r="A183" t="s">
        <v>72</v>
      </c>
      <c r="B183" t="s">
        <v>3910</v>
      </c>
      <c r="C183" t="s">
        <v>74</v>
      </c>
      <c r="D183" t="s">
        <v>74</v>
      </c>
      <c r="E183" t="s">
        <v>74</v>
      </c>
      <c r="F183" t="s">
        <v>3911</v>
      </c>
      <c r="G183" t="s">
        <v>74</v>
      </c>
      <c r="H183" t="s">
        <v>74</v>
      </c>
      <c r="I183" t="s">
        <v>3912</v>
      </c>
      <c r="J183" t="s">
        <v>852</v>
      </c>
      <c r="K183" t="s">
        <v>74</v>
      </c>
      <c r="L183" t="s">
        <v>74</v>
      </c>
      <c r="M183" t="s">
        <v>78</v>
      </c>
      <c r="N183" t="s">
        <v>79</v>
      </c>
      <c r="O183" t="s">
        <v>74</v>
      </c>
      <c r="P183" t="s">
        <v>74</v>
      </c>
      <c r="Q183" t="s">
        <v>74</v>
      </c>
      <c r="R183" t="s">
        <v>74</v>
      </c>
      <c r="S183" t="s">
        <v>74</v>
      </c>
      <c r="T183" t="s">
        <v>3913</v>
      </c>
      <c r="U183" t="s">
        <v>3914</v>
      </c>
      <c r="V183" t="s">
        <v>3915</v>
      </c>
      <c r="W183" t="s">
        <v>3916</v>
      </c>
      <c r="X183" t="s">
        <v>3917</v>
      </c>
      <c r="Y183" t="s">
        <v>3918</v>
      </c>
      <c r="Z183" t="s">
        <v>3919</v>
      </c>
      <c r="AA183" t="s">
        <v>3920</v>
      </c>
      <c r="AB183" t="s">
        <v>3921</v>
      </c>
      <c r="AC183" t="s">
        <v>3922</v>
      </c>
      <c r="AD183" t="s">
        <v>3923</v>
      </c>
      <c r="AE183" t="s">
        <v>3924</v>
      </c>
      <c r="AF183" t="s">
        <v>74</v>
      </c>
      <c r="AG183">
        <v>47</v>
      </c>
      <c r="AH183">
        <v>20</v>
      </c>
      <c r="AI183">
        <v>23</v>
      </c>
      <c r="AJ183">
        <v>3</v>
      </c>
      <c r="AK183">
        <v>24</v>
      </c>
      <c r="AL183" t="s">
        <v>865</v>
      </c>
      <c r="AM183" t="s">
        <v>92</v>
      </c>
      <c r="AN183" t="s">
        <v>3907</v>
      </c>
      <c r="AO183" t="s">
        <v>867</v>
      </c>
      <c r="AP183" t="s">
        <v>868</v>
      </c>
      <c r="AQ183" t="s">
        <v>74</v>
      </c>
      <c r="AR183" t="s">
        <v>869</v>
      </c>
      <c r="AS183" t="s">
        <v>870</v>
      </c>
      <c r="AT183" t="s">
        <v>3298</v>
      </c>
      <c r="AU183">
        <v>2018</v>
      </c>
      <c r="AV183">
        <v>209</v>
      </c>
      <c r="AW183" t="s">
        <v>74</v>
      </c>
      <c r="AX183" t="s">
        <v>74</v>
      </c>
      <c r="AY183" t="s">
        <v>74</v>
      </c>
      <c r="AZ183" t="s">
        <v>74</v>
      </c>
      <c r="BA183" t="s">
        <v>74</v>
      </c>
      <c r="BB183">
        <v>275</v>
      </c>
      <c r="BC183">
        <v>290</v>
      </c>
      <c r="BD183" t="s">
        <v>74</v>
      </c>
      <c r="BE183" t="s">
        <v>3925</v>
      </c>
      <c r="BF183" t="str">
        <f>HYPERLINK("http://dx.doi.org/10.1016/j.rse.2018.02.057","http://dx.doi.org/10.1016/j.rse.2018.02.057")</f>
        <v>http://dx.doi.org/10.1016/j.rse.2018.02.057</v>
      </c>
      <c r="BG183" t="s">
        <v>74</v>
      </c>
      <c r="BH183" t="s">
        <v>74</v>
      </c>
      <c r="BI183">
        <v>16</v>
      </c>
      <c r="BJ183" t="s">
        <v>872</v>
      </c>
      <c r="BK183" t="s">
        <v>101</v>
      </c>
      <c r="BL183" t="s">
        <v>873</v>
      </c>
      <c r="BM183" t="s">
        <v>3890</v>
      </c>
      <c r="BN183" t="s">
        <v>74</v>
      </c>
      <c r="BO183" t="s">
        <v>74</v>
      </c>
      <c r="BP183" t="s">
        <v>74</v>
      </c>
      <c r="BQ183" t="s">
        <v>74</v>
      </c>
      <c r="BR183" t="s">
        <v>105</v>
      </c>
      <c r="BS183" t="s">
        <v>3926</v>
      </c>
      <c r="BT183" t="str">
        <f>HYPERLINK("https%3A%2F%2Fwww.webofscience.com%2Fwos%2Fwoscc%2Ffull-record%2FWOS:000430897300021","View Full Record in Web of Science")</f>
        <v>View Full Record in Web of Science</v>
      </c>
    </row>
    <row r="184" spans="1:72" x14ac:dyDescent="0.15">
      <c r="A184" t="s">
        <v>72</v>
      </c>
      <c r="B184" t="s">
        <v>3927</v>
      </c>
      <c r="C184" t="s">
        <v>74</v>
      </c>
      <c r="D184" t="s">
        <v>74</v>
      </c>
      <c r="E184" t="s">
        <v>74</v>
      </c>
      <c r="F184" t="s">
        <v>3928</v>
      </c>
      <c r="G184" t="s">
        <v>74</v>
      </c>
      <c r="H184" t="s">
        <v>74</v>
      </c>
      <c r="I184" t="s">
        <v>3929</v>
      </c>
      <c r="J184" t="s">
        <v>1651</v>
      </c>
      <c r="K184" t="s">
        <v>74</v>
      </c>
      <c r="L184" t="s">
        <v>74</v>
      </c>
      <c r="M184" t="s">
        <v>78</v>
      </c>
      <c r="N184" t="s">
        <v>79</v>
      </c>
      <c r="O184" t="s">
        <v>74</v>
      </c>
      <c r="P184" t="s">
        <v>74</v>
      </c>
      <c r="Q184" t="s">
        <v>74</v>
      </c>
      <c r="R184" t="s">
        <v>74</v>
      </c>
      <c r="S184" t="s">
        <v>74</v>
      </c>
      <c r="T184" t="s">
        <v>74</v>
      </c>
      <c r="U184" t="s">
        <v>3930</v>
      </c>
      <c r="V184" t="s">
        <v>3931</v>
      </c>
      <c r="W184" t="s">
        <v>3932</v>
      </c>
      <c r="X184" t="s">
        <v>3933</v>
      </c>
      <c r="Y184" t="s">
        <v>3934</v>
      </c>
      <c r="Z184" t="s">
        <v>3935</v>
      </c>
      <c r="AA184" t="s">
        <v>3936</v>
      </c>
      <c r="AB184" t="s">
        <v>3937</v>
      </c>
      <c r="AC184" t="s">
        <v>3938</v>
      </c>
      <c r="AD184" t="s">
        <v>3939</v>
      </c>
      <c r="AE184" t="s">
        <v>3940</v>
      </c>
      <c r="AF184" t="s">
        <v>74</v>
      </c>
      <c r="AG184">
        <v>69</v>
      </c>
      <c r="AH184">
        <v>21</v>
      </c>
      <c r="AI184">
        <v>25</v>
      </c>
      <c r="AJ184">
        <v>1</v>
      </c>
      <c r="AK184">
        <v>30</v>
      </c>
      <c r="AL184" t="s">
        <v>1663</v>
      </c>
      <c r="AM184" t="s">
        <v>1664</v>
      </c>
      <c r="AN184" t="s">
        <v>1665</v>
      </c>
      <c r="AO184" t="s">
        <v>1666</v>
      </c>
      <c r="AP184" t="s">
        <v>74</v>
      </c>
      <c r="AQ184" t="s">
        <v>74</v>
      </c>
      <c r="AR184" t="s">
        <v>1667</v>
      </c>
      <c r="AS184" t="s">
        <v>1668</v>
      </c>
      <c r="AT184" t="s">
        <v>3556</v>
      </c>
      <c r="AU184">
        <v>2018</v>
      </c>
      <c r="AV184">
        <v>8</v>
      </c>
      <c r="AW184" t="s">
        <v>74</v>
      </c>
      <c r="AX184" t="s">
        <v>74</v>
      </c>
      <c r="AY184" t="s">
        <v>74</v>
      </c>
      <c r="AZ184" t="s">
        <v>74</v>
      </c>
      <c r="BA184" t="s">
        <v>74</v>
      </c>
      <c r="BB184" t="s">
        <v>74</v>
      </c>
      <c r="BC184" t="s">
        <v>74</v>
      </c>
      <c r="BD184">
        <v>6827</v>
      </c>
      <c r="BE184" t="s">
        <v>3941</v>
      </c>
      <c r="BF184" t="str">
        <f>HYPERLINK("http://dx.doi.org/10.1038/s41598-018-25318-7","http://dx.doi.org/10.1038/s41598-018-25318-7")</f>
        <v>http://dx.doi.org/10.1038/s41598-018-25318-7</v>
      </c>
      <c r="BG184" t="s">
        <v>74</v>
      </c>
      <c r="BH184" t="s">
        <v>74</v>
      </c>
      <c r="BI184">
        <v>10</v>
      </c>
      <c r="BJ184" t="s">
        <v>1670</v>
      </c>
      <c r="BK184" t="s">
        <v>101</v>
      </c>
      <c r="BL184" t="s">
        <v>1671</v>
      </c>
      <c r="BM184" t="s">
        <v>3942</v>
      </c>
      <c r="BN184">
        <v>29717229</v>
      </c>
      <c r="BO184" t="s">
        <v>3105</v>
      </c>
      <c r="BP184" t="s">
        <v>74</v>
      </c>
      <c r="BQ184" t="s">
        <v>74</v>
      </c>
      <c r="BR184" t="s">
        <v>105</v>
      </c>
      <c r="BS184" t="s">
        <v>3943</v>
      </c>
      <c r="BT184" t="str">
        <f>HYPERLINK("https%3A%2F%2Fwww.webofscience.com%2Fwos%2Fwoscc%2Ffull-record%2FWOS:000431114200006","View Full Record in Web of Science")</f>
        <v>View Full Record in Web of Science</v>
      </c>
    </row>
    <row r="185" spans="1:72" x14ac:dyDescent="0.15">
      <c r="A185" t="s">
        <v>72</v>
      </c>
      <c r="B185" t="s">
        <v>3944</v>
      </c>
      <c r="C185" t="s">
        <v>74</v>
      </c>
      <c r="D185" t="s">
        <v>74</v>
      </c>
      <c r="E185" t="s">
        <v>74</v>
      </c>
      <c r="F185" t="s">
        <v>3945</v>
      </c>
      <c r="G185" t="s">
        <v>74</v>
      </c>
      <c r="H185" t="s">
        <v>74</v>
      </c>
      <c r="I185" t="s">
        <v>3946</v>
      </c>
      <c r="J185" t="s">
        <v>3947</v>
      </c>
      <c r="K185" t="s">
        <v>74</v>
      </c>
      <c r="L185" t="s">
        <v>74</v>
      </c>
      <c r="M185" t="s">
        <v>78</v>
      </c>
      <c r="N185" t="s">
        <v>466</v>
      </c>
      <c r="O185" t="s">
        <v>74</v>
      </c>
      <c r="P185" t="s">
        <v>74</v>
      </c>
      <c r="Q185" t="s">
        <v>74</v>
      </c>
      <c r="R185" t="s">
        <v>74</v>
      </c>
      <c r="S185" t="s">
        <v>74</v>
      </c>
      <c r="T185" t="s">
        <v>3948</v>
      </c>
      <c r="U185" t="s">
        <v>3949</v>
      </c>
      <c r="V185" t="s">
        <v>3950</v>
      </c>
      <c r="W185" t="s">
        <v>3951</v>
      </c>
      <c r="X185" t="s">
        <v>3952</v>
      </c>
      <c r="Y185" t="s">
        <v>3953</v>
      </c>
      <c r="Z185" t="s">
        <v>3954</v>
      </c>
      <c r="AA185" t="s">
        <v>3955</v>
      </c>
      <c r="AB185" t="s">
        <v>3956</v>
      </c>
      <c r="AC185" t="s">
        <v>74</v>
      </c>
      <c r="AD185" t="s">
        <v>74</v>
      </c>
      <c r="AE185" t="s">
        <v>74</v>
      </c>
      <c r="AF185" t="s">
        <v>74</v>
      </c>
      <c r="AG185">
        <v>93</v>
      </c>
      <c r="AH185">
        <v>20</v>
      </c>
      <c r="AI185">
        <v>26</v>
      </c>
      <c r="AJ185">
        <v>5</v>
      </c>
      <c r="AK185">
        <v>44</v>
      </c>
      <c r="AL185" t="s">
        <v>3957</v>
      </c>
      <c r="AM185" t="s">
        <v>3958</v>
      </c>
      <c r="AN185" t="s">
        <v>3959</v>
      </c>
      <c r="AO185" t="s">
        <v>3960</v>
      </c>
      <c r="AP185" t="s">
        <v>3961</v>
      </c>
      <c r="AQ185" t="s">
        <v>74</v>
      </c>
      <c r="AR185" t="s">
        <v>3962</v>
      </c>
      <c r="AS185" t="s">
        <v>3963</v>
      </c>
      <c r="AT185" t="s">
        <v>3964</v>
      </c>
      <c r="AU185">
        <v>2018</v>
      </c>
      <c r="AV185">
        <v>114</v>
      </c>
      <c r="AW185" t="s">
        <v>3965</v>
      </c>
      <c r="AX185" t="s">
        <v>74</v>
      </c>
      <c r="AY185" t="s">
        <v>74</v>
      </c>
      <c r="AZ185" t="s">
        <v>74</v>
      </c>
      <c r="BA185" t="s">
        <v>74</v>
      </c>
      <c r="BB185" t="s">
        <v>74</v>
      </c>
      <c r="BC185" t="s">
        <v>74</v>
      </c>
      <c r="BD185" t="s">
        <v>3966</v>
      </c>
      <c r="BE185" t="s">
        <v>3967</v>
      </c>
      <c r="BF185" t="str">
        <f>HYPERLINK("http://dx.doi.org/10.17159/sajs.2018/20170254","http://dx.doi.org/10.17159/sajs.2018/20170254")</f>
        <v>http://dx.doi.org/10.17159/sajs.2018/20170254</v>
      </c>
      <c r="BG185" t="s">
        <v>74</v>
      </c>
      <c r="BH185" t="s">
        <v>74</v>
      </c>
      <c r="BI185">
        <v>6</v>
      </c>
      <c r="BJ185" t="s">
        <v>1670</v>
      </c>
      <c r="BK185" t="s">
        <v>101</v>
      </c>
      <c r="BL185" t="s">
        <v>1671</v>
      </c>
      <c r="BM185" t="s">
        <v>3968</v>
      </c>
      <c r="BN185" t="s">
        <v>74</v>
      </c>
      <c r="BO185" t="s">
        <v>2695</v>
      </c>
      <c r="BP185" t="s">
        <v>74</v>
      </c>
      <c r="BQ185" t="s">
        <v>74</v>
      </c>
      <c r="BR185" t="s">
        <v>105</v>
      </c>
      <c r="BS185" t="s">
        <v>3969</v>
      </c>
      <c r="BT185" t="str">
        <f>HYPERLINK("https%3A%2F%2Fwww.webofscience.com%2Fwos%2Fwoscc%2Ffull-record%2FWOS:000433618400005","View Full Record in Web of Science")</f>
        <v>View Full Record in Web of Science</v>
      </c>
    </row>
    <row r="186" spans="1:72" x14ac:dyDescent="0.15">
      <c r="A186" t="s">
        <v>72</v>
      </c>
      <c r="B186" t="s">
        <v>3970</v>
      </c>
      <c r="C186" t="s">
        <v>74</v>
      </c>
      <c r="D186" t="s">
        <v>74</v>
      </c>
      <c r="E186" t="s">
        <v>74</v>
      </c>
      <c r="F186" t="s">
        <v>3971</v>
      </c>
      <c r="G186" t="s">
        <v>74</v>
      </c>
      <c r="H186" t="s">
        <v>74</v>
      </c>
      <c r="I186" t="s">
        <v>3972</v>
      </c>
      <c r="J186" t="s">
        <v>3973</v>
      </c>
      <c r="K186" t="s">
        <v>74</v>
      </c>
      <c r="L186" t="s">
        <v>74</v>
      </c>
      <c r="M186" t="s">
        <v>78</v>
      </c>
      <c r="N186" t="s">
        <v>1427</v>
      </c>
      <c r="O186" t="s">
        <v>3974</v>
      </c>
      <c r="P186" t="s">
        <v>3975</v>
      </c>
      <c r="Q186" t="s">
        <v>3976</v>
      </c>
      <c r="R186" t="s">
        <v>74</v>
      </c>
      <c r="S186" t="s">
        <v>74</v>
      </c>
      <c r="T186" t="s">
        <v>3977</v>
      </c>
      <c r="U186" t="s">
        <v>3978</v>
      </c>
      <c r="V186" t="s">
        <v>3979</v>
      </c>
      <c r="W186" t="s">
        <v>3980</v>
      </c>
      <c r="X186" t="s">
        <v>3981</v>
      </c>
      <c r="Y186" t="s">
        <v>3982</v>
      </c>
      <c r="Z186" t="s">
        <v>3983</v>
      </c>
      <c r="AA186" t="s">
        <v>3984</v>
      </c>
      <c r="AB186" t="s">
        <v>3985</v>
      </c>
      <c r="AC186" t="s">
        <v>3986</v>
      </c>
      <c r="AD186" t="s">
        <v>3987</v>
      </c>
      <c r="AE186" t="s">
        <v>3988</v>
      </c>
      <c r="AF186" t="s">
        <v>74</v>
      </c>
      <c r="AG186">
        <v>21</v>
      </c>
      <c r="AH186">
        <v>3</v>
      </c>
      <c r="AI186">
        <v>3</v>
      </c>
      <c r="AJ186">
        <v>1</v>
      </c>
      <c r="AK186">
        <v>16</v>
      </c>
      <c r="AL186" t="s">
        <v>3989</v>
      </c>
      <c r="AM186" t="s">
        <v>3990</v>
      </c>
      <c r="AN186" t="s">
        <v>3991</v>
      </c>
      <c r="AO186" t="s">
        <v>3992</v>
      </c>
      <c r="AP186" t="s">
        <v>3993</v>
      </c>
      <c r="AQ186" t="s">
        <v>74</v>
      </c>
      <c r="AR186" t="s">
        <v>3994</v>
      </c>
      <c r="AS186" t="s">
        <v>3995</v>
      </c>
      <c r="AT186" t="s">
        <v>3298</v>
      </c>
      <c r="AU186">
        <v>2018</v>
      </c>
      <c r="AV186" t="s">
        <v>74</v>
      </c>
      <c r="AW186" t="s">
        <v>74</v>
      </c>
      <c r="AX186" t="s">
        <v>74</v>
      </c>
      <c r="AY186" t="s">
        <v>74</v>
      </c>
      <c r="AZ186">
        <v>85</v>
      </c>
      <c r="BA186" t="s">
        <v>74</v>
      </c>
      <c r="BB186">
        <v>656</v>
      </c>
      <c r="BC186">
        <v>660</v>
      </c>
      <c r="BD186" t="s">
        <v>74</v>
      </c>
      <c r="BE186" t="s">
        <v>3996</v>
      </c>
      <c r="BF186" t="str">
        <f>HYPERLINK("http://dx.doi.org/10.2112/SI85-132.1","http://dx.doi.org/10.2112/SI85-132.1")</f>
        <v>http://dx.doi.org/10.2112/SI85-132.1</v>
      </c>
      <c r="BG186" t="s">
        <v>74</v>
      </c>
      <c r="BH186" t="s">
        <v>74</v>
      </c>
      <c r="BI186">
        <v>5</v>
      </c>
      <c r="BJ186" t="s">
        <v>379</v>
      </c>
      <c r="BK186" t="s">
        <v>1449</v>
      </c>
      <c r="BL186" t="s">
        <v>380</v>
      </c>
      <c r="BM186" t="s">
        <v>3997</v>
      </c>
      <c r="BN186" t="s">
        <v>74</v>
      </c>
      <c r="BO186" t="s">
        <v>74</v>
      </c>
      <c r="BP186" t="s">
        <v>74</v>
      </c>
      <c r="BQ186" t="s">
        <v>74</v>
      </c>
      <c r="BR186" t="s">
        <v>105</v>
      </c>
      <c r="BS186" t="s">
        <v>3998</v>
      </c>
      <c r="BT186" t="str">
        <f>HYPERLINK("https%3A%2F%2Fwww.webofscience.com%2Fwos%2Fwoscc%2Ffull-record%2FWOS:000441173100132","View Full Record in Web of Science")</f>
        <v>View Full Record in Web of Science</v>
      </c>
    </row>
    <row r="187" spans="1:72" x14ac:dyDescent="0.15">
      <c r="A187" t="s">
        <v>72</v>
      </c>
      <c r="B187" t="s">
        <v>3999</v>
      </c>
      <c r="C187" t="s">
        <v>74</v>
      </c>
      <c r="D187" t="s">
        <v>74</v>
      </c>
      <c r="E187" t="s">
        <v>74</v>
      </c>
      <c r="F187" t="s">
        <v>4000</v>
      </c>
      <c r="G187" t="s">
        <v>74</v>
      </c>
      <c r="H187" t="s">
        <v>74</v>
      </c>
      <c r="I187" t="s">
        <v>4001</v>
      </c>
      <c r="J187" t="s">
        <v>4002</v>
      </c>
      <c r="K187" t="s">
        <v>74</v>
      </c>
      <c r="L187" t="s">
        <v>74</v>
      </c>
      <c r="M187" t="s">
        <v>78</v>
      </c>
      <c r="N187" t="s">
        <v>79</v>
      </c>
      <c r="O187" t="s">
        <v>74</v>
      </c>
      <c r="P187" t="s">
        <v>74</v>
      </c>
      <c r="Q187" t="s">
        <v>74</v>
      </c>
      <c r="R187" t="s">
        <v>74</v>
      </c>
      <c r="S187" t="s">
        <v>74</v>
      </c>
      <c r="T187" t="s">
        <v>4003</v>
      </c>
      <c r="U187" t="s">
        <v>4004</v>
      </c>
      <c r="V187" t="s">
        <v>4005</v>
      </c>
      <c r="W187" t="s">
        <v>4006</v>
      </c>
      <c r="X187" t="s">
        <v>4007</v>
      </c>
      <c r="Y187" t="s">
        <v>4008</v>
      </c>
      <c r="Z187" t="s">
        <v>4009</v>
      </c>
      <c r="AA187" t="s">
        <v>4010</v>
      </c>
      <c r="AB187" t="s">
        <v>4011</v>
      </c>
      <c r="AC187" t="s">
        <v>4012</v>
      </c>
      <c r="AD187" t="s">
        <v>4013</v>
      </c>
      <c r="AE187" t="s">
        <v>4014</v>
      </c>
      <c r="AF187" t="s">
        <v>74</v>
      </c>
      <c r="AG187">
        <v>87</v>
      </c>
      <c r="AH187">
        <v>18</v>
      </c>
      <c r="AI187">
        <v>19</v>
      </c>
      <c r="AJ187">
        <v>1</v>
      </c>
      <c r="AK187">
        <v>31</v>
      </c>
      <c r="AL187" t="s">
        <v>3413</v>
      </c>
      <c r="AM187" t="s">
        <v>278</v>
      </c>
      <c r="AN187" t="s">
        <v>3414</v>
      </c>
      <c r="AO187" t="s">
        <v>4015</v>
      </c>
      <c r="AP187" t="s">
        <v>4016</v>
      </c>
      <c r="AQ187" t="s">
        <v>74</v>
      </c>
      <c r="AR187" t="s">
        <v>4017</v>
      </c>
      <c r="AS187" t="s">
        <v>4018</v>
      </c>
      <c r="AT187" t="s">
        <v>3298</v>
      </c>
      <c r="AU187">
        <v>2018</v>
      </c>
      <c r="AV187">
        <v>94</v>
      </c>
      <c r="AW187">
        <v>5</v>
      </c>
      <c r="AX187" t="s">
        <v>74</v>
      </c>
      <c r="AY187" t="s">
        <v>74</v>
      </c>
      <c r="AZ187" t="s">
        <v>74</v>
      </c>
      <c r="BA187" t="s">
        <v>74</v>
      </c>
      <c r="BB187" t="s">
        <v>74</v>
      </c>
      <c r="BC187" t="s">
        <v>74</v>
      </c>
      <c r="BD187" t="s">
        <v>4019</v>
      </c>
      <c r="BE187" t="s">
        <v>4020</v>
      </c>
      <c r="BF187" t="str">
        <f>HYPERLINK("http://dx.doi.org/10.1093/femsec/fiy042","http://dx.doi.org/10.1093/femsec/fiy042")</f>
        <v>http://dx.doi.org/10.1093/femsec/fiy042</v>
      </c>
      <c r="BG187" t="s">
        <v>74</v>
      </c>
      <c r="BH187" t="s">
        <v>74</v>
      </c>
      <c r="BI187">
        <v>13</v>
      </c>
      <c r="BJ187" t="s">
        <v>510</v>
      </c>
      <c r="BK187" t="s">
        <v>101</v>
      </c>
      <c r="BL187" t="s">
        <v>510</v>
      </c>
      <c r="BM187" t="s">
        <v>4021</v>
      </c>
      <c r="BN187">
        <v>29547924</v>
      </c>
      <c r="BO187" t="s">
        <v>1802</v>
      </c>
      <c r="BP187" t="s">
        <v>74</v>
      </c>
      <c r="BQ187" t="s">
        <v>74</v>
      </c>
      <c r="BR187" t="s">
        <v>105</v>
      </c>
      <c r="BS187" t="s">
        <v>4022</v>
      </c>
      <c r="BT187" t="str">
        <f>HYPERLINK("https%3A%2F%2Fwww.webofscience.com%2Fwos%2Fwoscc%2Ffull-record%2FWOS:000439779100004","View Full Record in Web of Science")</f>
        <v>View Full Record in Web of Science</v>
      </c>
    </row>
    <row r="188" spans="1:72" x14ac:dyDescent="0.15">
      <c r="A188" t="s">
        <v>72</v>
      </c>
      <c r="B188" t="s">
        <v>4023</v>
      </c>
      <c r="C188" t="s">
        <v>74</v>
      </c>
      <c r="D188" t="s">
        <v>74</v>
      </c>
      <c r="E188" t="s">
        <v>74</v>
      </c>
      <c r="F188" t="s">
        <v>4024</v>
      </c>
      <c r="G188" t="s">
        <v>74</v>
      </c>
      <c r="H188" t="s">
        <v>74</v>
      </c>
      <c r="I188" t="s">
        <v>4025</v>
      </c>
      <c r="J188" t="s">
        <v>4026</v>
      </c>
      <c r="K188" t="s">
        <v>74</v>
      </c>
      <c r="L188" t="s">
        <v>74</v>
      </c>
      <c r="M188" t="s">
        <v>78</v>
      </c>
      <c r="N188" t="s">
        <v>79</v>
      </c>
      <c r="O188" t="s">
        <v>74</v>
      </c>
      <c r="P188" t="s">
        <v>74</v>
      </c>
      <c r="Q188" t="s">
        <v>74</v>
      </c>
      <c r="R188" t="s">
        <v>74</v>
      </c>
      <c r="S188" t="s">
        <v>74</v>
      </c>
      <c r="T188" t="s">
        <v>74</v>
      </c>
      <c r="U188" t="s">
        <v>74</v>
      </c>
      <c r="V188" t="s">
        <v>4027</v>
      </c>
      <c r="W188" t="s">
        <v>4028</v>
      </c>
      <c r="X188" t="s">
        <v>4029</v>
      </c>
      <c r="Y188" t="s">
        <v>4030</v>
      </c>
      <c r="Z188" t="s">
        <v>4031</v>
      </c>
      <c r="AA188" t="s">
        <v>4032</v>
      </c>
      <c r="AB188" t="s">
        <v>4033</v>
      </c>
      <c r="AC188" t="s">
        <v>4034</v>
      </c>
      <c r="AD188" t="s">
        <v>4035</v>
      </c>
      <c r="AE188" t="s">
        <v>4036</v>
      </c>
      <c r="AF188" t="s">
        <v>74</v>
      </c>
      <c r="AG188">
        <v>5</v>
      </c>
      <c r="AH188">
        <v>4</v>
      </c>
      <c r="AI188">
        <v>4</v>
      </c>
      <c r="AJ188">
        <v>0</v>
      </c>
      <c r="AK188">
        <v>5</v>
      </c>
      <c r="AL188" t="s">
        <v>4037</v>
      </c>
      <c r="AM188" t="s">
        <v>92</v>
      </c>
      <c r="AN188" t="s">
        <v>4038</v>
      </c>
      <c r="AO188" t="s">
        <v>4039</v>
      </c>
      <c r="AP188" t="s">
        <v>4040</v>
      </c>
      <c r="AQ188" t="s">
        <v>74</v>
      </c>
      <c r="AR188" t="s">
        <v>4041</v>
      </c>
      <c r="AS188" t="s">
        <v>4042</v>
      </c>
      <c r="AT188" t="s">
        <v>3298</v>
      </c>
      <c r="AU188">
        <v>2018</v>
      </c>
      <c r="AV188">
        <v>58</v>
      </c>
      <c r="AW188">
        <v>3</v>
      </c>
      <c r="AX188" t="s">
        <v>74</v>
      </c>
      <c r="AY188" t="s">
        <v>74</v>
      </c>
      <c r="AZ188" t="s">
        <v>74</v>
      </c>
      <c r="BA188" t="s">
        <v>74</v>
      </c>
      <c r="BB188">
        <v>329</v>
      </c>
      <c r="BC188">
        <v>339</v>
      </c>
      <c r="BD188" t="s">
        <v>74</v>
      </c>
      <c r="BE188" t="s">
        <v>4043</v>
      </c>
      <c r="BF188" t="str">
        <f>HYPERLINK("http://dx.doi.org/10.1134/S0001437018030074","http://dx.doi.org/10.1134/S0001437018030074")</f>
        <v>http://dx.doi.org/10.1134/S0001437018030074</v>
      </c>
      <c r="BG188" t="s">
        <v>74</v>
      </c>
      <c r="BH188" t="s">
        <v>74</v>
      </c>
      <c r="BI188">
        <v>11</v>
      </c>
      <c r="BJ188" t="s">
        <v>364</v>
      </c>
      <c r="BK188" t="s">
        <v>101</v>
      </c>
      <c r="BL188" t="s">
        <v>364</v>
      </c>
      <c r="BM188" t="s">
        <v>4044</v>
      </c>
      <c r="BN188" t="s">
        <v>74</v>
      </c>
      <c r="BO188" t="s">
        <v>74</v>
      </c>
      <c r="BP188" t="s">
        <v>74</v>
      </c>
      <c r="BQ188" t="s">
        <v>74</v>
      </c>
      <c r="BR188" t="s">
        <v>105</v>
      </c>
      <c r="BS188" t="s">
        <v>4045</v>
      </c>
      <c r="BT188" t="str">
        <f>HYPERLINK("https%3A%2F%2Fwww.webofscience.com%2Fwos%2Fwoscc%2Ffull-record%2FWOS:000439176200001","View Full Record in Web of Science")</f>
        <v>View Full Record in Web of Science</v>
      </c>
    </row>
    <row r="189" spans="1:72" x14ac:dyDescent="0.15">
      <c r="A189" t="s">
        <v>72</v>
      </c>
      <c r="B189" t="s">
        <v>4046</v>
      </c>
      <c r="C189" t="s">
        <v>74</v>
      </c>
      <c r="D189" t="s">
        <v>74</v>
      </c>
      <c r="E189" t="s">
        <v>74</v>
      </c>
      <c r="F189" t="s">
        <v>4047</v>
      </c>
      <c r="G189" t="s">
        <v>74</v>
      </c>
      <c r="H189" t="s">
        <v>74</v>
      </c>
      <c r="I189" t="s">
        <v>4048</v>
      </c>
      <c r="J189" t="s">
        <v>4026</v>
      </c>
      <c r="K189" t="s">
        <v>74</v>
      </c>
      <c r="L189" t="s">
        <v>74</v>
      </c>
      <c r="M189" t="s">
        <v>78</v>
      </c>
      <c r="N189" t="s">
        <v>79</v>
      </c>
      <c r="O189" t="s">
        <v>74</v>
      </c>
      <c r="P189" t="s">
        <v>74</v>
      </c>
      <c r="Q189" t="s">
        <v>74</v>
      </c>
      <c r="R189" t="s">
        <v>74</v>
      </c>
      <c r="S189" t="s">
        <v>74</v>
      </c>
      <c r="T189" t="s">
        <v>74</v>
      </c>
      <c r="U189" t="s">
        <v>4049</v>
      </c>
      <c r="V189" t="s">
        <v>4050</v>
      </c>
      <c r="W189" t="s">
        <v>4051</v>
      </c>
      <c r="X189" t="s">
        <v>4052</v>
      </c>
      <c r="Y189" t="s">
        <v>4053</v>
      </c>
      <c r="Z189" t="s">
        <v>4054</v>
      </c>
      <c r="AA189" t="s">
        <v>4055</v>
      </c>
      <c r="AB189" t="s">
        <v>4056</v>
      </c>
      <c r="AC189" t="s">
        <v>4057</v>
      </c>
      <c r="AD189" t="s">
        <v>4058</v>
      </c>
      <c r="AE189" t="s">
        <v>4059</v>
      </c>
      <c r="AF189" t="s">
        <v>74</v>
      </c>
      <c r="AG189">
        <v>64</v>
      </c>
      <c r="AH189">
        <v>4</v>
      </c>
      <c r="AI189">
        <v>4</v>
      </c>
      <c r="AJ189">
        <v>0</v>
      </c>
      <c r="AK189">
        <v>4</v>
      </c>
      <c r="AL189" t="s">
        <v>4037</v>
      </c>
      <c r="AM189" t="s">
        <v>92</v>
      </c>
      <c r="AN189" t="s">
        <v>4038</v>
      </c>
      <c r="AO189" t="s">
        <v>4039</v>
      </c>
      <c r="AP189" t="s">
        <v>4040</v>
      </c>
      <c r="AQ189" t="s">
        <v>74</v>
      </c>
      <c r="AR189" t="s">
        <v>4041</v>
      </c>
      <c r="AS189" t="s">
        <v>4042</v>
      </c>
      <c r="AT189" t="s">
        <v>3298</v>
      </c>
      <c r="AU189">
        <v>2018</v>
      </c>
      <c r="AV189">
        <v>58</v>
      </c>
      <c r="AW189">
        <v>3</v>
      </c>
      <c r="AX189" t="s">
        <v>74</v>
      </c>
      <c r="AY189" t="s">
        <v>74</v>
      </c>
      <c r="AZ189" t="s">
        <v>74</v>
      </c>
      <c r="BA189" t="s">
        <v>74</v>
      </c>
      <c r="BB189">
        <v>447</v>
      </c>
      <c r="BC189">
        <v>458</v>
      </c>
      <c r="BD189" t="s">
        <v>74</v>
      </c>
      <c r="BE189" t="s">
        <v>4060</v>
      </c>
      <c r="BF189" t="str">
        <f>HYPERLINK("http://dx.doi.org/10.1134/S0001437018030177","http://dx.doi.org/10.1134/S0001437018030177")</f>
        <v>http://dx.doi.org/10.1134/S0001437018030177</v>
      </c>
      <c r="BG189" t="s">
        <v>74</v>
      </c>
      <c r="BH189" t="s">
        <v>74</v>
      </c>
      <c r="BI189">
        <v>12</v>
      </c>
      <c r="BJ189" t="s">
        <v>364</v>
      </c>
      <c r="BK189" t="s">
        <v>101</v>
      </c>
      <c r="BL189" t="s">
        <v>364</v>
      </c>
      <c r="BM189" t="s">
        <v>4044</v>
      </c>
      <c r="BN189" t="s">
        <v>74</v>
      </c>
      <c r="BO189" t="s">
        <v>74</v>
      </c>
      <c r="BP189" t="s">
        <v>74</v>
      </c>
      <c r="BQ189" t="s">
        <v>74</v>
      </c>
      <c r="BR189" t="s">
        <v>105</v>
      </c>
      <c r="BS189" t="s">
        <v>4061</v>
      </c>
      <c r="BT189" t="str">
        <f>HYPERLINK("https%3A%2F%2Fwww.webofscience.com%2Fwos%2Fwoscc%2Ffull-record%2FWOS:000439176200012","View Full Record in Web of Science")</f>
        <v>View Full Record in Web of Science</v>
      </c>
    </row>
    <row r="190" spans="1:72" x14ac:dyDescent="0.15">
      <c r="A190" t="s">
        <v>72</v>
      </c>
      <c r="B190" t="s">
        <v>4062</v>
      </c>
      <c r="C190" t="s">
        <v>74</v>
      </c>
      <c r="D190" t="s">
        <v>74</v>
      </c>
      <c r="E190" t="s">
        <v>74</v>
      </c>
      <c r="F190" t="s">
        <v>4063</v>
      </c>
      <c r="G190" t="s">
        <v>74</v>
      </c>
      <c r="H190" t="s">
        <v>74</v>
      </c>
      <c r="I190" t="s">
        <v>4064</v>
      </c>
      <c r="J190" t="s">
        <v>4065</v>
      </c>
      <c r="K190" t="s">
        <v>74</v>
      </c>
      <c r="L190" t="s">
        <v>74</v>
      </c>
      <c r="M190" t="s">
        <v>78</v>
      </c>
      <c r="N190" t="s">
        <v>79</v>
      </c>
      <c r="O190" t="s">
        <v>74</v>
      </c>
      <c r="P190" t="s">
        <v>74</v>
      </c>
      <c r="Q190" t="s">
        <v>74</v>
      </c>
      <c r="R190" t="s">
        <v>74</v>
      </c>
      <c r="S190" t="s">
        <v>74</v>
      </c>
      <c r="T190" t="s">
        <v>4066</v>
      </c>
      <c r="U190" t="s">
        <v>4067</v>
      </c>
      <c r="V190" t="s">
        <v>4068</v>
      </c>
      <c r="W190" t="s">
        <v>4069</v>
      </c>
      <c r="X190" t="s">
        <v>4070</v>
      </c>
      <c r="Y190" t="s">
        <v>4071</v>
      </c>
      <c r="Z190" t="s">
        <v>4072</v>
      </c>
      <c r="AA190" t="s">
        <v>4073</v>
      </c>
      <c r="AB190" t="s">
        <v>4074</v>
      </c>
      <c r="AC190" t="s">
        <v>4075</v>
      </c>
      <c r="AD190" t="s">
        <v>4076</v>
      </c>
      <c r="AE190" t="s">
        <v>4077</v>
      </c>
      <c r="AF190" t="s">
        <v>74</v>
      </c>
      <c r="AG190">
        <v>97</v>
      </c>
      <c r="AH190">
        <v>21</v>
      </c>
      <c r="AI190">
        <v>22</v>
      </c>
      <c r="AJ190">
        <v>1</v>
      </c>
      <c r="AK190">
        <v>20</v>
      </c>
      <c r="AL190" t="s">
        <v>574</v>
      </c>
      <c r="AM190" t="s">
        <v>575</v>
      </c>
      <c r="AN190" t="s">
        <v>576</v>
      </c>
      <c r="AO190" t="s">
        <v>4078</v>
      </c>
      <c r="AP190" t="s">
        <v>4079</v>
      </c>
      <c r="AQ190" t="s">
        <v>74</v>
      </c>
      <c r="AR190" t="s">
        <v>4080</v>
      </c>
      <c r="AS190" t="s">
        <v>4081</v>
      </c>
      <c r="AT190" t="s">
        <v>3298</v>
      </c>
      <c r="AU190">
        <v>2018</v>
      </c>
      <c r="AV190">
        <v>32</v>
      </c>
      <c r="AW190">
        <v>5</v>
      </c>
      <c r="AX190" t="s">
        <v>74</v>
      </c>
      <c r="AY190" t="s">
        <v>74</v>
      </c>
      <c r="AZ190" t="s">
        <v>74</v>
      </c>
      <c r="BA190" t="s">
        <v>74</v>
      </c>
      <c r="BB190">
        <v>752</v>
      </c>
      <c r="BC190">
        <v>768</v>
      </c>
      <c r="BD190" t="s">
        <v>74</v>
      </c>
      <c r="BE190" t="s">
        <v>4082</v>
      </c>
      <c r="BF190" t="str">
        <f>HYPERLINK("http://dx.doi.org/10.1029/2017GB005816","http://dx.doi.org/10.1029/2017GB005816")</f>
        <v>http://dx.doi.org/10.1029/2017GB005816</v>
      </c>
      <c r="BG190" t="s">
        <v>74</v>
      </c>
      <c r="BH190" t="s">
        <v>74</v>
      </c>
      <c r="BI190">
        <v>17</v>
      </c>
      <c r="BJ190" t="s">
        <v>4083</v>
      </c>
      <c r="BK190" t="s">
        <v>101</v>
      </c>
      <c r="BL190" t="s">
        <v>4084</v>
      </c>
      <c r="BM190" t="s">
        <v>4085</v>
      </c>
      <c r="BN190" t="s">
        <v>74</v>
      </c>
      <c r="BO190" t="s">
        <v>162</v>
      </c>
      <c r="BP190" t="s">
        <v>74</v>
      </c>
      <c r="BQ190" t="s">
        <v>74</v>
      </c>
      <c r="BR190" t="s">
        <v>105</v>
      </c>
      <c r="BS190" t="s">
        <v>4086</v>
      </c>
      <c r="BT190" t="str">
        <f>HYPERLINK("https%3A%2F%2Fwww.webofscience.com%2Fwos%2Fwoscc%2Ffull-record%2FWOS:000434413500002","View Full Record in Web of Science")</f>
        <v>View Full Record in Web of Science</v>
      </c>
    </row>
    <row r="191" spans="1:72" x14ac:dyDescent="0.15">
      <c r="A191" t="s">
        <v>72</v>
      </c>
      <c r="B191" t="s">
        <v>4087</v>
      </c>
      <c r="C191" t="s">
        <v>74</v>
      </c>
      <c r="D191" t="s">
        <v>74</v>
      </c>
      <c r="E191" t="s">
        <v>74</v>
      </c>
      <c r="F191" t="s">
        <v>4088</v>
      </c>
      <c r="G191" t="s">
        <v>74</v>
      </c>
      <c r="H191" t="s">
        <v>74</v>
      </c>
      <c r="I191" t="s">
        <v>4089</v>
      </c>
      <c r="J191" t="s">
        <v>4090</v>
      </c>
      <c r="K191" t="s">
        <v>74</v>
      </c>
      <c r="L191" t="s">
        <v>74</v>
      </c>
      <c r="M191" t="s">
        <v>78</v>
      </c>
      <c r="N191" t="s">
        <v>79</v>
      </c>
      <c r="O191" t="s">
        <v>74</v>
      </c>
      <c r="P191" t="s">
        <v>74</v>
      </c>
      <c r="Q191" t="s">
        <v>74</v>
      </c>
      <c r="R191" t="s">
        <v>74</v>
      </c>
      <c r="S191" t="s">
        <v>74</v>
      </c>
      <c r="T191" t="s">
        <v>4091</v>
      </c>
      <c r="U191" t="s">
        <v>4092</v>
      </c>
      <c r="V191" t="s">
        <v>4093</v>
      </c>
      <c r="W191" t="s">
        <v>4094</v>
      </c>
      <c r="X191" t="s">
        <v>4095</v>
      </c>
      <c r="Y191" t="s">
        <v>4096</v>
      </c>
      <c r="Z191" t="s">
        <v>4097</v>
      </c>
      <c r="AA191" t="s">
        <v>74</v>
      </c>
      <c r="AB191" t="s">
        <v>4098</v>
      </c>
      <c r="AC191" t="s">
        <v>74</v>
      </c>
      <c r="AD191" t="s">
        <v>74</v>
      </c>
      <c r="AE191" t="s">
        <v>74</v>
      </c>
      <c r="AF191" t="s">
        <v>74</v>
      </c>
      <c r="AG191">
        <v>60</v>
      </c>
      <c r="AH191">
        <v>7</v>
      </c>
      <c r="AI191">
        <v>7</v>
      </c>
      <c r="AJ191">
        <v>2</v>
      </c>
      <c r="AK191">
        <v>7</v>
      </c>
      <c r="AL191" t="s">
        <v>4099</v>
      </c>
      <c r="AM191" t="s">
        <v>4100</v>
      </c>
      <c r="AN191" t="s">
        <v>4101</v>
      </c>
      <c r="AO191" t="s">
        <v>4102</v>
      </c>
      <c r="AP191" t="s">
        <v>4103</v>
      </c>
      <c r="AQ191" t="s">
        <v>74</v>
      </c>
      <c r="AR191" t="s">
        <v>4104</v>
      </c>
      <c r="AS191" t="s">
        <v>4105</v>
      </c>
      <c r="AT191" t="s">
        <v>3298</v>
      </c>
      <c r="AU191">
        <v>2018</v>
      </c>
      <c r="AV191">
        <v>221</v>
      </c>
      <c r="AW191">
        <v>9</v>
      </c>
      <c r="AX191" t="s">
        <v>74</v>
      </c>
      <c r="AY191" t="s">
        <v>74</v>
      </c>
      <c r="AZ191" t="s">
        <v>74</v>
      </c>
      <c r="BA191" t="s">
        <v>74</v>
      </c>
      <c r="BB191" t="s">
        <v>74</v>
      </c>
      <c r="BC191" t="s">
        <v>74</v>
      </c>
      <c r="BD191" t="s">
        <v>4106</v>
      </c>
      <c r="BE191" t="s">
        <v>4107</v>
      </c>
      <c r="BF191" t="str">
        <f>HYPERLINK("http://dx.doi.org/10.1242/jeb.174482","http://dx.doi.org/10.1242/jeb.174482")</f>
        <v>http://dx.doi.org/10.1242/jeb.174482</v>
      </c>
      <c r="BG191" t="s">
        <v>74</v>
      </c>
      <c r="BH191" t="s">
        <v>74</v>
      </c>
      <c r="BI191">
        <v>13</v>
      </c>
      <c r="BJ191" t="s">
        <v>4108</v>
      </c>
      <c r="BK191" t="s">
        <v>101</v>
      </c>
      <c r="BL191" t="s">
        <v>4109</v>
      </c>
      <c r="BM191" t="s">
        <v>4110</v>
      </c>
      <c r="BN191">
        <v>29593082</v>
      </c>
      <c r="BO191" t="s">
        <v>341</v>
      </c>
      <c r="BP191" t="s">
        <v>74</v>
      </c>
      <c r="BQ191" t="s">
        <v>74</v>
      </c>
      <c r="BR191" t="s">
        <v>105</v>
      </c>
      <c r="BS191" t="s">
        <v>4111</v>
      </c>
      <c r="BT191" t="str">
        <f>HYPERLINK("https%3A%2F%2Fwww.webofscience.com%2Fwos%2Fwoscc%2Ffull-record%2FWOS:000438911800013","View Full Record in Web of Science")</f>
        <v>View Full Record in Web of Science</v>
      </c>
    </row>
    <row r="192" spans="1:72" x14ac:dyDescent="0.15">
      <c r="A192" t="s">
        <v>72</v>
      </c>
      <c r="B192" t="s">
        <v>4112</v>
      </c>
      <c r="C192" t="s">
        <v>74</v>
      </c>
      <c r="D192" t="s">
        <v>74</v>
      </c>
      <c r="E192" t="s">
        <v>74</v>
      </c>
      <c r="F192" t="s">
        <v>4113</v>
      </c>
      <c r="G192" t="s">
        <v>74</v>
      </c>
      <c r="H192" t="s">
        <v>74</v>
      </c>
      <c r="I192" t="s">
        <v>4114</v>
      </c>
      <c r="J192" t="s">
        <v>4115</v>
      </c>
      <c r="K192" t="s">
        <v>74</v>
      </c>
      <c r="L192" t="s">
        <v>74</v>
      </c>
      <c r="M192" t="s">
        <v>78</v>
      </c>
      <c r="N192" t="s">
        <v>999</v>
      </c>
      <c r="O192" t="s">
        <v>74</v>
      </c>
      <c r="P192" t="s">
        <v>74</v>
      </c>
      <c r="Q192" t="s">
        <v>74</v>
      </c>
      <c r="R192" t="s">
        <v>74</v>
      </c>
      <c r="S192" t="s">
        <v>74</v>
      </c>
      <c r="T192" t="s">
        <v>74</v>
      </c>
      <c r="U192" t="s">
        <v>74</v>
      </c>
      <c r="V192" t="s">
        <v>74</v>
      </c>
      <c r="W192" t="s">
        <v>4116</v>
      </c>
      <c r="X192" t="s">
        <v>4117</v>
      </c>
      <c r="Y192" t="s">
        <v>4118</v>
      </c>
      <c r="Z192" t="s">
        <v>4119</v>
      </c>
      <c r="AA192" t="s">
        <v>4120</v>
      </c>
      <c r="AB192" t="s">
        <v>4121</v>
      </c>
      <c r="AC192" t="s">
        <v>74</v>
      </c>
      <c r="AD192" t="s">
        <v>74</v>
      </c>
      <c r="AE192" t="s">
        <v>74</v>
      </c>
      <c r="AF192" t="s">
        <v>74</v>
      </c>
      <c r="AG192">
        <v>2</v>
      </c>
      <c r="AH192">
        <v>1</v>
      </c>
      <c r="AI192">
        <v>1</v>
      </c>
      <c r="AJ192">
        <v>1</v>
      </c>
      <c r="AK192">
        <v>4</v>
      </c>
      <c r="AL192" t="s">
        <v>3595</v>
      </c>
      <c r="AM192" t="s">
        <v>3596</v>
      </c>
      <c r="AN192" t="s">
        <v>3597</v>
      </c>
      <c r="AO192" t="s">
        <v>4122</v>
      </c>
      <c r="AP192" t="s">
        <v>4123</v>
      </c>
      <c r="AQ192" t="s">
        <v>74</v>
      </c>
      <c r="AR192" t="s">
        <v>4124</v>
      </c>
      <c r="AS192" t="s">
        <v>4125</v>
      </c>
      <c r="AT192" t="s">
        <v>3298</v>
      </c>
      <c r="AU192">
        <v>2018</v>
      </c>
      <c r="AV192">
        <v>48</v>
      </c>
      <c r="AW192">
        <v>5</v>
      </c>
      <c r="AX192" t="s">
        <v>74</v>
      </c>
      <c r="AY192" t="s">
        <v>74</v>
      </c>
      <c r="AZ192" t="s">
        <v>74</v>
      </c>
      <c r="BA192" t="s">
        <v>74</v>
      </c>
      <c r="BB192">
        <v>1231</v>
      </c>
      <c r="BC192">
        <v>1232</v>
      </c>
      <c r="BD192" t="s">
        <v>74</v>
      </c>
      <c r="BE192" t="s">
        <v>4126</v>
      </c>
      <c r="BF192" t="str">
        <f>HYPERLINK("http://dx.doi.org/10.1175/JPO-D-17-0276.1","http://dx.doi.org/10.1175/JPO-D-17-0276.1")</f>
        <v>http://dx.doi.org/10.1175/JPO-D-17-0276.1</v>
      </c>
      <c r="BG192" t="s">
        <v>74</v>
      </c>
      <c r="BH192" t="s">
        <v>74</v>
      </c>
      <c r="BI192">
        <v>2</v>
      </c>
      <c r="BJ192" t="s">
        <v>364</v>
      </c>
      <c r="BK192" t="s">
        <v>101</v>
      </c>
      <c r="BL192" t="s">
        <v>364</v>
      </c>
      <c r="BM192" t="s">
        <v>4127</v>
      </c>
      <c r="BN192" t="s">
        <v>74</v>
      </c>
      <c r="BO192" t="s">
        <v>162</v>
      </c>
      <c r="BP192" t="s">
        <v>74</v>
      </c>
      <c r="BQ192" t="s">
        <v>74</v>
      </c>
      <c r="BR192" t="s">
        <v>105</v>
      </c>
      <c r="BS192" t="s">
        <v>4128</v>
      </c>
      <c r="BT192" t="str">
        <f>HYPERLINK("https%3A%2F%2Fwww.webofscience.com%2Fwos%2Fwoscc%2Ffull-record%2FWOS:000437214700013","View Full Record in Web of Science")</f>
        <v>View Full Record in Web of Science</v>
      </c>
    </row>
    <row r="193" spans="1:72" x14ac:dyDescent="0.15">
      <c r="A193" t="s">
        <v>72</v>
      </c>
      <c r="B193" t="s">
        <v>4129</v>
      </c>
      <c r="C193" t="s">
        <v>74</v>
      </c>
      <c r="D193" t="s">
        <v>74</v>
      </c>
      <c r="E193" t="s">
        <v>74</v>
      </c>
      <c r="F193" t="s">
        <v>4130</v>
      </c>
      <c r="G193" t="s">
        <v>74</v>
      </c>
      <c r="H193" t="s">
        <v>74</v>
      </c>
      <c r="I193" t="s">
        <v>4131</v>
      </c>
      <c r="J193" t="s">
        <v>4132</v>
      </c>
      <c r="K193" t="s">
        <v>74</v>
      </c>
      <c r="L193" t="s">
        <v>74</v>
      </c>
      <c r="M193" t="s">
        <v>78</v>
      </c>
      <c r="N193" t="s">
        <v>79</v>
      </c>
      <c r="O193" t="s">
        <v>74</v>
      </c>
      <c r="P193" t="s">
        <v>74</v>
      </c>
      <c r="Q193" t="s">
        <v>74</v>
      </c>
      <c r="R193" t="s">
        <v>74</v>
      </c>
      <c r="S193" t="s">
        <v>74</v>
      </c>
      <c r="T193" t="s">
        <v>4133</v>
      </c>
      <c r="U193" t="s">
        <v>4134</v>
      </c>
      <c r="V193" t="s">
        <v>4135</v>
      </c>
      <c r="W193" t="s">
        <v>4136</v>
      </c>
      <c r="X193" t="s">
        <v>4137</v>
      </c>
      <c r="Y193" t="s">
        <v>4138</v>
      </c>
      <c r="Z193" t="s">
        <v>4139</v>
      </c>
      <c r="AA193" t="s">
        <v>74</v>
      </c>
      <c r="AB193" t="s">
        <v>4140</v>
      </c>
      <c r="AC193" t="s">
        <v>4141</v>
      </c>
      <c r="AD193" t="s">
        <v>4142</v>
      </c>
      <c r="AE193" t="s">
        <v>4143</v>
      </c>
      <c r="AF193" t="s">
        <v>74</v>
      </c>
      <c r="AG193">
        <v>105</v>
      </c>
      <c r="AH193">
        <v>10</v>
      </c>
      <c r="AI193">
        <v>11</v>
      </c>
      <c r="AJ193">
        <v>5</v>
      </c>
      <c r="AK193">
        <v>58</v>
      </c>
      <c r="AL193" t="s">
        <v>574</v>
      </c>
      <c r="AM193" t="s">
        <v>575</v>
      </c>
      <c r="AN193" t="s">
        <v>576</v>
      </c>
      <c r="AO193" t="s">
        <v>4144</v>
      </c>
      <c r="AP193" t="s">
        <v>74</v>
      </c>
      <c r="AQ193" t="s">
        <v>74</v>
      </c>
      <c r="AR193" t="s">
        <v>4145</v>
      </c>
      <c r="AS193" t="s">
        <v>4146</v>
      </c>
      <c r="AT193" t="s">
        <v>3298</v>
      </c>
      <c r="AU193">
        <v>2018</v>
      </c>
      <c r="AV193">
        <v>19</v>
      </c>
      <c r="AW193">
        <v>5</v>
      </c>
      <c r="AX193" t="s">
        <v>74</v>
      </c>
      <c r="AY193" t="s">
        <v>74</v>
      </c>
      <c r="AZ193" t="s">
        <v>74</v>
      </c>
      <c r="BA193" t="s">
        <v>74</v>
      </c>
      <c r="BB193">
        <v>1447</v>
      </c>
      <c r="BC193">
        <v>1463</v>
      </c>
      <c r="BD193" t="s">
        <v>74</v>
      </c>
      <c r="BE193" t="s">
        <v>4147</v>
      </c>
      <c r="BF193" t="str">
        <f>HYPERLINK("http://dx.doi.org/10.1029/2017GC007377","http://dx.doi.org/10.1029/2017GC007377")</f>
        <v>http://dx.doi.org/10.1029/2017GC007377</v>
      </c>
      <c r="BG193" t="s">
        <v>74</v>
      </c>
      <c r="BH193" t="s">
        <v>74</v>
      </c>
      <c r="BI193">
        <v>17</v>
      </c>
      <c r="BJ193" t="s">
        <v>260</v>
      </c>
      <c r="BK193" t="s">
        <v>101</v>
      </c>
      <c r="BL193" t="s">
        <v>260</v>
      </c>
      <c r="BM193" t="s">
        <v>4148</v>
      </c>
      <c r="BN193" t="s">
        <v>74</v>
      </c>
      <c r="BO193" t="s">
        <v>4149</v>
      </c>
      <c r="BP193" t="s">
        <v>74</v>
      </c>
      <c r="BQ193" t="s">
        <v>74</v>
      </c>
      <c r="BR193" t="s">
        <v>105</v>
      </c>
      <c r="BS193" t="s">
        <v>4150</v>
      </c>
      <c r="BT193" t="str">
        <f>HYPERLINK("https%3A%2F%2Fwww.webofscience.com%2Fwos%2Fwoscc%2Ffull-record%2FWOS:000436542200003","View Full Record in Web of Science")</f>
        <v>View Full Record in Web of Science</v>
      </c>
    </row>
    <row r="194" spans="1:72" x14ac:dyDescent="0.15">
      <c r="A194" t="s">
        <v>72</v>
      </c>
      <c r="B194" t="s">
        <v>4151</v>
      </c>
      <c r="C194" t="s">
        <v>74</v>
      </c>
      <c r="D194" t="s">
        <v>74</v>
      </c>
      <c r="E194" t="s">
        <v>74</v>
      </c>
      <c r="F194" t="s">
        <v>4152</v>
      </c>
      <c r="G194" t="s">
        <v>74</v>
      </c>
      <c r="H194" t="s">
        <v>74</v>
      </c>
      <c r="I194" t="s">
        <v>4153</v>
      </c>
      <c r="J194" t="s">
        <v>4132</v>
      </c>
      <c r="K194" t="s">
        <v>74</v>
      </c>
      <c r="L194" t="s">
        <v>74</v>
      </c>
      <c r="M194" t="s">
        <v>78</v>
      </c>
      <c r="N194" t="s">
        <v>79</v>
      </c>
      <c r="O194" t="s">
        <v>74</v>
      </c>
      <c r="P194" t="s">
        <v>74</v>
      </c>
      <c r="Q194" t="s">
        <v>74</v>
      </c>
      <c r="R194" t="s">
        <v>74</v>
      </c>
      <c r="S194" t="s">
        <v>74</v>
      </c>
      <c r="T194" t="s">
        <v>4154</v>
      </c>
      <c r="U194" t="s">
        <v>4155</v>
      </c>
      <c r="V194" t="s">
        <v>4156</v>
      </c>
      <c r="W194" t="s">
        <v>4157</v>
      </c>
      <c r="X194" t="s">
        <v>4158</v>
      </c>
      <c r="Y194" t="s">
        <v>4159</v>
      </c>
      <c r="Z194" t="s">
        <v>4160</v>
      </c>
      <c r="AA194" t="s">
        <v>4161</v>
      </c>
      <c r="AB194" t="s">
        <v>4162</v>
      </c>
      <c r="AC194" t="s">
        <v>4163</v>
      </c>
      <c r="AD194" t="s">
        <v>4164</v>
      </c>
      <c r="AE194" t="s">
        <v>4165</v>
      </c>
      <c r="AF194" t="s">
        <v>74</v>
      </c>
      <c r="AG194">
        <v>225</v>
      </c>
      <c r="AH194">
        <v>20</v>
      </c>
      <c r="AI194">
        <v>22</v>
      </c>
      <c r="AJ194">
        <v>1</v>
      </c>
      <c r="AK194">
        <v>21</v>
      </c>
      <c r="AL194" t="s">
        <v>574</v>
      </c>
      <c r="AM194" t="s">
        <v>575</v>
      </c>
      <c r="AN194" t="s">
        <v>576</v>
      </c>
      <c r="AO194" t="s">
        <v>74</v>
      </c>
      <c r="AP194" t="s">
        <v>4144</v>
      </c>
      <c r="AQ194" t="s">
        <v>74</v>
      </c>
      <c r="AR194" t="s">
        <v>4145</v>
      </c>
      <c r="AS194" t="s">
        <v>4146</v>
      </c>
      <c r="AT194" t="s">
        <v>3298</v>
      </c>
      <c r="AU194">
        <v>2018</v>
      </c>
      <c r="AV194">
        <v>19</v>
      </c>
      <c r="AW194">
        <v>5</v>
      </c>
      <c r="AX194" t="s">
        <v>74</v>
      </c>
      <c r="AY194" t="s">
        <v>74</v>
      </c>
      <c r="AZ194" t="s">
        <v>74</v>
      </c>
      <c r="BA194" t="s">
        <v>74</v>
      </c>
      <c r="BB194">
        <v>1559</v>
      </c>
      <c r="BC194">
        <v>1580</v>
      </c>
      <c r="BD194" t="s">
        <v>74</v>
      </c>
      <c r="BE194" t="s">
        <v>4166</v>
      </c>
      <c r="BF194" t="str">
        <f>HYPERLINK("http://dx.doi.org/10.1029/2017GC007271","http://dx.doi.org/10.1029/2017GC007271")</f>
        <v>http://dx.doi.org/10.1029/2017GC007271</v>
      </c>
      <c r="BG194" t="s">
        <v>74</v>
      </c>
      <c r="BH194" t="s">
        <v>74</v>
      </c>
      <c r="BI194">
        <v>22</v>
      </c>
      <c r="BJ194" t="s">
        <v>260</v>
      </c>
      <c r="BK194" t="s">
        <v>101</v>
      </c>
      <c r="BL194" t="s">
        <v>260</v>
      </c>
      <c r="BM194" t="s">
        <v>4148</v>
      </c>
      <c r="BN194" t="s">
        <v>74</v>
      </c>
      <c r="BO194" t="s">
        <v>4167</v>
      </c>
      <c r="BP194" t="s">
        <v>74</v>
      </c>
      <c r="BQ194" t="s">
        <v>74</v>
      </c>
      <c r="BR194" t="s">
        <v>105</v>
      </c>
      <c r="BS194" t="s">
        <v>4168</v>
      </c>
      <c r="BT194" t="str">
        <f>HYPERLINK("https%3A%2F%2Fwww.webofscience.com%2Fwos%2Fwoscc%2Ffull-record%2FWOS:000436542200009","View Full Record in Web of Science")</f>
        <v>View Full Record in Web of Science</v>
      </c>
    </row>
    <row r="195" spans="1:72" x14ac:dyDescent="0.15">
      <c r="A195" t="s">
        <v>72</v>
      </c>
      <c r="B195" t="s">
        <v>4169</v>
      </c>
      <c r="C195" t="s">
        <v>74</v>
      </c>
      <c r="D195" t="s">
        <v>74</v>
      </c>
      <c r="E195" t="s">
        <v>74</v>
      </c>
      <c r="F195" t="s">
        <v>4170</v>
      </c>
      <c r="G195" t="s">
        <v>74</v>
      </c>
      <c r="H195" t="s">
        <v>74</v>
      </c>
      <c r="I195" t="s">
        <v>4171</v>
      </c>
      <c r="J195" t="s">
        <v>3656</v>
      </c>
      <c r="K195" t="s">
        <v>74</v>
      </c>
      <c r="L195" t="s">
        <v>74</v>
      </c>
      <c r="M195" t="s">
        <v>78</v>
      </c>
      <c r="N195" t="s">
        <v>79</v>
      </c>
      <c r="O195" t="s">
        <v>74</v>
      </c>
      <c r="P195" t="s">
        <v>74</v>
      </c>
      <c r="Q195" t="s">
        <v>74</v>
      </c>
      <c r="R195" t="s">
        <v>74</v>
      </c>
      <c r="S195" t="s">
        <v>74</v>
      </c>
      <c r="T195" t="s">
        <v>4172</v>
      </c>
      <c r="U195" t="s">
        <v>4173</v>
      </c>
      <c r="V195" t="s">
        <v>4174</v>
      </c>
      <c r="W195" t="s">
        <v>4175</v>
      </c>
      <c r="X195" t="s">
        <v>4176</v>
      </c>
      <c r="Y195" t="s">
        <v>4177</v>
      </c>
      <c r="Z195" t="s">
        <v>4178</v>
      </c>
      <c r="AA195" t="s">
        <v>4179</v>
      </c>
      <c r="AB195" t="s">
        <v>4180</v>
      </c>
      <c r="AC195" t="s">
        <v>4181</v>
      </c>
      <c r="AD195" t="s">
        <v>4182</v>
      </c>
      <c r="AE195" t="s">
        <v>4183</v>
      </c>
      <c r="AF195" t="s">
        <v>74</v>
      </c>
      <c r="AG195">
        <v>121</v>
      </c>
      <c r="AH195">
        <v>27</v>
      </c>
      <c r="AI195">
        <v>30</v>
      </c>
      <c r="AJ195">
        <v>0</v>
      </c>
      <c r="AK195">
        <v>25</v>
      </c>
      <c r="AL195" t="s">
        <v>574</v>
      </c>
      <c r="AM195" t="s">
        <v>575</v>
      </c>
      <c r="AN195" t="s">
        <v>576</v>
      </c>
      <c r="AO195" t="s">
        <v>3669</v>
      </c>
      <c r="AP195" t="s">
        <v>3670</v>
      </c>
      <c r="AQ195" t="s">
        <v>74</v>
      </c>
      <c r="AR195" t="s">
        <v>3671</v>
      </c>
      <c r="AS195" t="s">
        <v>3672</v>
      </c>
      <c r="AT195" t="s">
        <v>3298</v>
      </c>
      <c r="AU195">
        <v>2018</v>
      </c>
      <c r="AV195">
        <v>123</v>
      </c>
      <c r="AW195">
        <v>5</v>
      </c>
      <c r="AX195" t="s">
        <v>74</v>
      </c>
      <c r="AY195" t="s">
        <v>74</v>
      </c>
      <c r="AZ195" t="s">
        <v>74</v>
      </c>
      <c r="BA195" t="s">
        <v>74</v>
      </c>
      <c r="BB195">
        <v>3120</v>
      </c>
      <c r="BC195">
        <v>3143</v>
      </c>
      <c r="BD195" t="s">
        <v>74</v>
      </c>
      <c r="BE195" t="s">
        <v>4184</v>
      </c>
      <c r="BF195" t="str">
        <f>HYPERLINK("http://dx.doi.org/10.1002/2017JC013461","http://dx.doi.org/10.1002/2017JC013461")</f>
        <v>http://dx.doi.org/10.1002/2017JC013461</v>
      </c>
      <c r="BG195" t="s">
        <v>74</v>
      </c>
      <c r="BH195" t="s">
        <v>74</v>
      </c>
      <c r="BI195">
        <v>24</v>
      </c>
      <c r="BJ195" t="s">
        <v>364</v>
      </c>
      <c r="BK195" t="s">
        <v>101</v>
      </c>
      <c r="BL195" t="s">
        <v>364</v>
      </c>
      <c r="BM195" t="s">
        <v>3674</v>
      </c>
      <c r="BN195" t="s">
        <v>74</v>
      </c>
      <c r="BO195" t="s">
        <v>4185</v>
      </c>
      <c r="BP195" t="s">
        <v>74</v>
      </c>
      <c r="BQ195" t="s">
        <v>74</v>
      </c>
      <c r="BR195" t="s">
        <v>105</v>
      </c>
      <c r="BS195" t="s">
        <v>4186</v>
      </c>
      <c r="BT195" t="str">
        <f>HYPERLINK("https%3A%2F%2Fwww.webofscience.com%2Fwos%2Fwoscc%2Ffull-record%2FWOS:000436111400001","View Full Record in Web of Science")</f>
        <v>View Full Record in Web of Science</v>
      </c>
    </row>
    <row r="196" spans="1:72" x14ac:dyDescent="0.15">
      <c r="A196" t="s">
        <v>72</v>
      </c>
      <c r="B196" t="s">
        <v>4187</v>
      </c>
      <c r="C196" t="s">
        <v>74</v>
      </c>
      <c r="D196" t="s">
        <v>74</v>
      </c>
      <c r="E196" t="s">
        <v>74</v>
      </c>
      <c r="F196" t="s">
        <v>4188</v>
      </c>
      <c r="G196" t="s">
        <v>74</v>
      </c>
      <c r="H196" t="s">
        <v>74</v>
      </c>
      <c r="I196" t="s">
        <v>4189</v>
      </c>
      <c r="J196" t="s">
        <v>3656</v>
      </c>
      <c r="K196" t="s">
        <v>74</v>
      </c>
      <c r="L196" t="s">
        <v>74</v>
      </c>
      <c r="M196" t="s">
        <v>78</v>
      </c>
      <c r="N196" t="s">
        <v>79</v>
      </c>
      <c r="O196" t="s">
        <v>74</v>
      </c>
      <c r="P196" t="s">
        <v>74</v>
      </c>
      <c r="Q196" t="s">
        <v>74</v>
      </c>
      <c r="R196" t="s">
        <v>74</v>
      </c>
      <c r="S196" t="s">
        <v>74</v>
      </c>
      <c r="T196" t="s">
        <v>4190</v>
      </c>
      <c r="U196" t="s">
        <v>4191</v>
      </c>
      <c r="V196" t="s">
        <v>4192</v>
      </c>
      <c r="W196" t="s">
        <v>4193</v>
      </c>
      <c r="X196" t="s">
        <v>4194</v>
      </c>
      <c r="Y196" t="s">
        <v>4195</v>
      </c>
      <c r="Z196" t="s">
        <v>4196</v>
      </c>
      <c r="AA196" t="s">
        <v>4197</v>
      </c>
      <c r="AB196" t="s">
        <v>4198</v>
      </c>
      <c r="AC196" t="s">
        <v>4199</v>
      </c>
      <c r="AD196" t="s">
        <v>4200</v>
      </c>
      <c r="AE196" t="s">
        <v>4201</v>
      </c>
      <c r="AF196" t="s">
        <v>74</v>
      </c>
      <c r="AG196">
        <v>58</v>
      </c>
      <c r="AH196">
        <v>9</v>
      </c>
      <c r="AI196">
        <v>9</v>
      </c>
      <c r="AJ196">
        <v>0</v>
      </c>
      <c r="AK196">
        <v>2</v>
      </c>
      <c r="AL196" t="s">
        <v>574</v>
      </c>
      <c r="AM196" t="s">
        <v>575</v>
      </c>
      <c r="AN196" t="s">
        <v>576</v>
      </c>
      <c r="AO196" t="s">
        <v>3669</v>
      </c>
      <c r="AP196" t="s">
        <v>3670</v>
      </c>
      <c r="AQ196" t="s">
        <v>74</v>
      </c>
      <c r="AR196" t="s">
        <v>3671</v>
      </c>
      <c r="AS196" t="s">
        <v>3672</v>
      </c>
      <c r="AT196" t="s">
        <v>3298</v>
      </c>
      <c r="AU196">
        <v>2018</v>
      </c>
      <c r="AV196">
        <v>123</v>
      </c>
      <c r="AW196">
        <v>5</v>
      </c>
      <c r="AX196" t="s">
        <v>74</v>
      </c>
      <c r="AY196" t="s">
        <v>74</v>
      </c>
      <c r="AZ196" t="s">
        <v>74</v>
      </c>
      <c r="BA196" t="s">
        <v>74</v>
      </c>
      <c r="BB196">
        <v>3186</v>
      </c>
      <c r="BC196">
        <v>3203</v>
      </c>
      <c r="BD196" t="s">
        <v>74</v>
      </c>
      <c r="BE196" t="s">
        <v>4202</v>
      </c>
      <c r="BF196" t="str">
        <f>HYPERLINK("http://dx.doi.org/10.1002/2017JC013579","http://dx.doi.org/10.1002/2017JC013579")</f>
        <v>http://dx.doi.org/10.1002/2017JC013579</v>
      </c>
      <c r="BG196" t="s">
        <v>74</v>
      </c>
      <c r="BH196" t="s">
        <v>74</v>
      </c>
      <c r="BI196">
        <v>18</v>
      </c>
      <c r="BJ196" t="s">
        <v>364</v>
      </c>
      <c r="BK196" t="s">
        <v>101</v>
      </c>
      <c r="BL196" t="s">
        <v>364</v>
      </c>
      <c r="BM196" t="s">
        <v>3674</v>
      </c>
      <c r="BN196" t="s">
        <v>74</v>
      </c>
      <c r="BO196" t="s">
        <v>104</v>
      </c>
      <c r="BP196" t="s">
        <v>74</v>
      </c>
      <c r="BQ196" t="s">
        <v>74</v>
      </c>
      <c r="BR196" t="s">
        <v>105</v>
      </c>
      <c r="BS196" t="s">
        <v>4203</v>
      </c>
      <c r="BT196" t="str">
        <f>HYPERLINK("https%3A%2F%2Fwww.webofscience.com%2Fwos%2Fwoscc%2Ffull-record%2FWOS:000436111400004","View Full Record in Web of Science")</f>
        <v>View Full Record in Web of Science</v>
      </c>
    </row>
    <row r="197" spans="1:72" x14ac:dyDescent="0.15">
      <c r="A197" t="s">
        <v>72</v>
      </c>
      <c r="B197" t="s">
        <v>4204</v>
      </c>
      <c r="C197" t="s">
        <v>74</v>
      </c>
      <c r="D197" t="s">
        <v>74</v>
      </c>
      <c r="E197" t="s">
        <v>74</v>
      </c>
      <c r="F197" t="s">
        <v>4205</v>
      </c>
      <c r="G197" t="s">
        <v>74</v>
      </c>
      <c r="H197" t="s">
        <v>74</v>
      </c>
      <c r="I197" t="s">
        <v>4206</v>
      </c>
      <c r="J197" t="s">
        <v>3656</v>
      </c>
      <c r="K197" t="s">
        <v>74</v>
      </c>
      <c r="L197" t="s">
        <v>74</v>
      </c>
      <c r="M197" t="s">
        <v>78</v>
      </c>
      <c r="N197" t="s">
        <v>79</v>
      </c>
      <c r="O197" t="s">
        <v>74</v>
      </c>
      <c r="P197" t="s">
        <v>74</v>
      </c>
      <c r="Q197" t="s">
        <v>74</v>
      </c>
      <c r="R197" t="s">
        <v>74</v>
      </c>
      <c r="S197" t="s">
        <v>74</v>
      </c>
      <c r="T197" t="s">
        <v>4207</v>
      </c>
      <c r="U197" t="s">
        <v>4208</v>
      </c>
      <c r="V197" t="s">
        <v>4209</v>
      </c>
      <c r="W197" t="s">
        <v>4210</v>
      </c>
      <c r="X197" t="s">
        <v>4211</v>
      </c>
      <c r="Y197" t="s">
        <v>4212</v>
      </c>
      <c r="Z197" t="s">
        <v>4213</v>
      </c>
      <c r="AA197" t="s">
        <v>4214</v>
      </c>
      <c r="AB197" t="s">
        <v>4215</v>
      </c>
      <c r="AC197" t="s">
        <v>4216</v>
      </c>
      <c r="AD197" t="s">
        <v>4217</v>
      </c>
      <c r="AE197" t="s">
        <v>4218</v>
      </c>
      <c r="AF197" t="s">
        <v>74</v>
      </c>
      <c r="AG197">
        <v>69</v>
      </c>
      <c r="AH197">
        <v>6</v>
      </c>
      <c r="AI197">
        <v>6</v>
      </c>
      <c r="AJ197">
        <v>1</v>
      </c>
      <c r="AK197">
        <v>17</v>
      </c>
      <c r="AL197" t="s">
        <v>574</v>
      </c>
      <c r="AM197" t="s">
        <v>575</v>
      </c>
      <c r="AN197" t="s">
        <v>576</v>
      </c>
      <c r="AO197" t="s">
        <v>3669</v>
      </c>
      <c r="AP197" t="s">
        <v>3670</v>
      </c>
      <c r="AQ197" t="s">
        <v>74</v>
      </c>
      <c r="AR197" t="s">
        <v>3671</v>
      </c>
      <c r="AS197" t="s">
        <v>3672</v>
      </c>
      <c r="AT197" t="s">
        <v>3298</v>
      </c>
      <c r="AU197">
        <v>2018</v>
      </c>
      <c r="AV197">
        <v>123</v>
      </c>
      <c r="AW197">
        <v>5</v>
      </c>
      <c r="AX197" t="s">
        <v>74</v>
      </c>
      <c r="AY197" t="s">
        <v>74</v>
      </c>
      <c r="AZ197" t="s">
        <v>74</v>
      </c>
      <c r="BA197" t="s">
        <v>74</v>
      </c>
      <c r="BB197">
        <v>3286</v>
      </c>
      <c r="BC197">
        <v>3306</v>
      </c>
      <c r="BD197" t="s">
        <v>74</v>
      </c>
      <c r="BE197" t="s">
        <v>4219</v>
      </c>
      <c r="BF197" t="str">
        <f>HYPERLINK("http://dx.doi.org/10.1002/2017JC013521","http://dx.doi.org/10.1002/2017JC013521")</f>
        <v>http://dx.doi.org/10.1002/2017JC013521</v>
      </c>
      <c r="BG197" t="s">
        <v>74</v>
      </c>
      <c r="BH197" t="s">
        <v>74</v>
      </c>
      <c r="BI197">
        <v>21</v>
      </c>
      <c r="BJ197" t="s">
        <v>364</v>
      </c>
      <c r="BK197" t="s">
        <v>101</v>
      </c>
      <c r="BL197" t="s">
        <v>364</v>
      </c>
      <c r="BM197" t="s">
        <v>3674</v>
      </c>
      <c r="BN197" t="s">
        <v>74</v>
      </c>
      <c r="BO197" t="s">
        <v>980</v>
      </c>
      <c r="BP197" t="s">
        <v>74</v>
      </c>
      <c r="BQ197" t="s">
        <v>74</v>
      </c>
      <c r="BR197" t="s">
        <v>105</v>
      </c>
      <c r="BS197" t="s">
        <v>4220</v>
      </c>
      <c r="BT197" t="str">
        <f>HYPERLINK("https%3A%2F%2Fwww.webofscience.com%2Fwos%2Fwoscc%2Ffull-record%2FWOS:000436111400009","View Full Record in Web of Science")</f>
        <v>View Full Record in Web of Science</v>
      </c>
    </row>
    <row r="198" spans="1:72" x14ac:dyDescent="0.15">
      <c r="A198" t="s">
        <v>72</v>
      </c>
      <c r="B198" t="s">
        <v>4221</v>
      </c>
      <c r="C198" t="s">
        <v>74</v>
      </c>
      <c r="D198" t="s">
        <v>74</v>
      </c>
      <c r="E198" t="s">
        <v>74</v>
      </c>
      <c r="F198" t="s">
        <v>4222</v>
      </c>
      <c r="G198" t="s">
        <v>74</v>
      </c>
      <c r="H198" t="s">
        <v>74</v>
      </c>
      <c r="I198" t="s">
        <v>4223</v>
      </c>
      <c r="J198" t="s">
        <v>3656</v>
      </c>
      <c r="K198" t="s">
        <v>74</v>
      </c>
      <c r="L198" t="s">
        <v>74</v>
      </c>
      <c r="M198" t="s">
        <v>78</v>
      </c>
      <c r="N198" t="s">
        <v>79</v>
      </c>
      <c r="O198" t="s">
        <v>74</v>
      </c>
      <c r="P198" t="s">
        <v>74</v>
      </c>
      <c r="Q198" t="s">
        <v>74</v>
      </c>
      <c r="R198" t="s">
        <v>74</v>
      </c>
      <c r="S198" t="s">
        <v>74</v>
      </c>
      <c r="T198" t="s">
        <v>74</v>
      </c>
      <c r="U198" t="s">
        <v>4224</v>
      </c>
      <c r="V198" t="s">
        <v>4225</v>
      </c>
      <c r="W198" t="s">
        <v>4226</v>
      </c>
      <c r="X198" t="s">
        <v>4227</v>
      </c>
      <c r="Y198" t="s">
        <v>4228</v>
      </c>
      <c r="Z198" t="s">
        <v>4229</v>
      </c>
      <c r="AA198" t="s">
        <v>4230</v>
      </c>
      <c r="AB198" t="s">
        <v>4231</v>
      </c>
      <c r="AC198" t="s">
        <v>4232</v>
      </c>
      <c r="AD198" t="s">
        <v>4233</v>
      </c>
      <c r="AE198" t="s">
        <v>4234</v>
      </c>
      <c r="AF198" t="s">
        <v>74</v>
      </c>
      <c r="AG198">
        <v>43</v>
      </c>
      <c r="AH198">
        <v>83</v>
      </c>
      <c r="AI198">
        <v>87</v>
      </c>
      <c r="AJ198">
        <v>2</v>
      </c>
      <c r="AK198">
        <v>10</v>
      </c>
      <c r="AL198" t="s">
        <v>574</v>
      </c>
      <c r="AM198" t="s">
        <v>575</v>
      </c>
      <c r="AN198" t="s">
        <v>576</v>
      </c>
      <c r="AO198" t="s">
        <v>3669</v>
      </c>
      <c r="AP198" t="s">
        <v>3670</v>
      </c>
      <c r="AQ198" t="s">
        <v>74</v>
      </c>
      <c r="AR198" t="s">
        <v>3671</v>
      </c>
      <c r="AS198" t="s">
        <v>3672</v>
      </c>
      <c r="AT198" t="s">
        <v>3298</v>
      </c>
      <c r="AU198">
        <v>2018</v>
      </c>
      <c r="AV198">
        <v>123</v>
      </c>
      <c r="AW198">
        <v>5</v>
      </c>
      <c r="AX198" t="s">
        <v>74</v>
      </c>
      <c r="AY198" t="s">
        <v>74</v>
      </c>
      <c r="AZ198" t="s">
        <v>74</v>
      </c>
      <c r="BA198" t="s">
        <v>74</v>
      </c>
      <c r="BB198">
        <v>3322</v>
      </c>
      <c r="BC198">
        <v>3335</v>
      </c>
      <c r="BD198" t="s">
        <v>74</v>
      </c>
      <c r="BE198" t="s">
        <v>4235</v>
      </c>
      <c r="BF198" t="str">
        <f>HYPERLINK("http://dx.doi.org/10.1002/2018JC013776","http://dx.doi.org/10.1002/2018JC013776")</f>
        <v>http://dx.doi.org/10.1002/2018JC013776</v>
      </c>
      <c r="BG198" t="s">
        <v>74</v>
      </c>
      <c r="BH198" t="s">
        <v>74</v>
      </c>
      <c r="BI198">
        <v>14</v>
      </c>
      <c r="BJ198" t="s">
        <v>364</v>
      </c>
      <c r="BK198" t="s">
        <v>101</v>
      </c>
      <c r="BL198" t="s">
        <v>364</v>
      </c>
      <c r="BM198" t="s">
        <v>3674</v>
      </c>
      <c r="BN198" t="s">
        <v>74</v>
      </c>
      <c r="BO198" t="s">
        <v>4167</v>
      </c>
      <c r="BP198" t="s">
        <v>74</v>
      </c>
      <c r="BQ198" t="s">
        <v>74</v>
      </c>
      <c r="BR198" t="s">
        <v>105</v>
      </c>
      <c r="BS198" t="s">
        <v>4236</v>
      </c>
      <c r="BT198" t="str">
        <f>HYPERLINK("https%3A%2F%2Fwww.webofscience.com%2Fwos%2Fwoscc%2Ffull-record%2FWOS:000436111400011","View Full Record in Web of Science")</f>
        <v>View Full Record in Web of Science</v>
      </c>
    </row>
    <row r="199" spans="1:72" x14ac:dyDescent="0.15">
      <c r="A199" t="s">
        <v>72</v>
      </c>
      <c r="B199" t="s">
        <v>4237</v>
      </c>
      <c r="C199" t="s">
        <v>74</v>
      </c>
      <c r="D199" t="s">
        <v>74</v>
      </c>
      <c r="E199" t="s">
        <v>74</v>
      </c>
      <c r="F199" t="s">
        <v>4238</v>
      </c>
      <c r="G199" t="s">
        <v>74</v>
      </c>
      <c r="H199" t="s">
        <v>74</v>
      </c>
      <c r="I199" t="s">
        <v>4239</v>
      </c>
      <c r="J199" t="s">
        <v>3656</v>
      </c>
      <c r="K199" t="s">
        <v>74</v>
      </c>
      <c r="L199" t="s">
        <v>74</v>
      </c>
      <c r="M199" t="s">
        <v>78</v>
      </c>
      <c r="N199" t="s">
        <v>79</v>
      </c>
      <c r="O199" t="s">
        <v>74</v>
      </c>
      <c r="P199" t="s">
        <v>74</v>
      </c>
      <c r="Q199" t="s">
        <v>74</v>
      </c>
      <c r="R199" t="s">
        <v>74</v>
      </c>
      <c r="S199" t="s">
        <v>74</v>
      </c>
      <c r="T199" t="s">
        <v>74</v>
      </c>
      <c r="U199" t="s">
        <v>4240</v>
      </c>
      <c r="V199" t="s">
        <v>4241</v>
      </c>
      <c r="W199" t="s">
        <v>4242</v>
      </c>
      <c r="X199" t="s">
        <v>4243</v>
      </c>
      <c r="Y199" t="s">
        <v>4244</v>
      </c>
      <c r="Z199" t="s">
        <v>4245</v>
      </c>
      <c r="AA199" t="s">
        <v>4246</v>
      </c>
      <c r="AB199" t="s">
        <v>4247</v>
      </c>
      <c r="AC199" t="s">
        <v>4248</v>
      </c>
      <c r="AD199" t="s">
        <v>4249</v>
      </c>
      <c r="AE199" t="s">
        <v>4250</v>
      </c>
      <c r="AF199" t="s">
        <v>74</v>
      </c>
      <c r="AG199">
        <v>89</v>
      </c>
      <c r="AH199">
        <v>5</v>
      </c>
      <c r="AI199">
        <v>5</v>
      </c>
      <c r="AJ199">
        <v>1</v>
      </c>
      <c r="AK199">
        <v>18</v>
      </c>
      <c r="AL199" t="s">
        <v>574</v>
      </c>
      <c r="AM199" t="s">
        <v>575</v>
      </c>
      <c r="AN199" t="s">
        <v>576</v>
      </c>
      <c r="AO199" t="s">
        <v>3669</v>
      </c>
      <c r="AP199" t="s">
        <v>3670</v>
      </c>
      <c r="AQ199" t="s">
        <v>74</v>
      </c>
      <c r="AR199" t="s">
        <v>3671</v>
      </c>
      <c r="AS199" t="s">
        <v>3672</v>
      </c>
      <c r="AT199" t="s">
        <v>3298</v>
      </c>
      <c r="AU199">
        <v>2018</v>
      </c>
      <c r="AV199">
        <v>123</v>
      </c>
      <c r="AW199">
        <v>5</v>
      </c>
      <c r="AX199" t="s">
        <v>74</v>
      </c>
      <c r="AY199" t="s">
        <v>74</v>
      </c>
      <c r="AZ199" t="s">
        <v>74</v>
      </c>
      <c r="BA199" t="s">
        <v>74</v>
      </c>
      <c r="BB199">
        <v>3355</v>
      </c>
      <c r="BC199">
        <v>3367</v>
      </c>
      <c r="BD199" t="s">
        <v>74</v>
      </c>
      <c r="BE199" t="s">
        <v>4251</v>
      </c>
      <c r="BF199" t="str">
        <f>HYPERLINK("http://dx.doi.org/10.1029/2018JC013884","http://dx.doi.org/10.1029/2018JC013884")</f>
        <v>http://dx.doi.org/10.1029/2018JC013884</v>
      </c>
      <c r="BG199" t="s">
        <v>74</v>
      </c>
      <c r="BH199" t="s">
        <v>74</v>
      </c>
      <c r="BI199">
        <v>13</v>
      </c>
      <c r="BJ199" t="s">
        <v>364</v>
      </c>
      <c r="BK199" t="s">
        <v>101</v>
      </c>
      <c r="BL199" t="s">
        <v>364</v>
      </c>
      <c r="BM199" t="s">
        <v>3674</v>
      </c>
      <c r="BN199" t="s">
        <v>74</v>
      </c>
      <c r="BO199" t="s">
        <v>4252</v>
      </c>
      <c r="BP199" t="s">
        <v>74</v>
      </c>
      <c r="BQ199" t="s">
        <v>74</v>
      </c>
      <c r="BR199" t="s">
        <v>105</v>
      </c>
      <c r="BS199" t="s">
        <v>4253</v>
      </c>
      <c r="BT199" t="str">
        <f>HYPERLINK("https%3A%2F%2Fwww.webofscience.com%2Fwos%2Fwoscc%2Ffull-record%2FWOS:000436111400013","View Full Record in Web of Science")</f>
        <v>View Full Record in Web of Science</v>
      </c>
    </row>
    <row r="200" spans="1:72" x14ac:dyDescent="0.15">
      <c r="A200" t="s">
        <v>72</v>
      </c>
      <c r="B200" t="s">
        <v>4254</v>
      </c>
      <c r="C200" t="s">
        <v>74</v>
      </c>
      <c r="D200" t="s">
        <v>74</v>
      </c>
      <c r="E200" t="s">
        <v>74</v>
      </c>
      <c r="F200" t="s">
        <v>4255</v>
      </c>
      <c r="G200" t="s">
        <v>74</v>
      </c>
      <c r="H200" t="s">
        <v>74</v>
      </c>
      <c r="I200" t="s">
        <v>4256</v>
      </c>
      <c r="J200" t="s">
        <v>3656</v>
      </c>
      <c r="K200" t="s">
        <v>74</v>
      </c>
      <c r="L200" t="s">
        <v>74</v>
      </c>
      <c r="M200" t="s">
        <v>78</v>
      </c>
      <c r="N200" t="s">
        <v>79</v>
      </c>
      <c r="O200" t="s">
        <v>74</v>
      </c>
      <c r="P200" t="s">
        <v>74</v>
      </c>
      <c r="Q200" t="s">
        <v>74</v>
      </c>
      <c r="R200" t="s">
        <v>74</v>
      </c>
      <c r="S200" t="s">
        <v>74</v>
      </c>
      <c r="T200" t="s">
        <v>74</v>
      </c>
      <c r="U200" t="s">
        <v>4257</v>
      </c>
      <c r="V200" t="s">
        <v>4258</v>
      </c>
      <c r="W200" t="s">
        <v>4259</v>
      </c>
      <c r="X200" t="s">
        <v>4260</v>
      </c>
      <c r="Y200" t="s">
        <v>4261</v>
      </c>
      <c r="Z200" t="s">
        <v>4262</v>
      </c>
      <c r="AA200" t="s">
        <v>4263</v>
      </c>
      <c r="AB200" t="s">
        <v>4264</v>
      </c>
      <c r="AC200" t="s">
        <v>4265</v>
      </c>
      <c r="AD200" t="s">
        <v>4266</v>
      </c>
      <c r="AE200" t="s">
        <v>4267</v>
      </c>
      <c r="AF200" t="s">
        <v>74</v>
      </c>
      <c r="AG200">
        <v>26</v>
      </c>
      <c r="AH200">
        <v>7</v>
      </c>
      <c r="AI200">
        <v>8</v>
      </c>
      <c r="AJ200">
        <v>0</v>
      </c>
      <c r="AK200">
        <v>8</v>
      </c>
      <c r="AL200" t="s">
        <v>574</v>
      </c>
      <c r="AM200" t="s">
        <v>575</v>
      </c>
      <c r="AN200" t="s">
        <v>576</v>
      </c>
      <c r="AO200" t="s">
        <v>3669</v>
      </c>
      <c r="AP200" t="s">
        <v>3670</v>
      </c>
      <c r="AQ200" t="s">
        <v>74</v>
      </c>
      <c r="AR200" t="s">
        <v>3671</v>
      </c>
      <c r="AS200" t="s">
        <v>3672</v>
      </c>
      <c r="AT200" t="s">
        <v>3298</v>
      </c>
      <c r="AU200">
        <v>2018</v>
      </c>
      <c r="AV200">
        <v>123</v>
      </c>
      <c r="AW200">
        <v>5</v>
      </c>
      <c r="AX200" t="s">
        <v>74</v>
      </c>
      <c r="AY200" t="s">
        <v>74</v>
      </c>
      <c r="AZ200" t="s">
        <v>74</v>
      </c>
      <c r="BA200" t="s">
        <v>74</v>
      </c>
      <c r="BB200">
        <v>3368</v>
      </c>
      <c r="BC200">
        <v>3385</v>
      </c>
      <c r="BD200" t="s">
        <v>74</v>
      </c>
      <c r="BE200" t="s">
        <v>4268</v>
      </c>
      <c r="BF200" t="str">
        <f>HYPERLINK("http://dx.doi.org/10.1029/2018JC013844","http://dx.doi.org/10.1029/2018JC013844")</f>
        <v>http://dx.doi.org/10.1029/2018JC013844</v>
      </c>
      <c r="BG200" t="s">
        <v>74</v>
      </c>
      <c r="BH200" t="s">
        <v>74</v>
      </c>
      <c r="BI200">
        <v>18</v>
      </c>
      <c r="BJ200" t="s">
        <v>364</v>
      </c>
      <c r="BK200" t="s">
        <v>101</v>
      </c>
      <c r="BL200" t="s">
        <v>364</v>
      </c>
      <c r="BM200" t="s">
        <v>3674</v>
      </c>
      <c r="BN200" t="s">
        <v>74</v>
      </c>
      <c r="BO200" t="s">
        <v>162</v>
      </c>
      <c r="BP200" t="s">
        <v>74</v>
      </c>
      <c r="BQ200" t="s">
        <v>74</v>
      </c>
      <c r="BR200" t="s">
        <v>105</v>
      </c>
      <c r="BS200" t="s">
        <v>4269</v>
      </c>
      <c r="BT200" t="str">
        <f>HYPERLINK("https%3A%2F%2Fwww.webofscience.com%2Fwos%2Fwoscc%2Ffull-record%2FWOS:000436111400014","View Full Record in Web of Science")</f>
        <v>View Full Record in Web of Science</v>
      </c>
    </row>
    <row r="201" spans="1:72" x14ac:dyDescent="0.15">
      <c r="A201" t="s">
        <v>72</v>
      </c>
      <c r="B201" t="s">
        <v>4270</v>
      </c>
      <c r="C201" t="s">
        <v>74</v>
      </c>
      <c r="D201" t="s">
        <v>74</v>
      </c>
      <c r="E201" t="s">
        <v>74</v>
      </c>
      <c r="F201" t="s">
        <v>4271</v>
      </c>
      <c r="G201" t="s">
        <v>74</v>
      </c>
      <c r="H201" t="s">
        <v>74</v>
      </c>
      <c r="I201" t="s">
        <v>4272</v>
      </c>
      <c r="J201" t="s">
        <v>3656</v>
      </c>
      <c r="K201" t="s">
        <v>74</v>
      </c>
      <c r="L201" t="s">
        <v>74</v>
      </c>
      <c r="M201" t="s">
        <v>78</v>
      </c>
      <c r="N201" t="s">
        <v>79</v>
      </c>
      <c r="O201" t="s">
        <v>74</v>
      </c>
      <c r="P201" t="s">
        <v>74</v>
      </c>
      <c r="Q201" t="s">
        <v>74</v>
      </c>
      <c r="R201" t="s">
        <v>74</v>
      </c>
      <c r="S201" t="s">
        <v>74</v>
      </c>
      <c r="T201" t="s">
        <v>74</v>
      </c>
      <c r="U201" t="s">
        <v>4273</v>
      </c>
      <c r="V201" t="s">
        <v>4274</v>
      </c>
      <c r="W201" t="s">
        <v>4275</v>
      </c>
      <c r="X201" t="s">
        <v>4276</v>
      </c>
      <c r="Y201" t="s">
        <v>4277</v>
      </c>
      <c r="Z201" t="s">
        <v>4278</v>
      </c>
      <c r="AA201" t="s">
        <v>4279</v>
      </c>
      <c r="AB201" t="s">
        <v>4280</v>
      </c>
      <c r="AC201" t="s">
        <v>4281</v>
      </c>
      <c r="AD201" t="s">
        <v>4282</v>
      </c>
      <c r="AE201" t="s">
        <v>4283</v>
      </c>
      <c r="AF201" t="s">
        <v>74</v>
      </c>
      <c r="AG201">
        <v>43</v>
      </c>
      <c r="AH201">
        <v>7</v>
      </c>
      <c r="AI201">
        <v>7</v>
      </c>
      <c r="AJ201">
        <v>0</v>
      </c>
      <c r="AK201">
        <v>8</v>
      </c>
      <c r="AL201" t="s">
        <v>574</v>
      </c>
      <c r="AM201" t="s">
        <v>575</v>
      </c>
      <c r="AN201" t="s">
        <v>576</v>
      </c>
      <c r="AO201" t="s">
        <v>3669</v>
      </c>
      <c r="AP201" t="s">
        <v>3670</v>
      </c>
      <c r="AQ201" t="s">
        <v>74</v>
      </c>
      <c r="AR201" t="s">
        <v>3671</v>
      </c>
      <c r="AS201" t="s">
        <v>3672</v>
      </c>
      <c r="AT201" t="s">
        <v>3298</v>
      </c>
      <c r="AU201">
        <v>2018</v>
      </c>
      <c r="AV201">
        <v>123</v>
      </c>
      <c r="AW201">
        <v>5</v>
      </c>
      <c r="AX201" t="s">
        <v>74</v>
      </c>
      <c r="AY201" t="s">
        <v>74</v>
      </c>
      <c r="AZ201" t="s">
        <v>74</v>
      </c>
      <c r="BA201" t="s">
        <v>74</v>
      </c>
      <c r="BB201">
        <v>3489</v>
      </c>
      <c r="BC201">
        <v>3506</v>
      </c>
      <c r="BD201" t="s">
        <v>74</v>
      </c>
      <c r="BE201" t="s">
        <v>4284</v>
      </c>
      <c r="BF201" t="str">
        <f>HYPERLINK("http://dx.doi.org/10.1029/2017JC013672","http://dx.doi.org/10.1029/2017JC013672")</f>
        <v>http://dx.doi.org/10.1029/2017JC013672</v>
      </c>
      <c r="BG201" t="s">
        <v>74</v>
      </c>
      <c r="BH201" t="s">
        <v>74</v>
      </c>
      <c r="BI201">
        <v>18</v>
      </c>
      <c r="BJ201" t="s">
        <v>364</v>
      </c>
      <c r="BK201" t="s">
        <v>101</v>
      </c>
      <c r="BL201" t="s">
        <v>364</v>
      </c>
      <c r="BM201" t="s">
        <v>3674</v>
      </c>
      <c r="BN201" t="s">
        <v>74</v>
      </c>
      <c r="BO201" t="s">
        <v>1802</v>
      </c>
      <c r="BP201" t="s">
        <v>74</v>
      </c>
      <c r="BQ201" t="s">
        <v>74</v>
      </c>
      <c r="BR201" t="s">
        <v>105</v>
      </c>
      <c r="BS201" t="s">
        <v>4285</v>
      </c>
      <c r="BT201" t="str">
        <f>HYPERLINK("https%3A%2F%2Fwww.webofscience.com%2Fwos%2Fwoscc%2Ffull-record%2FWOS:000436111400020","View Full Record in Web of Science")</f>
        <v>View Full Record in Web of Science</v>
      </c>
    </row>
    <row r="202" spans="1:72" x14ac:dyDescent="0.15">
      <c r="A202" t="s">
        <v>72</v>
      </c>
      <c r="B202" t="s">
        <v>4286</v>
      </c>
      <c r="C202" t="s">
        <v>74</v>
      </c>
      <c r="D202" t="s">
        <v>74</v>
      </c>
      <c r="E202" t="s">
        <v>74</v>
      </c>
      <c r="F202" t="s">
        <v>4287</v>
      </c>
      <c r="G202" t="s">
        <v>74</v>
      </c>
      <c r="H202" t="s">
        <v>74</v>
      </c>
      <c r="I202" t="s">
        <v>4288</v>
      </c>
      <c r="J202" t="s">
        <v>3656</v>
      </c>
      <c r="K202" t="s">
        <v>74</v>
      </c>
      <c r="L202" t="s">
        <v>74</v>
      </c>
      <c r="M202" t="s">
        <v>78</v>
      </c>
      <c r="N202" t="s">
        <v>79</v>
      </c>
      <c r="O202" t="s">
        <v>74</v>
      </c>
      <c r="P202" t="s">
        <v>74</v>
      </c>
      <c r="Q202" t="s">
        <v>74</v>
      </c>
      <c r="R202" t="s">
        <v>74</v>
      </c>
      <c r="S202" t="s">
        <v>74</v>
      </c>
      <c r="T202" t="s">
        <v>4289</v>
      </c>
      <c r="U202" t="s">
        <v>4290</v>
      </c>
      <c r="V202" t="s">
        <v>4291</v>
      </c>
      <c r="W202" t="s">
        <v>4292</v>
      </c>
      <c r="X202" t="s">
        <v>4293</v>
      </c>
      <c r="Y202" t="s">
        <v>4294</v>
      </c>
      <c r="Z202" t="s">
        <v>4295</v>
      </c>
      <c r="AA202" t="s">
        <v>4296</v>
      </c>
      <c r="AB202" t="s">
        <v>4297</v>
      </c>
      <c r="AC202" t="s">
        <v>4298</v>
      </c>
      <c r="AD202" t="s">
        <v>4299</v>
      </c>
      <c r="AE202" t="s">
        <v>4300</v>
      </c>
      <c r="AF202" t="s">
        <v>74</v>
      </c>
      <c r="AG202">
        <v>58</v>
      </c>
      <c r="AH202">
        <v>6</v>
      </c>
      <c r="AI202">
        <v>7</v>
      </c>
      <c r="AJ202">
        <v>2</v>
      </c>
      <c r="AK202">
        <v>15</v>
      </c>
      <c r="AL202" t="s">
        <v>574</v>
      </c>
      <c r="AM202" t="s">
        <v>575</v>
      </c>
      <c r="AN202" t="s">
        <v>576</v>
      </c>
      <c r="AO202" t="s">
        <v>3669</v>
      </c>
      <c r="AP202" t="s">
        <v>3670</v>
      </c>
      <c r="AQ202" t="s">
        <v>74</v>
      </c>
      <c r="AR202" t="s">
        <v>3671</v>
      </c>
      <c r="AS202" t="s">
        <v>3672</v>
      </c>
      <c r="AT202" t="s">
        <v>3298</v>
      </c>
      <c r="AU202">
        <v>2018</v>
      </c>
      <c r="AV202">
        <v>123</v>
      </c>
      <c r="AW202">
        <v>5</v>
      </c>
      <c r="AX202" t="s">
        <v>74</v>
      </c>
      <c r="AY202" t="s">
        <v>74</v>
      </c>
      <c r="AZ202" t="s">
        <v>74</v>
      </c>
      <c r="BA202" t="s">
        <v>74</v>
      </c>
      <c r="BB202">
        <v>3507</v>
      </c>
      <c r="BC202">
        <v>3522</v>
      </c>
      <c r="BD202" t="s">
        <v>74</v>
      </c>
      <c r="BE202" t="s">
        <v>4301</v>
      </c>
      <c r="BF202" t="str">
        <f>HYPERLINK("http://dx.doi.org/10.1029/2017JC013668","http://dx.doi.org/10.1029/2017JC013668")</f>
        <v>http://dx.doi.org/10.1029/2017JC013668</v>
      </c>
      <c r="BG202" t="s">
        <v>74</v>
      </c>
      <c r="BH202" t="s">
        <v>74</v>
      </c>
      <c r="BI202">
        <v>16</v>
      </c>
      <c r="BJ202" t="s">
        <v>364</v>
      </c>
      <c r="BK202" t="s">
        <v>101</v>
      </c>
      <c r="BL202" t="s">
        <v>364</v>
      </c>
      <c r="BM202" t="s">
        <v>3674</v>
      </c>
      <c r="BN202" t="s">
        <v>74</v>
      </c>
      <c r="BO202" t="s">
        <v>1316</v>
      </c>
      <c r="BP202" t="s">
        <v>74</v>
      </c>
      <c r="BQ202" t="s">
        <v>74</v>
      </c>
      <c r="BR202" t="s">
        <v>105</v>
      </c>
      <c r="BS202" t="s">
        <v>4302</v>
      </c>
      <c r="BT202" t="str">
        <f>HYPERLINK("https%3A%2F%2Fwww.webofscience.com%2Fwos%2Fwoscc%2Ffull-record%2FWOS:000436111400021","View Full Record in Web of Science")</f>
        <v>View Full Record in Web of Science</v>
      </c>
    </row>
    <row r="203" spans="1:72" x14ac:dyDescent="0.15">
      <c r="A203" t="s">
        <v>72</v>
      </c>
      <c r="B203" t="s">
        <v>4303</v>
      </c>
      <c r="C203" t="s">
        <v>74</v>
      </c>
      <c r="D203" t="s">
        <v>74</v>
      </c>
      <c r="E203" t="s">
        <v>74</v>
      </c>
      <c r="F203" t="s">
        <v>4304</v>
      </c>
      <c r="G203" t="s">
        <v>74</v>
      </c>
      <c r="H203" t="s">
        <v>74</v>
      </c>
      <c r="I203" t="s">
        <v>4305</v>
      </c>
      <c r="J203" t="s">
        <v>4306</v>
      </c>
      <c r="K203" t="s">
        <v>74</v>
      </c>
      <c r="L203" t="s">
        <v>74</v>
      </c>
      <c r="M203" t="s">
        <v>78</v>
      </c>
      <c r="N203" t="s">
        <v>79</v>
      </c>
      <c r="O203" t="s">
        <v>74</v>
      </c>
      <c r="P203" t="s">
        <v>74</v>
      </c>
      <c r="Q203" t="s">
        <v>74</v>
      </c>
      <c r="R203" t="s">
        <v>74</v>
      </c>
      <c r="S203" t="s">
        <v>74</v>
      </c>
      <c r="T203" t="s">
        <v>4307</v>
      </c>
      <c r="U203" t="s">
        <v>4308</v>
      </c>
      <c r="V203" t="s">
        <v>4309</v>
      </c>
      <c r="W203" t="s">
        <v>4310</v>
      </c>
      <c r="X203" t="s">
        <v>4311</v>
      </c>
      <c r="Y203" t="s">
        <v>4312</v>
      </c>
      <c r="Z203" t="s">
        <v>4313</v>
      </c>
      <c r="AA203" t="s">
        <v>74</v>
      </c>
      <c r="AB203" t="s">
        <v>4314</v>
      </c>
      <c r="AC203" t="s">
        <v>4315</v>
      </c>
      <c r="AD203" t="s">
        <v>4316</v>
      </c>
      <c r="AE203" t="s">
        <v>4317</v>
      </c>
      <c r="AF203" t="s">
        <v>74</v>
      </c>
      <c r="AG203">
        <v>93</v>
      </c>
      <c r="AH203">
        <v>9</v>
      </c>
      <c r="AI203">
        <v>10</v>
      </c>
      <c r="AJ203">
        <v>0</v>
      </c>
      <c r="AK203">
        <v>13</v>
      </c>
      <c r="AL203" t="s">
        <v>914</v>
      </c>
      <c r="AM203" t="s">
        <v>452</v>
      </c>
      <c r="AN203" t="s">
        <v>915</v>
      </c>
      <c r="AO203" t="s">
        <v>4318</v>
      </c>
      <c r="AP203" t="s">
        <v>4319</v>
      </c>
      <c r="AQ203" t="s">
        <v>74</v>
      </c>
      <c r="AR203" t="s">
        <v>4320</v>
      </c>
      <c r="AS203" t="s">
        <v>4321</v>
      </c>
      <c r="AT203" t="s">
        <v>3298</v>
      </c>
      <c r="AU203">
        <v>2018</v>
      </c>
      <c r="AV203">
        <v>141</v>
      </c>
      <c r="AW203" t="s">
        <v>74</v>
      </c>
      <c r="AX203" t="s">
        <v>74</v>
      </c>
      <c r="AY203" t="s">
        <v>74</v>
      </c>
      <c r="AZ203" t="s">
        <v>74</v>
      </c>
      <c r="BA203" t="s">
        <v>74</v>
      </c>
      <c r="BB203">
        <v>10</v>
      </c>
      <c r="BC203">
        <v>22</v>
      </c>
      <c r="BD203" t="s">
        <v>74</v>
      </c>
      <c r="BE203" t="s">
        <v>4322</v>
      </c>
      <c r="BF203" t="str">
        <f>HYPERLINK("http://dx.doi.org/10.1016/j.marmicro.2018.03.001","http://dx.doi.org/10.1016/j.marmicro.2018.03.001")</f>
        <v>http://dx.doi.org/10.1016/j.marmicro.2018.03.001</v>
      </c>
      <c r="BG203" t="s">
        <v>74</v>
      </c>
      <c r="BH203" t="s">
        <v>74</v>
      </c>
      <c r="BI203">
        <v>13</v>
      </c>
      <c r="BJ203" t="s">
        <v>4323</v>
      </c>
      <c r="BK203" t="s">
        <v>101</v>
      </c>
      <c r="BL203" t="s">
        <v>4323</v>
      </c>
      <c r="BM203" t="s">
        <v>4324</v>
      </c>
      <c r="BN203" t="s">
        <v>74</v>
      </c>
      <c r="BO203" t="s">
        <v>341</v>
      </c>
      <c r="BP203" t="s">
        <v>74</v>
      </c>
      <c r="BQ203" t="s">
        <v>74</v>
      </c>
      <c r="BR203" t="s">
        <v>105</v>
      </c>
      <c r="BS203" t="s">
        <v>4325</v>
      </c>
      <c r="BT203" t="str">
        <f>HYPERLINK("https%3A%2F%2Fwww.webofscience.com%2Fwos%2Fwoscc%2Ffull-record%2FWOS:000436915000002","View Full Record in Web of Science")</f>
        <v>View Full Record in Web of Science</v>
      </c>
    </row>
    <row r="204" spans="1:72" x14ac:dyDescent="0.15">
      <c r="A204" t="s">
        <v>72</v>
      </c>
      <c r="B204" t="s">
        <v>4326</v>
      </c>
      <c r="C204" t="s">
        <v>74</v>
      </c>
      <c r="D204" t="s">
        <v>74</v>
      </c>
      <c r="E204" t="s">
        <v>74</v>
      </c>
      <c r="F204" t="s">
        <v>4327</v>
      </c>
      <c r="G204" t="s">
        <v>74</v>
      </c>
      <c r="H204" t="s">
        <v>74</v>
      </c>
      <c r="I204" t="s">
        <v>4328</v>
      </c>
      <c r="J204" t="s">
        <v>561</v>
      </c>
      <c r="K204" t="s">
        <v>74</v>
      </c>
      <c r="L204" t="s">
        <v>74</v>
      </c>
      <c r="M204" t="s">
        <v>78</v>
      </c>
      <c r="N204" t="s">
        <v>79</v>
      </c>
      <c r="O204" t="s">
        <v>74</v>
      </c>
      <c r="P204" t="s">
        <v>74</v>
      </c>
      <c r="Q204" t="s">
        <v>74</v>
      </c>
      <c r="R204" t="s">
        <v>74</v>
      </c>
      <c r="S204" t="s">
        <v>74</v>
      </c>
      <c r="T204" t="s">
        <v>74</v>
      </c>
      <c r="U204" t="s">
        <v>4329</v>
      </c>
      <c r="V204" t="s">
        <v>4330</v>
      </c>
      <c r="W204" t="s">
        <v>4331</v>
      </c>
      <c r="X204" t="s">
        <v>4332</v>
      </c>
      <c r="Y204" t="s">
        <v>4333</v>
      </c>
      <c r="Z204" t="s">
        <v>4334</v>
      </c>
      <c r="AA204" t="s">
        <v>4335</v>
      </c>
      <c r="AB204" t="s">
        <v>4336</v>
      </c>
      <c r="AC204" t="s">
        <v>4337</v>
      </c>
      <c r="AD204" t="s">
        <v>4338</v>
      </c>
      <c r="AE204" t="s">
        <v>4339</v>
      </c>
      <c r="AF204" t="s">
        <v>74</v>
      </c>
      <c r="AG204">
        <v>177</v>
      </c>
      <c r="AH204">
        <v>19</v>
      </c>
      <c r="AI204">
        <v>19</v>
      </c>
      <c r="AJ204">
        <v>1</v>
      </c>
      <c r="AK204">
        <v>18</v>
      </c>
      <c r="AL204" t="s">
        <v>574</v>
      </c>
      <c r="AM204" t="s">
        <v>575</v>
      </c>
      <c r="AN204" t="s">
        <v>576</v>
      </c>
      <c r="AO204" t="s">
        <v>577</v>
      </c>
      <c r="AP204" t="s">
        <v>578</v>
      </c>
      <c r="AQ204" t="s">
        <v>74</v>
      </c>
      <c r="AR204" t="s">
        <v>579</v>
      </c>
      <c r="AS204" t="s">
        <v>580</v>
      </c>
      <c r="AT204" t="s">
        <v>3298</v>
      </c>
      <c r="AU204">
        <v>2018</v>
      </c>
      <c r="AV204">
        <v>123</v>
      </c>
      <c r="AW204">
        <v>5</v>
      </c>
      <c r="AX204" t="s">
        <v>74</v>
      </c>
      <c r="AY204" t="s">
        <v>74</v>
      </c>
      <c r="AZ204" t="s">
        <v>74</v>
      </c>
      <c r="BA204" t="s">
        <v>74</v>
      </c>
      <c r="BB204">
        <v>3646</v>
      </c>
      <c r="BC204">
        <v>3671</v>
      </c>
      <c r="BD204" t="s">
        <v>74</v>
      </c>
      <c r="BE204" t="s">
        <v>4340</v>
      </c>
      <c r="BF204" t="str">
        <f>HYPERLINK("http://dx.doi.org/10.1029/2017JA025002","http://dx.doi.org/10.1029/2017JA025002")</f>
        <v>http://dx.doi.org/10.1029/2017JA025002</v>
      </c>
      <c r="BG204" t="s">
        <v>74</v>
      </c>
      <c r="BH204" t="s">
        <v>74</v>
      </c>
      <c r="BI204">
        <v>26</v>
      </c>
      <c r="BJ204" t="s">
        <v>582</v>
      </c>
      <c r="BK204" t="s">
        <v>101</v>
      </c>
      <c r="BL204" t="s">
        <v>582</v>
      </c>
      <c r="BM204" t="s">
        <v>3692</v>
      </c>
      <c r="BN204" t="s">
        <v>74</v>
      </c>
      <c r="BO204" t="s">
        <v>4341</v>
      </c>
      <c r="BP204" t="s">
        <v>74</v>
      </c>
      <c r="BQ204" t="s">
        <v>74</v>
      </c>
      <c r="BR204" t="s">
        <v>105</v>
      </c>
      <c r="BS204" t="s">
        <v>4342</v>
      </c>
      <c r="BT204" t="str">
        <f>HYPERLINK("https%3A%2F%2Fwww.webofscience.com%2Fwos%2Fwoscc%2Ffull-record%2FWOS:000435943300025","View Full Record in Web of Science")</f>
        <v>View Full Record in Web of Science</v>
      </c>
    </row>
    <row r="205" spans="1:72" x14ac:dyDescent="0.15">
      <c r="A205" t="s">
        <v>72</v>
      </c>
      <c r="B205" t="s">
        <v>4343</v>
      </c>
      <c r="C205" t="s">
        <v>74</v>
      </c>
      <c r="D205" t="s">
        <v>74</v>
      </c>
      <c r="E205" t="s">
        <v>74</v>
      </c>
      <c r="F205" t="s">
        <v>4344</v>
      </c>
      <c r="G205" t="s">
        <v>74</v>
      </c>
      <c r="H205" t="s">
        <v>74</v>
      </c>
      <c r="I205" t="s">
        <v>4345</v>
      </c>
      <c r="J205" t="s">
        <v>561</v>
      </c>
      <c r="K205" t="s">
        <v>74</v>
      </c>
      <c r="L205" t="s">
        <v>74</v>
      </c>
      <c r="M205" t="s">
        <v>78</v>
      </c>
      <c r="N205" t="s">
        <v>79</v>
      </c>
      <c r="O205" t="s">
        <v>74</v>
      </c>
      <c r="P205" t="s">
        <v>74</v>
      </c>
      <c r="Q205" t="s">
        <v>74</v>
      </c>
      <c r="R205" t="s">
        <v>74</v>
      </c>
      <c r="S205" t="s">
        <v>74</v>
      </c>
      <c r="T205" t="s">
        <v>4346</v>
      </c>
      <c r="U205" t="s">
        <v>4347</v>
      </c>
      <c r="V205" t="s">
        <v>4348</v>
      </c>
      <c r="W205" t="s">
        <v>4349</v>
      </c>
      <c r="X205" t="s">
        <v>4350</v>
      </c>
      <c r="Y205" t="s">
        <v>4351</v>
      </c>
      <c r="Z205" t="s">
        <v>4352</v>
      </c>
      <c r="AA205" t="s">
        <v>74</v>
      </c>
      <c r="AB205" t="s">
        <v>4353</v>
      </c>
      <c r="AC205" t="s">
        <v>4354</v>
      </c>
      <c r="AD205" t="s">
        <v>4355</v>
      </c>
      <c r="AE205" t="s">
        <v>4356</v>
      </c>
      <c r="AF205" t="s">
        <v>74</v>
      </c>
      <c r="AG205">
        <v>49</v>
      </c>
      <c r="AH205">
        <v>0</v>
      </c>
      <c r="AI205">
        <v>0</v>
      </c>
      <c r="AJ205">
        <v>0</v>
      </c>
      <c r="AK205">
        <v>1</v>
      </c>
      <c r="AL205" t="s">
        <v>574</v>
      </c>
      <c r="AM205" t="s">
        <v>575</v>
      </c>
      <c r="AN205" t="s">
        <v>576</v>
      </c>
      <c r="AO205" t="s">
        <v>577</v>
      </c>
      <c r="AP205" t="s">
        <v>578</v>
      </c>
      <c r="AQ205" t="s">
        <v>74</v>
      </c>
      <c r="AR205" t="s">
        <v>579</v>
      </c>
      <c r="AS205" t="s">
        <v>580</v>
      </c>
      <c r="AT205" t="s">
        <v>3298</v>
      </c>
      <c r="AU205">
        <v>2018</v>
      </c>
      <c r="AV205">
        <v>123</v>
      </c>
      <c r="AW205">
        <v>5</v>
      </c>
      <c r="AX205" t="s">
        <v>74</v>
      </c>
      <c r="AY205" t="s">
        <v>74</v>
      </c>
      <c r="AZ205" t="s">
        <v>74</v>
      </c>
      <c r="BA205" t="s">
        <v>74</v>
      </c>
      <c r="BB205">
        <v>3955</v>
      </c>
      <c r="BC205">
        <v>3964</v>
      </c>
      <c r="BD205" t="s">
        <v>74</v>
      </c>
      <c r="BE205" t="s">
        <v>4357</v>
      </c>
      <c r="BF205" t="str">
        <f>HYPERLINK("http://dx.doi.org/10.1029/2017JA024912","http://dx.doi.org/10.1029/2017JA024912")</f>
        <v>http://dx.doi.org/10.1029/2017JA024912</v>
      </c>
      <c r="BG205" t="s">
        <v>74</v>
      </c>
      <c r="BH205" t="s">
        <v>74</v>
      </c>
      <c r="BI205">
        <v>10</v>
      </c>
      <c r="BJ205" t="s">
        <v>582</v>
      </c>
      <c r="BK205" t="s">
        <v>101</v>
      </c>
      <c r="BL205" t="s">
        <v>582</v>
      </c>
      <c r="BM205" t="s">
        <v>3692</v>
      </c>
      <c r="BN205" t="s">
        <v>74</v>
      </c>
      <c r="BO205" t="s">
        <v>74</v>
      </c>
      <c r="BP205" t="s">
        <v>74</v>
      </c>
      <c r="BQ205" t="s">
        <v>74</v>
      </c>
      <c r="BR205" t="s">
        <v>105</v>
      </c>
      <c r="BS205" t="s">
        <v>4358</v>
      </c>
      <c r="BT205" t="str">
        <f>HYPERLINK("https%3A%2F%2Fwww.webofscience.com%2Fwos%2Fwoscc%2Ffull-record%2FWOS:000435943300043","View Full Record in Web of Science")</f>
        <v>View Full Record in Web of Science</v>
      </c>
    </row>
    <row r="206" spans="1:72" x14ac:dyDescent="0.15">
      <c r="A206" t="s">
        <v>72</v>
      </c>
      <c r="B206" t="s">
        <v>4359</v>
      </c>
      <c r="C206" t="s">
        <v>74</v>
      </c>
      <c r="D206" t="s">
        <v>74</v>
      </c>
      <c r="E206" t="s">
        <v>74</v>
      </c>
      <c r="F206" t="s">
        <v>4360</v>
      </c>
      <c r="G206" t="s">
        <v>74</v>
      </c>
      <c r="H206" t="s">
        <v>74</v>
      </c>
      <c r="I206" t="s">
        <v>4361</v>
      </c>
      <c r="J206" t="s">
        <v>4362</v>
      </c>
      <c r="K206" t="s">
        <v>74</v>
      </c>
      <c r="L206" t="s">
        <v>74</v>
      </c>
      <c r="M206" t="s">
        <v>78</v>
      </c>
      <c r="N206" t="s">
        <v>466</v>
      </c>
      <c r="O206" t="s">
        <v>74</v>
      </c>
      <c r="P206" t="s">
        <v>74</v>
      </c>
      <c r="Q206" t="s">
        <v>74</v>
      </c>
      <c r="R206" t="s">
        <v>74</v>
      </c>
      <c r="S206" t="s">
        <v>74</v>
      </c>
      <c r="T206" t="s">
        <v>4363</v>
      </c>
      <c r="U206" t="s">
        <v>4364</v>
      </c>
      <c r="V206" t="s">
        <v>4365</v>
      </c>
      <c r="W206" t="s">
        <v>4366</v>
      </c>
      <c r="X206" t="s">
        <v>4367</v>
      </c>
      <c r="Y206" t="s">
        <v>4368</v>
      </c>
      <c r="Z206" t="s">
        <v>4369</v>
      </c>
      <c r="AA206" t="s">
        <v>4370</v>
      </c>
      <c r="AB206" t="s">
        <v>4371</v>
      </c>
      <c r="AC206" t="s">
        <v>4372</v>
      </c>
      <c r="AD206" t="s">
        <v>4373</v>
      </c>
      <c r="AE206" t="s">
        <v>4374</v>
      </c>
      <c r="AF206" t="s">
        <v>74</v>
      </c>
      <c r="AG206">
        <v>80</v>
      </c>
      <c r="AH206">
        <v>13</v>
      </c>
      <c r="AI206">
        <v>14</v>
      </c>
      <c r="AJ206">
        <v>0</v>
      </c>
      <c r="AK206">
        <v>10</v>
      </c>
      <c r="AL206" t="s">
        <v>4037</v>
      </c>
      <c r="AM206" t="s">
        <v>92</v>
      </c>
      <c r="AN206" t="s">
        <v>4038</v>
      </c>
      <c r="AO206" t="s">
        <v>4375</v>
      </c>
      <c r="AP206" t="s">
        <v>4376</v>
      </c>
      <c r="AQ206" t="s">
        <v>74</v>
      </c>
      <c r="AR206" t="s">
        <v>4377</v>
      </c>
      <c r="AS206" t="s">
        <v>4378</v>
      </c>
      <c r="AT206" t="s">
        <v>3298</v>
      </c>
      <c r="AU206">
        <v>2018</v>
      </c>
      <c r="AV206">
        <v>54</v>
      </c>
      <c r="AW206">
        <v>3</v>
      </c>
      <c r="AX206" t="s">
        <v>74</v>
      </c>
      <c r="AY206" t="s">
        <v>74</v>
      </c>
      <c r="AZ206" t="s">
        <v>74</v>
      </c>
      <c r="BA206" t="s">
        <v>74</v>
      </c>
      <c r="BB206">
        <v>242</v>
      </c>
      <c r="BC206">
        <v>256</v>
      </c>
      <c r="BD206" t="s">
        <v>74</v>
      </c>
      <c r="BE206" t="s">
        <v>4379</v>
      </c>
      <c r="BF206" t="str">
        <f>HYPERLINK("http://dx.doi.org/10.1134/S0001433818030088","http://dx.doi.org/10.1134/S0001433818030088")</f>
        <v>http://dx.doi.org/10.1134/S0001433818030088</v>
      </c>
      <c r="BG206" t="s">
        <v>74</v>
      </c>
      <c r="BH206" t="s">
        <v>74</v>
      </c>
      <c r="BI206">
        <v>15</v>
      </c>
      <c r="BJ206" t="s">
        <v>3871</v>
      </c>
      <c r="BK206" t="s">
        <v>101</v>
      </c>
      <c r="BL206" t="s">
        <v>3871</v>
      </c>
      <c r="BM206" t="s">
        <v>4380</v>
      </c>
      <c r="BN206" t="s">
        <v>74</v>
      </c>
      <c r="BO206" t="s">
        <v>74</v>
      </c>
      <c r="BP206" t="s">
        <v>74</v>
      </c>
      <c r="BQ206" t="s">
        <v>74</v>
      </c>
      <c r="BR206" t="s">
        <v>105</v>
      </c>
      <c r="BS206" t="s">
        <v>4381</v>
      </c>
      <c r="BT206" t="str">
        <f>HYPERLINK("https%3A%2F%2Fwww.webofscience.com%2Fwos%2Fwoscc%2Ffull-record%2FWOS:000435575500004","View Full Record in Web of Science")</f>
        <v>View Full Record in Web of Science</v>
      </c>
    </row>
    <row r="207" spans="1:72" x14ac:dyDescent="0.15">
      <c r="A207" t="s">
        <v>72</v>
      </c>
      <c r="B207" t="s">
        <v>4382</v>
      </c>
      <c r="C207" t="s">
        <v>74</v>
      </c>
      <c r="D207" t="s">
        <v>74</v>
      </c>
      <c r="E207" t="s">
        <v>74</v>
      </c>
      <c r="F207" t="s">
        <v>4383</v>
      </c>
      <c r="G207" t="s">
        <v>74</v>
      </c>
      <c r="H207" t="s">
        <v>74</v>
      </c>
      <c r="I207" t="s">
        <v>4384</v>
      </c>
      <c r="J207" t="s">
        <v>810</v>
      </c>
      <c r="K207" t="s">
        <v>74</v>
      </c>
      <c r="L207" t="s">
        <v>74</v>
      </c>
      <c r="M207" t="s">
        <v>78</v>
      </c>
      <c r="N207" t="s">
        <v>79</v>
      </c>
      <c r="O207" t="s">
        <v>74</v>
      </c>
      <c r="P207" t="s">
        <v>74</v>
      </c>
      <c r="Q207" t="s">
        <v>74</v>
      </c>
      <c r="R207" t="s">
        <v>74</v>
      </c>
      <c r="S207" t="s">
        <v>74</v>
      </c>
      <c r="T207" t="s">
        <v>4385</v>
      </c>
      <c r="U207" t="s">
        <v>4386</v>
      </c>
      <c r="V207" t="s">
        <v>4387</v>
      </c>
      <c r="W207" t="s">
        <v>4388</v>
      </c>
      <c r="X207" t="s">
        <v>4389</v>
      </c>
      <c r="Y207" t="s">
        <v>4390</v>
      </c>
      <c r="Z207" t="s">
        <v>4391</v>
      </c>
      <c r="AA207" t="s">
        <v>4392</v>
      </c>
      <c r="AB207" t="s">
        <v>4393</v>
      </c>
      <c r="AC207" t="s">
        <v>4394</v>
      </c>
      <c r="AD207" t="s">
        <v>4395</v>
      </c>
      <c r="AE207" t="s">
        <v>4396</v>
      </c>
      <c r="AF207" t="s">
        <v>74</v>
      </c>
      <c r="AG207">
        <v>43</v>
      </c>
      <c r="AH207">
        <v>3</v>
      </c>
      <c r="AI207">
        <v>4</v>
      </c>
      <c r="AJ207">
        <v>0</v>
      </c>
      <c r="AK207">
        <v>7</v>
      </c>
      <c r="AL207" t="s">
        <v>627</v>
      </c>
      <c r="AM207" t="s">
        <v>628</v>
      </c>
      <c r="AN207" t="s">
        <v>629</v>
      </c>
      <c r="AO207" t="s">
        <v>823</v>
      </c>
      <c r="AP207" t="s">
        <v>74</v>
      </c>
      <c r="AQ207" t="s">
        <v>74</v>
      </c>
      <c r="AR207" t="s">
        <v>824</v>
      </c>
      <c r="AS207" t="s">
        <v>825</v>
      </c>
      <c r="AT207" t="s">
        <v>3298</v>
      </c>
      <c r="AU207">
        <v>2018</v>
      </c>
      <c r="AV207">
        <v>10</v>
      </c>
      <c r="AW207">
        <v>5</v>
      </c>
      <c r="AX207" t="s">
        <v>74</v>
      </c>
      <c r="AY207" t="s">
        <v>74</v>
      </c>
      <c r="AZ207" t="s">
        <v>74</v>
      </c>
      <c r="BA207" t="s">
        <v>74</v>
      </c>
      <c r="BB207" t="s">
        <v>74</v>
      </c>
      <c r="BC207" t="s">
        <v>74</v>
      </c>
      <c r="BD207">
        <v>715</v>
      </c>
      <c r="BE207" t="s">
        <v>4397</v>
      </c>
      <c r="BF207" t="str">
        <f>HYPERLINK("http://dx.doi.org/10.3390/rs10050715","http://dx.doi.org/10.3390/rs10050715")</f>
        <v>http://dx.doi.org/10.3390/rs10050715</v>
      </c>
      <c r="BG207" t="s">
        <v>74</v>
      </c>
      <c r="BH207" t="s">
        <v>74</v>
      </c>
      <c r="BI207">
        <v>18</v>
      </c>
      <c r="BJ207" t="s">
        <v>827</v>
      </c>
      <c r="BK207" t="s">
        <v>101</v>
      </c>
      <c r="BL207" t="s">
        <v>828</v>
      </c>
      <c r="BM207" t="s">
        <v>4398</v>
      </c>
      <c r="BN207" t="s">
        <v>74</v>
      </c>
      <c r="BO207" t="s">
        <v>2233</v>
      </c>
      <c r="BP207" t="s">
        <v>74</v>
      </c>
      <c r="BQ207" t="s">
        <v>74</v>
      </c>
      <c r="BR207" t="s">
        <v>105</v>
      </c>
      <c r="BS207" t="s">
        <v>4399</v>
      </c>
      <c r="BT207" t="str">
        <f>HYPERLINK("https%3A%2F%2Fwww.webofscience.com%2Fwos%2Fwoscc%2Ffull-record%2FWOS:000435198400057","View Full Record in Web of Science")</f>
        <v>View Full Record in Web of Science</v>
      </c>
    </row>
    <row r="208" spans="1:72" x14ac:dyDescent="0.15">
      <c r="A208" t="s">
        <v>72</v>
      </c>
      <c r="B208" t="s">
        <v>4400</v>
      </c>
      <c r="C208" t="s">
        <v>74</v>
      </c>
      <c r="D208" t="s">
        <v>74</v>
      </c>
      <c r="E208" t="s">
        <v>74</v>
      </c>
      <c r="F208" t="s">
        <v>4401</v>
      </c>
      <c r="G208" t="s">
        <v>74</v>
      </c>
      <c r="H208" t="s">
        <v>74</v>
      </c>
      <c r="I208" t="s">
        <v>4402</v>
      </c>
      <c r="J208" t="s">
        <v>4403</v>
      </c>
      <c r="K208" t="s">
        <v>74</v>
      </c>
      <c r="L208" t="s">
        <v>74</v>
      </c>
      <c r="M208" t="s">
        <v>78</v>
      </c>
      <c r="N208" t="s">
        <v>79</v>
      </c>
      <c r="O208" t="s">
        <v>74</v>
      </c>
      <c r="P208" t="s">
        <v>74</v>
      </c>
      <c r="Q208" t="s">
        <v>74</v>
      </c>
      <c r="R208" t="s">
        <v>74</v>
      </c>
      <c r="S208" t="s">
        <v>74</v>
      </c>
      <c r="T208" t="s">
        <v>74</v>
      </c>
      <c r="U208" t="s">
        <v>74</v>
      </c>
      <c r="V208" t="s">
        <v>4404</v>
      </c>
      <c r="W208" t="s">
        <v>4405</v>
      </c>
      <c r="X208" t="s">
        <v>4406</v>
      </c>
      <c r="Y208" t="s">
        <v>4407</v>
      </c>
      <c r="Z208" t="s">
        <v>4408</v>
      </c>
      <c r="AA208" t="s">
        <v>4409</v>
      </c>
      <c r="AB208" t="s">
        <v>4410</v>
      </c>
      <c r="AC208" t="s">
        <v>4411</v>
      </c>
      <c r="AD208" t="s">
        <v>4412</v>
      </c>
      <c r="AE208" t="s">
        <v>4413</v>
      </c>
      <c r="AF208" t="s">
        <v>74</v>
      </c>
      <c r="AG208">
        <v>10</v>
      </c>
      <c r="AH208">
        <v>1</v>
      </c>
      <c r="AI208">
        <v>1</v>
      </c>
      <c r="AJ208">
        <v>0</v>
      </c>
      <c r="AK208">
        <v>3</v>
      </c>
      <c r="AL208" t="s">
        <v>4037</v>
      </c>
      <c r="AM208" t="s">
        <v>92</v>
      </c>
      <c r="AN208" t="s">
        <v>4038</v>
      </c>
      <c r="AO208" t="s">
        <v>4414</v>
      </c>
      <c r="AP208" t="s">
        <v>4415</v>
      </c>
      <c r="AQ208" t="s">
        <v>74</v>
      </c>
      <c r="AR208" t="s">
        <v>4416</v>
      </c>
      <c r="AS208" t="s">
        <v>4417</v>
      </c>
      <c r="AT208" t="s">
        <v>3298</v>
      </c>
      <c r="AU208">
        <v>2018</v>
      </c>
      <c r="AV208">
        <v>480</v>
      </c>
      <c r="AW208">
        <v>1</v>
      </c>
      <c r="AX208" t="s">
        <v>74</v>
      </c>
      <c r="AY208" t="s">
        <v>74</v>
      </c>
      <c r="AZ208" t="s">
        <v>74</v>
      </c>
      <c r="BA208" t="s">
        <v>74</v>
      </c>
      <c r="BB208">
        <v>685</v>
      </c>
      <c r="BC208">
        <v>688</v>
      </c>
      <c r="BD208" t="s">
        <v>74</v>
      </c>
      <c r="BE208" t="s">
        <v>4418</v>
      </c>
      <c r="BF208" t="str">
        <f>HYPERLINK("http://dx.doi.org/10.1134/S1028334X18050318","http://dx.doi.org/10.1134/S1028334X18050318")</f>
        <v>http://dx.doi.org/10.1134/S1028334X18050318</v>
      </c>
      <c r="BG208" t="s">
        <v>74</v>
      </c>
      <c r="BH208" t="s">
        <v>74</v>
      </c>
      <c r="BI208">
        <v>4</v>
      </c>
      <c r="BJ208" t="s">
        <v>1243</v>
      </c>
      <c r="BK208" t="s">
        <v>101</v>
      </c>
      <c r="BL208" t="s">
        <v>1181</v>
      </c>
      <c r="BM208" t="s">
        <v>4419</v>
      </c>
      <c r="BN208" t="s">
        <v>74</v>
      </c>
      <c r="BO208" t="s">
        <v>74</v>
      </c>
      <c r="BP208" t="s">
        <v>74</v>
      </c>
      <c r="BQ208" t="s">
        <v>74</v>
      </c>
      <c r="BR208" t="s">
        <v>105</v>
      </c>
      <c r="BS208" t="s">
        <v>4420</v>
      </c>
      <c r="BT208" t="str">
        <f>HYPERLINK("https%3A%2F%2Fwww.webofscience.com%2Fwos%2Fwoscc%2Ffull-record%2FWOS:000435361200031","View Full Record in Web of Science")</f>
        <v>View Full Record in Web of Science</v>
      </c>
    </row>
    <row r="209" spans="1:72" x14ac:dyDescent="0.15">
      <c r="A209" t="s">
        <v>72</v>
      </c>
      <c r="B209" t="s">
        <v>4421</v>
      </c>
      <c r="C209" t="s">
        <v>74</v>
      </c>
      <c r="D209" t="s">
        <v>74</v>
      </c>
      <c r="E209" t="s">
        <v>74</v>
      </c>
      <c r="F209" t="s">
        <v>4422</v>
      </c>
      <c r="G209" t="s">
        <v>74</v>
      </c>
      <c r="H209" t="s">
        <v>74</v>
      </c>
      <c r="I209" t="s">
        <v>4423</v>
      </c>
      <c r="J209" t="s">
        <v>4424</v>
      </c>
      <c r="K209" t="s">
        <v>74</v>
      </c>
      <c r="L209" t="s">
        <v>74</v>
      </c>
      <c r="M209" t="s">
        <v>78</v>
      </c>
      <c r="N209" t="s">
        <v>79</v>
      </c>
      <c r="O209" t="s">
        <v>74</v>
      </c>
      <c r="P209" t="s">
        <v>74</v>
      </c>
      <c r="Q209" t="s">
        <v>74</v>
      </c>
      <c r="R209" t="s">
        <v>74</v>
      </c>
      <c r="S209" t="s">
        <v>74</v>
      </c>
      <c r="T209" t="s">
        <v>4425</v>
      </c>
      <c r="U209" t="s">
        <v>4426</v>
      </c>
      <c r="V209" t="s">
        <v>4427</v>
      </c>
      <c r="W209" t="s">
        <v>4428</v>
      </c>
      <c r="X209" t="s">
        <v>4429</v>
      </c>
      <c r="Y209" t="s">
        <v>4430</v>
      </c>
      <c r="Z209" t="s">
        <v>4431</v>
      </c>
      <c r="AA209" t="s">
        <v>74</v>
      </c>
      <c r="AB209" t="s">
        <v>4432</v>
      </c>
      <c r="AC209" t="s">
        <v>4433</v>
      </c>
      <c r="AD209" t="s">
        <v>4434</v>
      </c>
      <c r="AE209" t="s">
        <v>4435</v>
      </c>
      <c r="AF209" t="s">
        <v>74</v>
      </c>
      <c r="AG209">
        <v>55</v>
      </c>
      <c r="AH209">
        <v>9</v>
      </c>
      <c r="AI209">
        <v>11</v>
      </c>
      <c r="AJ209">
        <v>2</v>
      </c>
      <c r="AK209">
        <v>25</v>
      </c>
      <c r="AL209" t="s">
        <v>3485</v>
      </c>
      <c r="AM209" t="s">
        <v>1540</v>
      </c>
      <c r="AN209" t="s">
        <v>3486</v>
      </c>
      <c r="AO209" t="s">
        <v>4436</v>
      </c>
      <c r="AP209" t="s">
        <v>4437</v>
      </c>
      <c r="AQ209" t="s">
        <v>74</v>
      </c>
      <c r="AR209" t="s">
        <v>4438</v>
      </c>
      <c r="AS209" t="s">
        <v>4439</v>
      </c>
      <c r="AT209" t="s">
        <v>3556</v>
      </c>
      <c r="AU209">
        <v>2018</v>
      </c>
      <c r="AV209">
        <v>11</v>
      </c>
      <c r="AW209">
        <v>2</v>
      </c>
      <c r="AX209" t="s">
        <v>74</v>
      </c>
      <c r="AY209" t="s">
        <v>74</v>
      </c>
      <c r="AZ209" t="s">
        <v>74</v>
      </c>
      <c r="BA209" t="s">
        <v>74</v>
      </c>
      <c r="BB209">
        <v>89</v>
      </c>
      <c r="BC209">
        <v>99</v>
      </c>
      <c r="BD209" t="s">
        <v>74</v>
      </c>
      <c r="BE209" t="s">
        <v>4440</v>
      </c>
      <c r="BF209" t="str">
        <f>HYPERLINK("http://dx.doi.org/10.3184/175815618X15179180488510","http://dx.doi.org/10.3184/175815618X15179180488510")</f>
        <v>http://dx.doi.org/10.3184/175815618X15179180488510</v>
      </c>
      <c r="BG209" t="s">
        <v>74</v>
      </c>
      <c r="BH209" t="s">
        <v>74</v>
      </c>
      <c r="BI209">
        <v>11</v>
      </c>
      <c r="BJ209" t="s">
        <v>4441</v>
      </c>
      <c r="BK209" t="s">
        <v>101</v>
      </c>
      <c r="BL209" t="s">
        <v>4442</v>
      </c>
      <c r="BM209" t="s">
        <v>4443</v>
      </c>
      <c r="BN209" t="s">
        <v>74</v>
      </c>
      <c r="BO209" t="s">
        <v>74</v>
      </c>
      <c r="BP209" t="s">
        <v>74</v>
      </c>
      <c r="BQ209" t="s">
        <v>74</v>
      </c>
      <c r="BR209" t="s">
        <v>105</v>
      </c>
      <c r="BS209" t="s">
        <v>4444</v>
      </c>
      <c r="BT209" t="str">
        <f>HYPERLINK("https%3A%2F%2Fwww.webofscience.com%2Fwos%2Fwoscc%2Ffull-record%2FWOS:000435029500004","View Full Record in Web of Science")</f>
        <v>View Full Record in Web of Science</v>
      </c>
    </row>
    <row r="210" spans="1:72" x14ac:dyDescent="0.15">
      <c r="A210" t="s">
        <v>72</v>
      </c>
      <c r="B210" t="s">
        <v>4445</v>
      </c>
      <c r="C210" t="s">
        <v>74</v>
      </c>
      <c r="D210" t="s">
        <v>74</v>
      </c>
      <c r="E210" t="s">
        <v>74</v>
      </c>
      <c r="F210" t="s">
        <v>4446</v>
      </c>
      <c r="G210" t="s">
        <v>74</v>
      </c>
      <c r="H210" t="s">
        <v>74</v>
      </c>
      <c r="I210" t="s">
        <v>4447</v>
      </c>
      <c r="J210" t="s">
        <v>4448</v>
      </c>
      <c r="K210" t="s">
        <v>74</v>
      </c>
      <c r="L210" t="s">
        <v>74</v>
      </c>
      <c r="M210" t="s">
        <v>78</v>
      </c>
      <c r="N210" t="s">
        <v>79</v>
      </c>
      <c r="O210" t="s">
        <v>74</v>
      </c>
      <c r="P210" t="s">
        <v>74</v>
      </c>
      <c r="Q210" t="s">
        <v>74</v>
      </c>
      <c r="R210" t="s">
        <v>74</v>
      </c>
      <c r="S210" t="s">
        <v>74</v>
      </c>
      <c r="T210" t="s">
        <v>74</v>
      </c>
      <c r="U210" t="s">
        <v>4449</v>
      </c>
      <c r="V210" t="s">
        <v>4450</v>
      </c>
      <c r="W210" t="s">
        <v>4451</v>
      </c>
      <c r="X210" t="s">
        <v>4452</v>
      </c>
      <c r="Y210" t="s">
        <v>4453</v>
      </c>
      <c r="Z210" t="s">
        <v>4454</v>
      </c>
      <c r="AA210" t="s">
        <v>4455</v>
      </c>
      <c r="AB210" t="s">
        <v>4456</v>
      </c>
      <c r="AC210" t="s">
        <v>4457</v>
      </c>
      <c r="AD210" t="s">
        <v>4458</v>
      </c>
      <c r="AE210" t="s">
        <v>4459</v>
      </c>
      <c r="AF210" t="s">
        <v>74</v>
      </c>
      <c r="AG210">
        <v>48</v>
      </c>
      <c r="AH210">
        <v>11</v>
      </c>
      <c r="AI210">
        <v>14</v>
      </c>
      <c r="AJ210">
        <v>0</v>
      </c>
      <c r="AK210">
        <v>1</v>
      </c>
      <c r="AL210" t="s">
        <v>3595</v>
      </c>
      <c r="AM210" t="s">
        <v>3596</v>
      </c>
      <c r="AN210" t="s">
        <v>3597</v>
      </c>
      <c r="AO210" t="s">
        <v>4460</v>
      </c>
      <c r="AP210" t="s">
        <v>4461</v>
      </c>
      <c r="AQ210" t="s">
        <v>74</v>
      </c>
      <c r="AR210" t="s">
        <v>4462</v>
      </c>
      <c r="AS210" t="s">
        <v>4463</v>
      </c>
      <c r="AT210" t="s">
        <v>3298</v>
      </c>
      <c r="AU210">
        <v>2018</v>
      </c>
      <c r="AV210">
        <v>99</v>
      </c>
      <c r="AW210">
        <v>5</v>
      </c>
      <c r="AX210" t="s">
        <v>74</v>
      </c>
      <c r="AY210" t="s">
        <v>74</v>
      </c>
      <c r="AZ210" t="s">
        <v>74</v>
      </c>
      <c r="BA210" t="s">
        <v>74</v>
      </c>
      <c r="BB210">
        <v>1027</v>
      </c>
      <c r="BC210">
        <v>1040</v>
      </c>
      <c r="BD210" t="s">
        <v>74</v>
      </c>
      <c r="BE210" t="s">
        <v>4464</v>
      </c>
      <c r="BF210" t="str">
        <f>HYPERLINK("http://dx.doi.org/10.1175/BAMS-D-16-0151.1","http://dx.doi.org/10.1175/BAMS-D-16-0151.1")</f>
        <v>http://dx.doi.org/10.1175/BAMS-D-16-0151.1</v>
      </c>
      <c r="BG210" t="s">
        <v>74</v>
      </c>
      <c r="BH210" t="s">
        <v>74</v>
      </c>
      <c r="BI210">
        <v>14</v>
      </c>
      <c r="BJ210" t="s">
        <v>131</v>
      </c>
      <c r="BK210" t="s">
        <v>101</v>
      </c>
      <c r="BL210" t="s">
        <v>131</v>
      </c>
      <c r="BM210" t="s">
        <v>4465</v>
      </c>
      <c r="BN210" t="s">
        <v>74</v>
      </c>
      <c r="BO210" t="s">
        <v>3371</v>
      </c>
      <c r="BP210" t="s">
        <v>74</v>
      </c>
      <c r="BQ210" t="s">
        <v>74</v>
      </c>
      <c r="BR210" t="s">
        <v>105</v>
      </c>
      <c r="BS210" t="s">
        <v>4466</v>
      </c>
      <c r="BT210" t="str">
        <f>HYPERLINK("https%3A%2F%2Fwww.webofscience.com%2Fwos%2Fwoscc%2Ffull-record%2FWOS:000433893400012","View Full Record in Web of Science")</f>
        <v>View Full Record in Web of Science</v>
      </c>
    </row>
    <row r="211" spans="1:72" x14ac:dyDescent="0.15">
      <c r="A211" t="s">
        <v>72</v>
      </c>
      <c r="B211" t="s">
        <v>4467</v>
      </c>
      <c r="C211" t="s">
        <v>74</v>
      </c>
      <c r="D211" t="s">
        <v>74</v>
      </c>
      <c r="E211" t="s">
        <v>74</v>
      </c>
      <c r="F211" t="s">
        <v>4468</v>
      </c>
      <c r="G211" t="s">
        <v>74</v>
      </c>
      <c r="H211" t="s">
        <v>74</v>
      </c>
      <c r="I211" t="s">
        <v>4469</v>
      </c>
      <c r="J211" t="s">
        <v>4470</v>
      </c>
      <c r="K211" t="s">
        <v>74</v>
      </c>
      <c r="L211" t="s">
        <v>74</v>
      </c>
      <c r="M211" t="s">
        <v>78</v>
      </c>
      <c r="N211" t="s">
        <v>79</v>
      </c>
      <c r="O211" t="s">
        <v>74</v>
      </c>
      <c r="P211" t="s">
        <v>74</v>
      </c>
      <c r="Q211" t="s">
        <v>74</v>
      </c>
      <c r="R211" t="s">
        <v>74</v>
      </c>
      <c r="S211" t="s">
        <v>74</v>
      </c>
      <c r="T211" t="s">
        <v>74</v>
      </c>
      <c r="U211" t="s">
        <v>4471</v>
      </c>
      <c r="V211" t="s">
        <v>4472</v>
      </c>
      <c r="W211" t="s">
        <v>4473</v>
      </c>
      <c r="X211" t="s">
        <v>4474</v>
      </c>
      <c r="Y211" t="s">
        <v>4475</v>
      </c>
      <c r="Z211" t="s">
        <v>4476</v>
      </c>
      <c r="AA211" t="s">
        <v>4477</v>
      </c>
      <c r="AB211" t="s">
        <v>4478</v>
      </c>
      <c r="AC211" t="s">
        <v>4479</v>
      </c>
      <c r="AD211" t="s">
        <v>4480</v>
      </c>
      <c r="AE211" t="s">
        <v>4481</v>
      </c>
      <c r="AF211" t="s">
        <v>74</v>
      </c>
      <c r="AG211">
        <v>50</v>
      </c>
      <c r="AH211">
        <v>9</v>
      </c>
      <c r="AI211">
        <v>12</v>
      </c>
      <c r="AJ211">
        <v>0</v>
      </c>
      <c r="AK211">
        <v>17</v>
      </c>
      <c r="AL211" t="s">
        <v>574</v>
      </c>
      <c r="AM211" t="s">
        <v>575</v>
      </c>
      <c r="AN211" t="s">
        <v>576</v>
      </c>
      <c r="AO211" t="s">
        <v>4482</v>
      </c>
      <c r="AP211" t="s">
        <v>4483</v>
      </c>
      <c r="AQ211" t="s">
        <v>74</v>
      </c>
      <c r="AR211" t="s">
        <v>4484</v>
      </c>
      <c r="AS211" t="s">
        <v>4485</v>
      </c>
      <c r="AT211" t="s">
        <v>3298</v>
      </c>
      <c r="AU211">
        <v>2018</v>
      </c>
      <c r="AV211">
        <v>33</v>
      </c>
      <c r="AW211">
        <v>5</v>
      </c>
      <c r="AX211" t="s">
        <v>74</v>
      </c>
      <c r="AY211" t="s">
        <v>74</v>
      </c>
      <c r="AZ211" t="s">
        <v>74</v>
      </c>
      <c r="BA211" t="s">
        <v>74</v>
      </c>
      <c r="BB211">
        <v>432</v>
      </c>
      <c r="BC211">
        <v>442</v>
      </c>
      <c r="BD211" t="s">
        <v>74</v>
      </c>
      <c r="BE211" t="s">
        <v>4486</v>
      </c>
      <c r="BF211" t="str">
        <f>HYPERLINK("http://dx.doi.org/10.1029/2018PA003327","http://dx.doi.org/10.1029/2018PA003327")</f>
        <v>http://dx.doi.org/10.1029/2018PA003327</v>
      </c>
      <c r="BG211" t="s">
        <v>74</v>
      </c>
      <c r="BH211" t="s">
        <v>74</v>
      </c>
      <c r="BI211">
        <v>11</v>
      </c>
      <c r="BJ211" t="s">
        <v>4487</v>
      </c>
      <c r="BK211" t="s">
        <v>101</v>
      </c>
      <c r="BL211" t="s">
        <v>4488</v>
      </c>
      <c r="BM211" t="s">
        <v>4489</v>
      </c>
      <c r="BN211" t="s">
        <v>74</v>
      </c>
      <c r="BO211" t="s">
        <v>74</v>
      </c>
      <c r="BP211" t="s">
        <v>74</v>
      </c>
      <c r="BQ211" t="s">
        <v>74</v>
      </c>
      <c r="BR211" t="s">
        <v>105</v>
      </c>
      <c r="BS211" t="s">
        <v>4490</v>
      </c>
      <c r="BT211" t="str">
        <f>HYPERLINK("https%3A%2F%2Fwww.webofscience.com%2Fwos%2Fwoscc%2Ffull-record%2FWOS:000435281200001","View Full Record in Web of Science")</f>
        <v>View Full Record in Web of Science</v>
      </c>
    </row>
    <row r="212" spans="1:72" x14ac:dyDescent="0.15">
      <c r="A212" t="s">
        <v>72</v>
      </c>
      <c r="B212" t="s">
        <v>4491</v>
      </c>
      <c r="C212" t="s">
        <v>74</v>
      </c>
      <c r="D212" t="s">
        <v>74</v>
      </c>
      <c r="E212" t="s">
        <v>74</v>
      </c>
      <c r="F212" t="s">
        <v>4492</v>
      </c>
      <c r="G212" t="s">
        <v>74</v>
      </c>
      <c r="H212" t="s">
        <v>74</v>
      </c>
      <c r="I212" t="s">
        <v>4493</v>
      </c>
      <c r="J212" t="s">
        <v>4470</v>
      </c>
      <c r="K212" t="s">
        <v>74</v>
      </c>
      <c r="L212" t="s">
        <v>74</v>
      </c>
      <c r="M212" t="s">
        <v>78</v>
      </c>
      <c r="N212" t="s">
        <v>79</v>
      </c>
      <c r="O212" t="s">
        <v>74</v>
      </c>
      <c r="P212" t="s">
        <v>74</v>
      </c>
      <c r="Q212" t="s">
        <v>74</v>
      </c>
      <c r="R212" t="s">
        <v>74</v>
      </c>
      <c r="S212" t="s">
        <v>74</v>
      </c>
      <c r="T212" t="s">
        <v>74</v>
      </c>
      <c r="U212" t="s">
        <v>4494</v>
      </c>
      <c r="V212" t="s">
        <v>4495</v>
      </c>
      <c r="W212" t="s">
        <v>4496</v>
      </c>
      <c r="X212" t="s">
        <v>4497</v>
      </c>
      <c r="Y212" t="s">
        <v>4498</v>
      </c>
      <c r="Z212" t="s">
        <v>4499</v>
      </c>
      <c r="AA212" t="s">
        <v>4500</v>
      </c>
      <c r="AB212" t="s">
        <v>4501</v>
      </c>
      <c r="AC212" t="s">
        <v>4502</v>
      </c>
      <c r="AD212" t="s">
        <v>4503</v>
      </c>
      <c r="AE212" t="s">
        <v>4504</v>
      </c>
      <c r="AF212" t="s">
        <v>74</v>
      </c>
      <c r="AG212">
        <v>80</v>
      </c>
      <c r="AH212">
        <v>20</v>
      </c>
      <c r="AI212">
        <v>20</v>
      </c>
      <c r="AJ212">
        <v>0</v>
      </c>
      <c r="AK212">
        <v>8</v>
      </c>
      <c r="AL212" t="s">
        <v>574</v>
      </c>
      <c r="AM212" t="s">
        <v>575</v>
      </c>
      <c r="AN212" t="s">
        <v>576</v>
      </c>
      <c r="AO212" t="s">
        <v>4482</v>
      </c>
      <c r="AP212" t="s">
        <v>4483</v>
      </c>
      <c r="AQ212" t="s">
        <v>74</v>
      </c>
      <c r="AR212" t="s">
        <v>4484</v>
      </c>
      <c r="AS212" t="s">
        <v>4485</v>
      </c>
      <c r="AT212" t="s">
        <v>3298</v>
      </c>
      <c r="AU212">
        <v>2018</v>
      </c>
      <c r="AV212">
        <v>33</v>
      </c>
      <c r="AW212">
        <v>5</v>
      </c>
      <c r="AX212" t="s">
        <v>74</v>
      </c>
      <c r="AY212" t="s">
        <v>74</v>
      </c>
      <c r="AZ212" t="s">
        <v>74</v>
      </c>
      <c r="BA212" t="s">
        <v>74</v>
      </c>
      <c r="BB212">
        <v>530</v>
      </c>
      <c r="BC212">
        <v>543</v>
      </c>
      <c r="BD212" t="s">
        <v>74</v>
      </c>
      <c r="BE212" t="s">
        <v>4505</v>
      </c>
      <c r="BF212" t="str">
        <f>HYPERLINK("http://dx.doi.org/10.1029/2017PA003290","http://dx.doi.org/10.1029/2017PA003290")</f>
        <v>http://dx.doi.org/10.1029/2017PA003290</v>
      </c>
      <c r="BG212" t="s">
        <v>74</v>
      </c>
      <c r="BH212" t="s">
        <v>74</v>
      </c>
      <c r="BI212">
        <v>14</v>
      </c>
      <c r="BJ212" t="s">
        <v>4487</v>
      </c>
      <c r="BK212" t="s">
        <v>101</v>
      </c>
      <c r="BL212" t="s">
        <v>4488</v>
      </c>
      <c r="BM212" t="s">
        <v>4489</v>
      </c>
      <c r="BN212" t="s">
        <v>74</v>
      </c>
      <c r="BO212" t="s">
        <v>1881</v>
      </c>
      <c r="BP212" t="s">
        <v>74</v>
      </c>
      <c r="BQ212" t="s">
        <v>74</v>
      </c>
      <c r="BR212" t="s">
        <v>105</v>
      </c>
      <c r="BS212" t="s">
        <v>4506</v>
      </c>
      <c r="BT212" t="str">
        <f>HYPERLINK("https%3A%2F%2Fwww.webofscience.com%2Fwos%2Fwoscc%2Ffull-record%2FWOS:000435281200007","View Full Record in Web of Science")</f>
        <v>View Full Record in Web of Science</v>
      </c>
    </row>
    <row r="213" spans="1:72" x14ac:dyDescent="0.15">
      <c r="A213" t="s">
        <v>72</v>
      </c>
      <c r="B213" t="s">
        <v>4507</v>
      </c>
      <c r="C213" t="s">
        <v>74</v>
      </c>
      <c r="D213" t="s">
        <v>74</v>
      </c>
      <c r="E213" t="s">
        <v>74</v>
      </c>
      <c r="F213" t="s">
        <v>4508</v>
      </c>
      <c r="G213" t="s">
        <v>74</v>
      </c>
      <c r="H213" t="s">
        <v>74</v>
      </c>
      <c r="I213" t="s">
        <v>4509</v>
      </c>
      <c r="J213" t="s">
        <v>4510</v>
      </c>
      <c r="K213" t="s">
        <v>74</v>
      </c>
      <c r="L213" t="s">
        <v>74</v>
      </c>
      <c r="M213" t="s">
        <v>78</v>
      </c>
      <c r="N213" t="s">
        <v>466</v>
      </c>
      <c r="O213" t="s">
        <v>74</v>
      </c>
      <c r="P213" t="s">
        <v>74</v>
      </c>
      <c r="Q213" t="s">
        <v>74</v>
      </c>
      <c r="R213" t="s">
        <v>74</v>
      </c>
      <c r="S213" t="s">
        <v>74</v>
      </c>
      <c r="T213" t="s">
        <v>4511</v>
      </c>
      <c r="U213" t="s">
        <v>4512</v>
      </c>
      <c r="V213" t="s">
        <v>4513</v>
      </c>
      <c r="W213" t="s">
        <v>4514</v>
      </c>
      <c r="X213" t="s">
        <v>4515</v>
      </c>
      <c r="Y213" t="s">
        <v>4516</v>
      </c>
      <c r="Z213" t="s">
        <v>4517</v>
      </c>
      <c r="AA213" t="s">
        <v>74</v>
      </c>
      <c r="AB213" t="s">
        <v>4518</v>
      </c>
      <c r="AC213" t="s">
        <v>4519</v>
      </c>
      <c r="AD213" t="s">
        <v>4520</v>
      </c>
      <c r="AE213" t="s">
        <v>4521</v>
      </c>
      <c r="AF213" t="s">
        <v>74</v>
      </c>
      <c r="AG213">
        <v>170</v>
      </c>
      <c r="AH213">
        <v>23</v>
      </c>
      <c r="AI213">
        <v>24</v>
      </c>
      <c r="AJ213">
        <v>4</v>
      </c>
      <c r="AK213">
        <v>59</v>
      </c>
      <c r="AL213" t="s">
        <v>277</v>
      </c>
      <c r="AM213" t="s">
        <v>278</v>
      </c>
      <c r="AN213" t="s">
        <v>279</v>
      </c>
      <c r="AO213" t="s">
        <v>4522</v>
      </c>
      <c r="AP213" t="s">
        <v>4523</v>
      </c>
      <c r="AQ213" t="s">
        <v>74</v>
      </c>
      <c r="AR213" t="s">
        <v>4524</v>
      </c>
      <c r="AS213" t="s">
        <v>4525</v>
      </c>
      <c r="AT213" t="s">
        <v>3964</v>
      </c>
      <c r="AU213">
        <v>2018</v>
      </c>
      <c r="AV213">
        <v>164</v>
      </c>
      <c r="AW213" t="s">
        <v>74</v>
      </c>
      <c r="AX213" t="s">
        <v>74</v>
      </c>
      <c r="AY213" t="s">
        <v>74</v>
      </c>
      <c r="AZ213" t="s">
        <v>74</v>
      </c>
      <c r="BA213" t="s">
        <v>74</v>
      </c>
      <c r="BB213">
        <v>37</v>
      </c>
      <c r="BC213">
        <v>51</v>
      </c>
      <c r="BD213" t="s">
        <v>74</v>
      </c>
      <c r="BE213" t="s">
        <v>4526</v>
      </c>
      <c r="BF213" t="str">
        <f>HYPERLINK("http://dx.doi.org/10.1016/j.pocean.2018.04.008","http://dx.doi.org/10.1016/j.pocean.2018.04.008")</f>
        <v>http://dx.doi.org/10.1016/j.pocean.2018.04.008</v>
      </c>
      <c r="BG213" t="s">
        <v>74</v>
      </c>
      <c r="BH213" t="s">
        <v>74</v>
      </c>
      <c r="BI213">
        <v>15</v>
      </c>
      <c r="BJ213" t="s">
        <v>364</v>
      </c>
      <c r="BK213" t="s">
        <v>101</v>
      </c>
      <c r="BL213" t="s">
        <v>364</v>
      </c>
      <c r="BM213" t="s">
        <v>4527</v>
      </c>
      <c r="BN213" t="s">
        <v>74</v>
      </c>
      <c r="BO213" t="s">
        <v>980</v>
      </c>
      <c r="BP213" t="s">
        <v>74</v>
      </c>
      <c r="BQ213" t="s">
        <v>74</v>
      </c>
      <c r="BR213" t="s">
        <v>105</v>
      </c>
      <c r="BS213" t="s">
        <v>4528</v>
      </c>
      <c r="BT213" t="str">
        <f>HYPERLINK("https%3A%2F%2Fwww.webofscience.com%2Fwos%2Fwoscc%2Ffull-record%2FWOS:000433653600004","View Full Record in Web of Science")</f>
        <v>View Full Record in Web of Science</v>
      </c>
    </row>
    <row r="214" spans="1:72" x14ac:dyDescent="0.15">
      <c r="A214" t="s">
        <v>72</v>
      </c>
      <c r="B214" t="s">
        <v>4529</v>
      </c>
      <c r="C214" t="s">
        <v>74</v>
      </c>
      <c r="D214" t="s">
        <v>74</v>
      </c>
      <c r="E214" t="s">
        <v>74</v>
      </c>
      <c r="F214" t="s">
        <v>4530</v>
      </c>
      <c r="G214" t="s">
        <v>74</v>
      </c>
      <c r="H214" t="s">
        <v>74</v>
      </c>
      <c r="I214" t="s">
        <v>4531</v>
      </c>
      <c r="J214" t="s">
        <v>4532</v>
      </c>
      <c r="K214" t="s">
        <v>74</v>
      </c>
      <c r="L214" t="s">
        <v>74</v>
      </c>
      <c r="M214" t="s">
        <v>78</v>
      </c>
      <c r="N214" t="s">
        <v>79</v>
      </c>
      <c r="O214" t="s">
        <v>74</v>
      </c>
      <c r="P214" t="s">
        <v>74</v>
      </c>
      <c r="Q214" t="s">
        <v>74</v>
      </c>
      <c r="R214" t="s">
        <v>74</v>
      </c>
      <c r="S214" t="s">
        <v>74</v>
      </c>
      <c r="T214" t="s">
        <v>74</v>
      </c>
      <c r="U214" t="s">
        <v>4533</v>
      </c>
      <c r="V214" t="s">
        <v>4534</v>
      </c>
      <c r="W214" t="s">
        <v>4535</v>
      </c>
      <c r="X214" t="s">
        <v>4536</v>
      </c>
      <c r="Y214" t="s">
        <v>4537</v>
      </c>
      <c r="Z214" t="s">
        <v>4538</v>
      </c>
      <c r="AA214" t="s">
        <v>4539</v>
      </c>
      <c r="AB214" t="s">
        <v>4540</v>
      </c>
      <c r="AC214" t="s">
        <v>4541</v>
      </c>
      <c r="AD214" t="s">
        <v>4058</v>
      </c>
      <c r="AE214" t="s">
        <v>4542</v>
      </c>
      <c r="AF214" t="s">
        <v>74</v>
      </c>
      <c r="AG214">
        <v>34</v>
      </c>
      <c r="AH214">
        <v>1</v>
      </c>
      <c r="AI214">
        <v>1</v>
      </c>
      <c r="AJ214">
        <v>0</v>
      </c>
      <c r="AK214">
        <v>6</v>
      </c>
      <c r="AL214" t="s">
        <v>4037</v>
      </c>
      <c r="AM214" t="s">
        <v>92</v>
      </c>
      <c r="AN214" t="s">
        <v>4038</v>
      </c>
      <c r="AO214" t="s">
        <v>4543</v>
      </c>
      <c r="AP214" t="s">
        <v>4544</v>
      </c>
      <c r="AQ214" t="s">
        <v>74</v>
      </c>
      <c r="AR214" t="s">
        <v>4545</v>
      </c>
      <c r="AS214" t="s">
        <v>4546</v>
      </c>
      <c r="AT214" t="s">
        <v>3298</v>
      </c>
      <c r="AU214">
        <v>2018</v>
      </c>
      <c r="AV214">
        <v>63</v>
      </c>
      <c r="AW214">
        <v>5</v>
      </c>
      <c r="AX214" t="s">
        <v>74</v>
      </c>
      <c r="AY214" t="s">
        <v>74</v>
      </c>
      <c r="AZ214" t="s">
        <v>74</v>
      </c>
      <c r="BA214" t="s">
        <v>74</v>
      </c>
      <c r="BB214">
        <v>738</v>
      </c>
      <c r="BC214">
        <v>746</v>
      </c>
      <c r="BD214" t="s">
        <v>74</v>
      </c>
      <c r="BE214" t="s">
        <v>4547</v>
      </c>
      <c r="BF214" t="str">
        <f>HYPERLINK("http://dx.doi.org/10.1134/S1063784218050055","http://dx.doi.org/10.1134/S1063784218050055")</f>
        <v>http://dx.doi.org/10.1134/S1063784218050055</v>
      </c>
      <c r="BG214" t="s">
        <v>74</v>
      </c>
      <c r="BH214" t="s">
        <v>74</v>
      </c>
      <c r="BI214">
        <v>9</v>
      </c>
      <c r="BJ214" t="s">
        <v>1520</v>
      </c>
      <c r="BK214" t="s">
        <v>101</v>
      </c>
      <c r="BL214" t="s">
        <v>1521</v>
      </c>
      <c r="BM214" t="s">
        <v>4548</v>
      </c>
      <c r="BN214" t="s">
        <v>74</v>
      </c>
      <c r="BO214" t="s">
        <v>74</v>
      </c>
      <c r="BP214" t="s">
        <v>74</v>
      </c>
      <c r="BQ214" t="s">
        <v>74</v>
      </c>
      <c r="BR214" t="s">
        <v>105</v>
      </c>
      <c r="BS214" t="s">
        <v>4549</v>
      </c>
      <c r="BT214" t="str">
        <f>HYPERLINK("https%3A%2F%2Fwww.webofscience.com%2Fwos%2Fwoscc%2Ffull-record%2FWOS:000434721100017","View Full Record in Web of Science")</f>
        <v>View Full Record in Web of Science</v>
      </c>
    </row>
    <row r="215" spans="1:72" x14ac:dyDescent="0.15">
      <c r="A215" t="s">
        <v>72</v>
      </c>
      <c r="B215" t="s">
        <v>4550</v>
      </c>
      <c r="C215" t="s">
        <v>74</v>
      </c>
      <c r="D215" t="s">
        <v>74</v>
      </c>
      <c r="E215" t="s">
        <v>74</v>
      </c>
      <c r="F215" t="s">
        <v>4551</v>
      </c>
      <c r="G215" t="s">
        <v>74</v>
      </c>
      <c r="H215" t="s">
        <v>74</v>
      </c>
      <c r="I215" t="s">
        <v>4552</v>
      </c>
      <c r="J215" t="s">
        <v>4553</v>
      </c>
      <c r="K215" t="s">
        <v>74</v>
      </c>
      <c r="L215" t="s">
        <v>74</v>
      </c>
      <c r="M215" t="s">
        <v>78</v>
      </c>
      <c r="N215" t="s">
        <v>79</v>
      </c>
      <c r="O215" t="s">
        <v>74</v>
      </c>
      <c r="P215" t="s">
        <v>74</v>
      </c>
      <c r="Q215" t="s">
        <v>74</v>
      </c>
      <c r="R215" t="s">
        <v>74</v>
      </c>
      <c r="S215" t="s">
        <v>74</v>
      </c>
      <c r="T215" t="s">
        <v>4554</v>
      </c>
      <c r="U215" t="s">
        <v>4555</v>
      </c>
      <c r="V215" t="s">
        <v>4556</v>
      </c>
      <c r="W215" t="s">
        <v>4557</v>
      </c>
      <c r="X215" t="s">
        <v>4558</v>
      </c>
      <c r="Y215" t="s">
        <v>4559</v>
      </c>
      <c r="Z215" t="s">
        <v>4560</v>
      </c>
      <c r="AA215" t="s">
        <v>74</v>
      </c>
      <c r="AB215" t="s">
        <v>74</v>
      </c>
      <c r="AC215" t="s">
        <v>74</v>
      </c>
      <c r="AD215" t="s">
        <v>74</v>
      </c>
      <c r="AE215" t="s">
        <v>74</v>
      </c>
      <c r="AF215" t="s">
        <v>74</v>
      </c>
      <c r="AG215">
        <v>252</v>
      </c>
      <c r="AH215">
        <v>14</v>
      </c>
      <c r="AI215">
        <v>14</v>
      </c>
      <c r="AJ215">
        <v>0</v>
      </c>
      <c r="AK215">
        <v>21</v>
      </c>
      <c r="AL215" t="s">
        <v>451</v>
      </c>
      <c r="AM215" t="s">
        <v>452</v>
      </c>
      <c r="AN215" t="s">
        <v>453</v>
      </c>
      <c r="AO215" t="s">
        <v>4561</v>
      </c>
      <c r="AP215" t="s">
        <v>4562</v>
      </c>
      <c r="AQ215" t="s">
        <v>74</v>
      </c>
      <c r="AR215" t="s">
        <v>4563</v>
      </c>
      <c r="AS215" t="s">
        <v>4564</v>
      </c>
      <c r="AT215" t="s">
        <v>3298</v>
      </c>
      <c r="AU215">
        <v>2018</v>
      </c>
      <c r="AV215">
        <v>180</v>
      </c>
      <c r="AW215" t="s">
        <v>74</v>
      </c>
      <c r="AX215" t="s">
        <v>74</v>
      </c>
      <c r="AY215" t="s">
        <v>74</v>
      </c>
      <c r="AZ215" t="s">
        <v>74</v>
      </c>
      <c r="BA215" t="s">
        <v>74</v>
      </c>
      <c r="BB215">
        <v>206</v>
      </c>
      <c r="BC215">
        <v>257</v>
      </c>
      <c r="BD215" t="s">
        <v>74</v>
      </c>
      <c r="BE215" t="s">
        <v>4565</v>
      </c>
      <c r="BF215" t="str">
        <f>HYPERLINK("http://dx.doi.org/10.1016/j.earscirev.2018.03.002","http://dx.doi.org/10.1016/j.earscirev.2018.03.002")</f>
        <v>http://dx.doi.org/10.1016/j.earscirev.2018.03.002</v>
      </c>
      <c r="BG215" t="s">
        <v>74</v>
      </c>
      <c r="BH215" t="s">
        <v>74</v>
      </c>
      <c r="BI215">
        <v>52</v>
      </c>
      <c r="BJ215" t="s">
        <v>1243</v>
      </c>
      <c r="BK215" t="s">
        <v>101</v>
      </c>
      <c r="BL215" t="s">
        <v>1181</v>
      </c>
      <c r="BM215" t="s">
        <v>4566</v>
      </c>
      <c r="BN215" t="s">
        <v>74</v>
      </c>
      <c r="BO215" t="s">
        <v>74</v>
      </c>
      <c r="BP215" t="s">
        <v>74</v>
      </c>
      <c r="BQ215" t="s">
        <v>74</v>
      </c>
      <c r="BR215" t="s">
        <v>105</v>
      </c>
      <c r="BS215" t="s">
        <v>4567</v>
      </c>
      <c r="BT215" t="str">
        <f>HYPERLINK("https%3A%2F%2Fwww.webofscience.com%2Fwos%2Fwoscc%2Ffull-record%2FWOS:000433645900011","View Full Record in Web of Science")</f>
        <v>View Full Record in Web of Science</v>
      </c>
    </row>
    <row r="216" spans="1:72" x14ac:dyDescent="0.15">
      <c r="A216" t="s">
        <v>72</v>
      </c>
      <c r="B216" t="s">
        <v>4568</v>
      </c>
      <c r="C216" t="s">
        <v>74</v>
      </c>
      <c r="D216" t="s">
        <v>74</v>
      </c>
      <c r="E216" t="s">
        <v>74</v>
      </c>
      <c r="F216" t="s">
        <v>4569</v>
      </c>
      <c r="G216" t="s">
        <v>74</v>
      </c>
      <c r="H216" t="s">
        <v>74</v>
      </c>
      <c r="I216" t="s">
        <v>4570</v>
      </c>
      <c r="J216" t="s">
        <v>4571</v>
      </c>
      <c r="K216" t="s">
        <v>74</v>
      </c>
      <c r="L216" t="s">
        <v>74</v>
      </c>
      <c r="M216" t="s">
        <v>78</v>
      </c>
      <c r="N216" t="s">
        <v>79</v>
      </c>
      <c r="O216" t="s">
        <v>74</v>
      </c>
      <c r="P216" t="s">
        <v>74</v>
      </c>
      <c r="Q216" t="s">
        <v>74</v>
      </c>
      <c r="R216" t="s">
        <v>74</v>
      </c>
      <c r="S216" t="s">
        <v>74</v>
      </c>
      <c r="T216" t="s">
        <v>74</v>
      </c>
      <c r="U216" t="s">
        <v>4572</v>
      </c>
      <c r="V216" t="s">
        <v>4573</v>
      </c>
      <c r="W216" t="s">
        <v>4574</v>
      </c>
      <c r="X216" t="s">
        <v>4575</v>
      </c>
      <c r="Y216" t="s">
        <v>4576</v>
      </c>
      <c r="Z216" t="s">
        <v>4577</v>
      </c>
      <c r="AA216" t="s">
        <v>4578</v>
      </c>
      <c r="AB216" t="s">
        <v>74</v>
      </c>
      <c r="AC216" t="s">
        <v>4579</v>
      </c>
      <c r="AD216" t="s">
        <v>4580</v>
      </c>
      <c r="AE216" t="s">
        <v>4581</v>
      </c>
      <c r="AF216" t="s">
        <v>74</v>
      </c>
      <c r="AG216">
        <v>132</v>
      </c>
      <c r="AH216">
        <v>30</v>
      </c>
      <c r="AI216">
        <v>31</v>
      </c>
      <c r="AJ216">
        <v>0</v>
      </c>
      <c r="AK216">
        <v>16</v>
      </c>
      <c r="AL216" t="s">
        <v>179</v>
      </c>
      <c r="AM216" t="s">
        <v>180</v>
      </c>
      <c r="AN216" t="s">
        <v>181</v>
      </c>
      <c r="AO216" t="s">
        <v>4582</v>
      </c>
      <c r="AP216" t="s">
        <v>4583</v>
      </c>
      <c r="AQ216" t="s">
        <v>74</v>
      </c>
      <c r="AR216" t="s">
        <v>4584</v>
      </c>
      <c r="AS216" t="s">
        <v>4585</v>
      </c>
      <c r="AT216" t="s">
        <v>3298</v>
      </c>
      <c r="AU216">
        <v>2018</v>
      </c>
      <c r="AV216">
        <v>53</v>
      </c>
      <c r="AW216">
        <v>5</v>
      </c>
      <c r="AX216" t="s">
        <v>74</v>
      </c>
      <c r="AY216" t="s">
        <v>74</v>
      </c>
      <c r="AZ216" t="s">
        <v>74</v>
      </c>
      <c r="BA216" t="s">
        <v>74</v>
      </c>
      <c r="BB216">
        <v>1006</v>
      </c>
      <c r="BC216">
        <v>1029</v>
      </c>
      <c r="BD216" t="s">
        <v>74</v>
      </c>
      <c r="BE216" t="s">
        <v>4586</v>
      </c>
      <c r="BF216" t="str">
        <f>HYPERLINK("http://dx.doi.org/10.1111/maps.13045","http://dx.doi.org/10.1111/maps.13045")</f>
        <v>http://dx.doi.org/10.1111/maps.13045</v>
      </c>
      <c r="BG216" t="s">
        <v>74</v>
      </c>
      <c r="BH216" t="s">
        <v>74</v>
      </c>
      <c r="BI216">
        <v>24</v>
      </c>
      <c r="BJ216" t="s">
        <v>260</v>
      </c>
      <c r="BK216" t="s">
        <v>101</v>
      </c>
      <c r="BL216" t="s">
        <v>260</v>
      </c>
      <c r="BM216" t="s">
        <v>4587</v>
      </c>
      <c r="BN216" t="s">
        <v>74</v>
      </c>
      <c r="BO216" t="s">
        <v>162</v>
      </c>
      <c r="BP216" t="s">
        <v>74</v>
      </c>
      <c r="BQ216" t="s">
        <v>74</v>
      </c>
      <c r="BR216" t="s">
        <v>105</v>
      </c>
      <c r="BS216" t="s">
        <v>4588</v>
      </c>
      <c r="BT216" t="str">
        <f>HYPERLINK("https%3A%2F%2Fwww.webofscience.com%2Fwos%2Fwoscc%2Ffull-record%2FWOS:000431665400005","View Full Record in Web of Science")</f>
        <v>View Full Record in Web of Science</v>
      </c>
    </row>
    <row r="217" spans="1:72" x14ac:dyDescent="0.15">
      <c r="A217" t="s">
        <v>72</v>
      </c>
      <c r="B217" t="s">
        <v>4589</v>
      </c>
      <c r="C217" t="s">
        <v>74</v>
      </c>
      <c r="D217" t="s">
        <v>74</v>
      </c>
      <c r="E217" t="s">
        <v>74</v>
      </c>
      <c r="F217" t="s">
        <v>4590</v>
      </c>
      <c r="G217" t="s">
        <v>74</v>
      </c>
      <c r="H217" t="s">
        <v>74</v>
      </c>
      <c r="I217" t="s">
        <v>4591</v>
      </c>
      <c r="J217" t="s">
        <v>4592</v>
      </c>
      <c r="K217" t="s">
        <v>74</v>
      </c>
      <c r="L217" t="s">
        <v>74</v>
      </c>
      <c r="M217" t="s">
        <v>78</v>
      </c>
      <c r="N217" t="s">
        <v>79</v>
      </c>
      <c r="O217" t="s">
        <v>74</v>
      </c>
      <c r="P217" t="s">
        <v>74</v>
      </c>
      <c r="Q217" t="s">
        <v>74</v>
      </c>
      <c r="R217" t="s">
        <v>74</v>
      </c>
      <c r="S217" t="s">
        <v>74</v>
      </c>
      <c r="T217" t="s">
        <v>4593</v>
      </c>
      <c r="U217" t="s">
        <v>4594</v>
      </c>
      <c r="V217" t="s">
        <v>4595</v>
      </c>
      <c r="W217" t="s">
        <v>4596</v>
      </c>
      <c r="X217" t="s">
        <v>4597</v>
      </c>
      <c r="Y217" t="s">
        <v>4598</v>
      </c>
      <c r="Z217" t="s">
        <v>4599</v>
      </c>
      <c r="AA217" t="s">
        <v>74</v>
      </c>
      <c r="AB217" t="s">
        <v>4600</v>
      </c>
      <c r="AC217" t="s">
        <v>4601</v>
      </c>
      <c r="AD217" t="s">
        <v>4602</v>
      </c>
      <c r="AE217" t="s">
        <v>4603</v>
      </c>
      <c r="AF217" t="s">
        <v>74</v>
      </c>
      <c r="AG217">
        <v>37</v>
      </c>
      <c r="AH217">
        <v>8</v>
      </c>
      <c r="AI217">
        <v>10</v>
      </c>
      <c r="AJ217">
        <v>3</v>
      </c>
      <c r="AK217">
        <v>49</v>
      </c>
      <c r="AL217" t="s">
        <v>4604</v>
      </c>
      <c r="AM217" t="s">
        <v>601</v>
      </c>
      <c r="AN217" t="s">
        <v>4605</v>
      </c>
      <c r="AO217" t="s">
        <v>4606</v>
      </c>
      <c r="AP217" t="s">
        <v>4607</v>
      </c>
      <c r="AQ217" t="s">
        <v>74</v>
      </c>
      <c r="AR217" t="s">
        <v>4608</v>
      </c>
      <c r="AS217" t="s">
        <v>4609</v>
      </c>
      <c r="AT217" t="s">
        <v>3298</v>
      </c>
      <c r="AU217">
        <v>2018</v>
      </c>
      <c r="AV217">
        <v>28</v>
      </c>
      <c r="AW217">
        <v>5</v>
      </c>
      <c r="AX217" t="s">
        <v>74</v>
      </c>
      <c r="AY217" t="s">
        <v>74</v>
      </c>
      <c r="AZ217" t="s">
        <v>74</v>
      </c>
      <c r="BA217" t="s">
        <v>74</v>
      </c>
      <c r="BB217">
        <v>784</v>
      </c>
      <c r="BC217">
        <v>795</v>
      </c>
      <c r="BD217" t="s">
        <v>74</v>
      </c>
      <c r="BE217" t="s">
        <v>4610</v>
      </c>
      <c r="BF217" t="str">
        <f>HYPERLINK("http://dx.doi.org/10.4014/jmb.1712.12014","http://dx.doi.org/10.4014/jmb.1712.12014")</f>
        <v>http://dx.doi.org/10.4014/jmb.1712.12014</v>
      </c>
      <c r="BG217" t="s">
        <v>74</v>
      </c>
      <c r="BH217" t="s">
        <v>74</v>
      </c>
      <c r="BI217">
        <v>12</v>
      </c>
      <c r="BJ217" t="s">
        <v>1158</v>
      </c>
      <c r="BK217" t="s">
        <v>101</v>
      </c>
      <c r="BL217" t="s">
        <v>1158</v>
      </c>
      <c r="BM217" t="s">
        <v>4611</v>
      </c>
      <c r="BN217">
        <v>29807400</v>
      </c>
      <c r="BO217" t="s">
        <v>74</v>
      </c>
      <c r="BP217" t="s">
        <v>74</v>
      </c>
      <c r="BQ217" t="s">
        <v>74</v>
      </c>
      <c r="BR217" t="s">
        <v>105</v>
      </c>
      <c r="BS217" t="s">
        <v>4612</v>
      </c>
      <c r="BT217" t="str">
        <f>HYPERLINK("https%3A%2F%2Fwww.webofscience.com%2Fwos%2Fwoscc%2Ffull-record%2FWOS:000433224400014","View Full Record in Web of Science")</f>
        <v>View Full Record in Web of Science</v>
      </c>
    </row>
    <row r="218" spans="1:72" x14ac:dyDescent="0.15">
      <c r="A218" t="s">
        <v>72</v>
      </c>
      <c r="B218" t="s">
        <v>4613</v>
      </c>
      <c r="C218" t="s">
        <v>74</v>
      </c>
      <c r="D218" t="s">
        <v>74</v>
      </c>
      <c r="E218" t="s">
        <v>74</v>
      </c>
      <c r="F218" t="s">
        <v>4614</v>
      </c>
      <c r="G218" t="s">
        <v>74</v>
      </c>
      <c r="H218" t="s">
        <v>74</v>
      </c>
      <c r="I218" t="s">
        <v>4615</v>
      </c>
      <c r="J218" t="s">
        <v>4616</v>
      </c>
      <c r="K218" t="s">
        <v>74</v>
      </c>
      <c r="L218" t="s">
        <v>74</v>
      </c>
      <c r="M218" t="s">
        <v>78</v>
      </c>
      <c r="N218" t="s">
        <v>79</v>
      </c>
      <c r="O218" t="s">
        <v>74</v>
      </c>
      <c r="P218" t="s">
        <v>74</v>
      </c>
      <c r="Q218" t="s">
        <v>74</v>
      </c>
      <c r="R218" t="s">
        <v>74</v>
      </c>
      <c r="S218" t="s">
        <v>74</v>
      </c>
      <c r="T218" t="s">
        <v>4617</v>
      </c>
      <c r="U218" t="s">
        <v>4618</v>
      </c>
      <c r="V218" t="s">
        <v>4619</v>
      </c>
      <c r="W218" t="s">
        <v>4620</v>
      </c>
      <c r="X218" t="s">
        <v>4621</v>
      </c>
      <c r="Y218" t="s">
        <v>4622</v>
      </c>
      <c r="Z218" t="s">
        <v>4623</v>
      </c>
      <c r="AA218" t="s">
        <v>4624</v>
      </c>
      <c r="AB218" t="s">
        <v>4625</v>
      </c>
      <c r="AC218" t="s">
        <v>4626</v>
      </c>
      <c r="AD218" t="s">
        <v>4627</v>
      </c>
      <c r="AE218" t="s">
        <v>4628</v>
      </c>
      <c r="AF218" t="s">
        <v>74</v>
      </c>
      <c r="AG218">
        <v>31</v>
      </c>
      <c r="AH218">
        <v>3</v>
      </c>
      <c r="AI218">
        <v>3</v>
      </c>
      <c r="AJ218">
        <v>0</v>
      </c>
      <c r="AK218">
        <v>9</v>
      </c>
      <c r="AL218" t="s">
        <v>4629</v>
      </c>
      <c r="AM218" t="s">
        <v>4630</v>
      </c>
      <c r="AN218" t="s">
        <v>4631</v>
      </c>
      <c r="AO218" t="s">
        <v>4632</v>
      </c>
      <c r="AP218" t="s">
        <v>4633</v>
      </c>
      <c r="AQ218" t="s">
        <v>74</v>
      </c>
      <c r="AR218" t="s">
        <v>4634</v>
      </c>
      <c r="AS218" t="s">
        <v>4635</v>
      </c>
      <c r="AT218" t="s">
        <v>3298</v>
      </c>
      <c r="AU218">
        <v>2018</v>
      </c>
      <c r="AV218">
        <v>47</v>
      </c>
      <c r="AW218">
        <v>2</v>
      </c>
      <c r="AX218" t="s">
        <v>74</v>
      </c>
      <c r="AY218" t="s">
        <v>74</v>
      </c>
      <c r="AZ218" t="s">
        <v>74</v>
      </c>
      <c r="BA218" t="s">
        <v>74</v>
      </c>
      <c r="BB218">
        <v>155</v>
      </c>
      <c r="BC218">
        <v>163</v>
      </c>
      <c r="BD218" t="s">
        <v>74</v>
      </c>
      <c r="BE218" t="s">
        <v>4636</v>
      </c>
      <c r="BF218" t="str">
        <f>HYPERLINK("http://dx.doi.org/10.5038/1827-806X.47.2.2150","http://dx.doi.org/10.5038/1827-806X.47.2.2150")</f>
        <v>http://dx.doi.org/10.5038/1827-806X.47.2.2150</v>
      </c>
      <c r="BG218" t="s">
        <v>74</v>
      </c>
      <c r="BH218" t="s">
        <v>74</v>
      </c>
      <c r="BI218">
        <v>9</v>
      </c>
      <c r="BJ218" t="s">
        <v>4637</v>
      </c>
      <c r="BK218" t="s">
        <v>101</v>
      </c>
      <c r="BL218" t="s">
        <v>1181</v>
      </c>
      <c r="BM218" t="s">
        <v>4638</v>
      </c>
      <c r="BN218" t="s">
        <v>74</v>
      </c>
      <c r="BO218" t="s">
        <v>830</v>
      </c>
      <c r="BP218" t="s">
        <v>74</v>
      </c>
      <c r="BQ218" t="s">
        <v>74</v>
      </c>
      <c r="BR218" t="s">
        <v>105</v>
      </c>
      <c r="BS218" t="s">
        <v>4639</v>
      </c>
      <c r="BT218" t="str">
        <f>HYPERLINK("https%3A%2F%2Fwww.webofscience.com%2Fwos%2Fwoscc%2Ffull-record%2FWOS:000433047000005","View Full Record in Web of Science")</f>
        <v>View Full Record in Web of Science</v>
      </c>
    </row>
    <row r="219" spans="1:72" x14ac:dyDescent="0.15">
      <c r="A219" t="s">
        <v>72</v>
      </c>
      <c r="B219" t="s">
        <v>4640</v>
      </c>
      <c r="C219" t="s">
        <v>74</v>
      </c>
      <c r="D219" t="s">
        <v>74</v>
      </c>
      <c r="E219" t="s">
        <v>74</v>
      </c>
      <c r="F219" t="s">
        <v>4641</v>
      </c>
      <c r="G219" t="s">
        <v>74</v>
      </c>
      <c r="H219" t="s">
        <v>74</v>
      </c>
      <c r="I219" t="s">
        <v>4642</v>
      </c>
      <c r="J219" t="s">
        <v>4643</v>
      </c>
      <c r="K219" t="s">
        <v>74</v>
      </c>
      <c r="L219" t="s">
        <v>74</v>
      </c>
      <c r="M219" t="s">
        <v>78</v>
      </c>
      <c r="N219" t="s">
        <v>79</v>
      </c>
      <c r="O219" t="s">
        <v>74</v>
      </c>
      <c r="P219" t="s">
        <v>74</v>
      </c>
      <c r="Q219" t="s">
        <v>74</v>
      </c>
      <c r="R219" t="s">
        <v>74</v>
      </c>
      <c r="S219" t="s">
        <v>74</v>
      </c>
      <c r="T219" t="s">
        <v>4644</v>
      </c>
      <c r="U219" t="s">
        <v>74</v>
      </c>
      <c r="V219" t="s">
        <v>4645</v>
      </c>
      <c r="W219" t="s">
        <v>4646</v>
      </c>
      <c r="X219" t="s">
        <v>4647</v>
      </c>
      <c r="Y219" t="s">
        <v>4648</v>
      </c>
      <c r="Z219" t="s">
        <v>4649</v>
      </c>
      <c r="AA219" t="s">
        <v>4650</v>
      </c>
      <c r="AB219" t="s">
        <v>4651</v>
      </c>
      <c r="AC219" t="s">
        <v>74</v>
      </c>
      <c r="AD219" t="s">
        <v>74</v>
      </c>
      <c r="AE219" t="s">
        <v>74</v>
      </c>
      <c r="AF219" t="s">
        <v>74</v>
      </c>
      <c r="AG219">
        <v>13</v>
      </c>
      <c r="AH219">
        <v>1</v>
      </c>
      <c r="AI219">
        <v>1</v>
      </c>
      <c r="AJ219">
        <v>1</v>
      </c>
      <c r="AK219">
        <v>5</v>
      </c>
      <c r="AL219" t="s">
        <v>4037</v>
      </c>
      <c r="AM219" t="s">
        <v>92</v>
      </c>
      <c r="AN219" t="s">
        <v>4038</v>
      </c>
      <c r="AO219" t="s">
        <v>4652</v>
      </c>
      <c r="AP219" t="s">
        <v>4653</v>
      </c>
      <c r="AQ219" t="s">
        <v>74</v>
      </c>
      <c r="AR219" t="s">
        <v>4654</v>
      </c>
      <c r="AS219" t="s">
        <v>4655</v>
      </c>
      <c r="AT219" t="s">
        <v>3298</v>
      </c>
      <c r="AU219">
        <v>2018</v>
      </c>
      <c r="AV219">
        <v>54</v>
      </c>
      <c r="AW219">
        <v>3</v>
      </c>
      <c r="AX219" t="s">
        <v>74</v>
      </c>
      <c r="AY219" t="s">
        <v>74</v>
      </c>
      <c r="AZ219" t="s">
        <v>74</v>
      </c>
      <c r="BA219" t="s">
        <v>74</v>
      </c>
      <c r="BB219">
        <v>504</v>
      </c>
      <c r="BC219">
        <v>512</v>
      </c>
      <c r="BD219" t="s">
        <v>74</v>
      </c>
      <c r="BE219" t="s">
        <v>4656</v>
      </c>
      <c r="BF219" t="str">
        <f>HYPERLINK("http://dx.doi.org/10.1134/S1069351318030047","http://dx.doi.org/10.1134/S1069351318030047")</f>
        <v>http://dx.doi.org/10.1134/S1069351318030047</v>
      </c>
      <c r="BG219" t="s">
        <v>74</v>
      </c>
      <c r="BH219" t="s">
        <v>74</v>
      </c>
      <c r="BI219">
        <v>9</v>
      </c>
      <c r="BJ219" t="s">
        <v>260</v>
      </c>
      <c r="BK219" t="s">
        <v>101</v>
      </c>
      <c r="BL219" t="s">
        <v>260</v>
      </c>
      <c r="BM219" t="s">
        <v>4657</v>
      </c>
      <c r="BN219" t="s">
        <v>74</v>
      </c>
      <c r="BO219" t="s">
        <v>74</v>
      </c>
      <c r="BP219" t="s">
        <v>74</v>
      </c>
      <c r="BQ219" t="s">
        <v>74</v>
      </c>
      <c r="BR219" t="s">
        <v>105</v>
      </c>
      <c r="BS219" t="s">
        <v>4658</v>
      </c>
      <c r="BT219" t="str">
        <f>HYPERLINK("https%3A%2F%2Fwww.webofscience.com%2Fwos%2Fwoscc%2Ffull-record%2FWOS:000433041400009","View Full Record in Web of Science")</f>
        <v>View Full Record in Web of Science</v>
      </c>
    </row>
    <row r="220" spans="1:72" x14ac:dyDescent="0.15">
      <c r="A220" t="s">
        <v>72</v>
      </c>
      <c r="B220" t="s">
        <v>4659</v>
      </c>
      <c r="C220" t="s">
        <v>74</v>
      </c>
      <c r="D220" t="s">
        <v>74</v>
      </c>
      <c r="E220" t="s">
        <v>74</v>
      </c>
      <c r="F220" t="s">
        <v>4660</v>
      </c>
      <c r="G220" t="s">
        <v>74</v>
      </c>
      <c r="H220" t="s">
        <v>74</v>
      </c>
      <c r="I220" t="s">
        <v>4661</v>
      </c>
      <c r="J220" t="s">
        <v>4662</v>
      </c>
      <c r="K220" t="s">
        <v>74</v>
      </c>
      <c r="L220" t="s">
        <v>74</v>
      </c>
      <c r="M220" t="s">
        <v>78</v>
      </c>
      <c r="N220" t="s">
        <v>79</v>
      </c>
      <c r="O220" t="s">
        <v>74</v>
      </c>
      <c r="P220" t="s">
        <v>74</v>
      </c>
      <c r="Q220" t="s">
        <v>74</v>
      </c>
      <c r="R220" t="s">
        <v>74</v>
      </c>
      <c r="S220" t="s">
        <v>74</v>
      </c>
      <c r="T220" t="s">
        <v>4663</v>
      </c>
      <c r="U220" t="s">
        <v>4664</v>
      </c>
      <c r="V220" t="s">
        <v>4665</v>
      </c>
      <c r="W220" t="s">
        <v>4666</v>
      </c>
      <c r="X220" t="s">
        <v>4667</v>
      </c>
      <c r="Y220" t="s">
        <v>4668</v>
      </c>
      <c r="Z220" t="s">
        <v>4669</v>
      </c>
      <c r="AA220" t="s">
        <v>4670</v>
      </c>
      <c r="AB220" t="s">
        <v>4671</v>
      </c>
      <c r="AC220" t="s">
        <v>4672</v>
      </c>
      <c r="AD220" t="s">
        <v>4673</v>
      </c>
      <c r="AE220" t="s">
        <v>4674</v>
      </c>
      <c r="AF220" t="s">
        <v>74</v>
      </c>
      <c r="AG220">
        <v>107</v>
      </c>
      <c r="AH220">
        <v>3</v>
      </c>
      <c r="AI220">
        <v>3</v>
      </c>
      <c r="AJ220">
        <v>0</v>
      </c>
      <c r="AK220">
        <v>7</v>
      </c>
      <c r="AL220" t="s">
        <v>3413</v>
      </c>
      <c r="AM220" t="s">
        <v>278</v>
      </c>
      <c r="AN220" t="s">
        <v>3414</v>
      </c>
      <c r="AO220" t="s">
        <v>4675</v>
      </c>
      <c r="AP220" t="s">
        <v>4676</v>
      </c>
      <c r="AQ220" t="s">
        <v>74</v>
      </c>
      <c r="AR220" t="s">
        <v>4677</v>
      </c>
      <c r="AS220" t="s">
        <v>4678</v>
      </c>
      <c r="AT220" t="s">
        <v>3298</v>
      </c>
      <c r="AU220">
        <v>2018</v>
      </c>
      <c r="AV220">
        <v>38</v>
      </c>
      <c r="AW220">
        <v>3</v>
      </c>
      <c r="AX220" t="s">
        <v>74</v>
      </c>
      <c r="AY220" t="s">
        <v>74</v>
      </c>
      <c r="AZ220" t="s">
        <v>74</v>
      </c>
      <c r="BA220" t="s">
        <v>74</v>
      </c>
      <c r="BB220">
        <v>315</v>
      </c>
      <c r="BC220">
        <v>328</v>
      </c>
      <c r="BD220" t="s">
        <v>74</v>
      </c>
      <c r="BE220" t="s">
        <v>4679</v>
      </c>
      <c r="BF220" t="str">
        <f>HYPERLINK("http://dx.doi.org/10.1093/jcbiol/ruy002","http://dx.doi.org/10.1093/jcbiol/ruy002")</f>
        <v>http://dx.doi.org/10.1093/jcbiol/ruy002</v>
      </c>
      <c r="BG220" t="s">
        <v>74</v>
      </c>
      <c r="BH220" t="s">
        <v>74</v>
      </c>
      <c r="BI220">
        <v>14</v>
      </c>
      <c r="BJ220" t="s">
        <v>4680</v>
      </c>
      <c r="BK220" t="s">
        <v>101</v>
      </c>
      <c r="BL220" t="s">
        <v>4680</v>
      </c>
      <c r="BM220" t="s">
        <v>4681</v>
      </c>
      <c r="BN220" t="s">
        <v>74</v>
      </c>
      <c r="BO220" t="s">
        <v>162</v>
      </c>
      <c r="BP220" t="s">
        <v>74</v>
      </c>
      <c r="BQ220" t="s">
        <v>74</v>
      </c>
      <c r="BR220" t="s">
        <v>105</v>
      </c>
      <c r="BS220" t="s">
        <v>4682</v>
      </c>
      <c r="BT220" t="str">
        <f>HYPERLINK("https%3A%2F%2Fwww.webofscience.com%2Fwos%2Fwoscc%2Ffull-record%2FWOS:000432597300007","View Full Record in Web of Science")</f>
        <v>View Full Record in Web of Science</v>
      </c>
    </row>
    <row r="221" spans="1:72" x14ac:dyDescent="0.15">
      <c r="A221" t="s">
        <v>72</v>
      </c>
      <c r="B221" t="s">
        <v>4683</v>
      </c>
      <c r="C221" t="s">
        <v>74</v>
      </c>
      <c r="D221" t="s">
        <v>74</v>
      </c>
      <c r="E221" t="s">
        <v>74</v>
      </c>
      <c r="F221" t="s">
        <v>4684</v>
      </c>
      <c r="G221" t="s">
        <v>74</v>
      </c>
      <c r="H221" t="s">
        <v>74</v>
      </c>
      <c r="I221" t="s">
        <v>4685</v>
      </c>
      <c r="J221" t="s">
        <v>4686</v>
      </c>
      <c r="K221" t="s">
        <v>74</v>
      </c>
      <c r="L221" t="s">
        <v>74</v>
      </c>
      <c r="M221" t="s">
        <v>78</v>
      </c>
      <c r="N221" t="s">
        <v>79</v>
      </c>
      <c r="O221" t="s">
        <v>74</v>
      </c>
      <c r="P221" t="s">
        <v>74</v>
      </c>
      <c r="Q221" t="s">
        <v>74</v>
      </c>
      <c r="R221" t="s">
        <v>74</v>
      </c>
      <c r="S221" t="s">
        <v>74</v>
      </c>
      <c r="T221" t="s">
        <v>74</v>
      </c>
      <c r="U221" t="s">
        <v>4687</v>
      </c>
      <c r="V221" t="s">
        <v>4688</v>
      </c>
      <c r="W221" t="s">
        <v>4689</v>
      </c>
      <c r="X221" t="s">
        <v>4690</v>
      </c>
      <c r="Y221" t="s">
        <v>4691</v>
      </c>
      <c r="Z221" t="s">
        <v>4692</v>
      </c>
      <c r="AA221" t="s">
        <v>74</v>
      </c>
      <c r="AB221" t="s">
        <v>74</v>
      </c>
      <c r="AC221" t="s">
        <v>4693</v>
      </c>
      <c r="AD221" t="s">
        <v>4694</v>
      </c>
      <c r="AE221" t="s">
        <v>4695</v>
      </c>
      <c r="AF221" t="s">
        <v>74</v>
      </c>
      <c r="AG221">
        <v>113</v>
      </c>
      <c r="AH221">
        <v>14</v>
      </c>
      <c r="AI221">
        <v>14</v>
      </c>
      <c r="AJ221">
        <v>0</v>
      </c>
      <c r="AK221">
        <v>12</v>
      </c>
      <c r="AL221" t="s">
        <v>4696</v>
      </c>
      <c r="AM221" t="s">
        <v>2464</v>
      </c>
      <c r="AN221" t="s">
        <v>4697</v>
      </c>
      <c r="AO221" t="s">
        <v>4698</v>
      </c>
      <c r="AP221" t="s">
        <v>4699</v>
      </c>
      <c r="AQ221" t="s">
        <v>74</v>
      </c>
      <c r="AR221" t="s">
        <v>4700</v>
      </c>
      <c r="AS221" t="s">
        <v>4701</v>
      </c>
      <c r="AT221" t="s">
        <v>3298</v>
      </c>
      <c r="AU221">
        <v>2018</v>
      </c>
      <c r="AV221">
        <v>130</v>
      </c>
      <c r="AW221" t="s">
        <v>3965</v>
      </c>
      <c r="AX221" t="s">
        <v>74</v>
      </c>
      <c r="AY221" t="s">
        <v>74</v>
      </c>
      <c r="AZ221" t="s">
        <v>74</v>
      </c>
      <c r="BA221" t="s">
        <v>74</v>
      </c>
      <c r="BB221">
        <v>975</v>
      </c>
      <c r="BC221">
        <v>998</v>
      </c>
      <c r="BD221" t="s">
        <v>74</v>
      </c>
      <c r="BE221" t="s">
        <v>4702</v>
      </c>
      <c r="BF221" t="str">
        <f>HYPERLINK("http://dx.doi.org/10.1130/B31766.1","http://dx.doi.org/10.1130/B31766.1")</f>
        <v>http://dx.doi.org/10.1130/B31766.1</v>
      </c>
      <c r="BG221" t="s">
        <v>74</v>
      </c>
      <c r="BH221" t="s">
        <v>74</v>
      </c>
      <c r="BI221">
        <v>24</v>
      </c>
      <c r="BJ221" t="s">
        <v>1243</v>
      </c>
      <c r="BK221" t="s">
        <v>101</v>
      </c>
      <c r="BL221" t="s">
        <v>1181</v>
      </c>
      <c r="BM221" t="s">
        <v>4703</v>
      </c>
      <c r="BN221" t="s">
        <v>74</v>
      </c>
      <c r="BO221" t="s">
        <v>341</v>
      </c>
      <c r="BP221" t="s">
        <v>74</v>
      </c>
      <c r="BQ221" t="s">
        <v>74</v>
      </c>
      <c r="BR221" t="s">
        <v>105</v>
      </c>
      <c r="BS221" t="s">
        <v>4704</v>
      </c>
      <c r="BT221" t="str">
        <f>HYPERLINK("https%3A%2F%2Fwww.webofscience.com%2Fwos%2Fwoscc%2Ffull-record%2FWOS:000432588700015","View Full Record in Web of Science")</f>
        <v>View Full Record in Web of Science</v>
      </c>
    </row>
    <row r="222" spans="1:72" x14ac:dyDescent="0.15">
      <c r="A222" t="s">
        <v>72</v>
      </c>
      <c r="B222" t="s">
        <v>4705</v>
      </c>
      <c r="C222" t="s">
        <v>74</v>
      </c>
      <c r="D222" t="s">
        <v>74</v>
      </c>
      <c r="E222" t="s">
        <v>74</v>
      </c>
      <c r="F222" t="s">
        <v>4706</v>
      </c>
      <c r="G222" t="s">
        <v>74</v>
      </c>
      <c r="H222" t="s">
        <v>74</v>
      </c>
      <c r="I222" t="s">
        <v>4707</v>
      </c>
      <c r="J222" t="s">
        <v>4708</v>
      </c>
      <c r="K222" t="s">
        <v>74</v>
      </c>
      <c r="L222" t="s">
        <v>74</v>
      </c>
      <c r="M222" t="s">
        <v>78</v>
      </c>
      <c r="N222" t="s">
        <v>79</v>
      </c>
      <c r="O222" t="s">
        <v>74</v>
      </c>
      <c r="P222" t="s">
        <v>74</v>
      </c>
      <c r="Q222" t="s">
        <v>74</v>
      </c>
      <c r="R222" t="s">
        <v>74</v>
      </c>
      <c r="S222" t="s">
        <v>74</v>
      </c>
      <c r="T222" t="s">
        <v>4709</v>
      </c>
      <c r="U222" t="s">
        <v>4710</v>
      </c>
      <c r="V222" t="s">
        <v>4711</v>
      </c>
      <c r="W222" t="s">
        <v>4712</v>
      </c>
      <c r="X222" t="s">
        <v>4713</v>
      </c>
      <c r="Y222" t="s">
        <v>4714</v>
      </c>
      <c r="Z222" t="s">
        <v>4715</v>
      </c>
      <c r="AA222" t="s">
        <v>4716</v>
      </c>
      <c r="AB222" t="s">
        <v>4717</v>
      </c>
      <c r="AC222" t="s">
        <v>4718</v>
      </c>
      <c r="AD222" t="s">
        <v>4719</v>
      </c>
      <c r="AE222" t="s">
        <v>4720</v>
      </c>
      <c r="AF222" t="s">
        <v>74</v>
      </c>
      <c r="AG222">
        <v>90</v>
      </c>
      <c r="AH222">
        <v>16</v>
      </c>
      <c r="AI222">
        <v>19</v>
      </c>
      <c r="AJ222">
        <v>0</v>
      </c>
      <c r="AK222">
        <v>7</v>
      </c>
      <c r="AL222" t="s">
        <v>3413</v>
      </c>
      <c r="AM222" t="s">
        <v>278</v>
      </c>
      <c r="AN222" t="s">
        <v>3414</v>
      </c>
      <c r="AO222" t="s">
        <v>4721</v>
      </c>
      <c r="AP222" t="s">
        <v>4722</v>
      </c>
      <c r="AQ222" t="s">
        <v>74</v>
      </c>
      <c r="AR222" t="s">
        <v>4723</v>
      </c>
      <c r="AS222" t="s">
        <v>4724</v>
      </c>
      <c r="AT222" t="s">
        <v>3298</v>
      </c>
      <c r="AU222">
        <v>2018</v>
      </c>
      <c r="AV222">
        <v>183</v>
      </c>
      <c r="AW222">
        <v>1</v>
      </c>
      <c r="AX222" t="s">
        <v>74</v>
      </c>
      <c r="AY222" t="s">
        <v>74</v>
      </c>
      <c r="AZ222" t="s">
        <v>74</v>
      </c>
      <c r="BA222" t="s">
        <v>74</v>
      </c>
      <c r="BB222">
        <v>1</v>
      </c>
      <c r="BC222">
        <v>51</v>
      </c>
      <c r="BD222" t="s">
        <v>74</v>
      </c>
      <c r="BE222" t="s">
        <v>74</v>
      </c>
      <c r="BF222" t="s">
        <v>74</v>
      </c>
      <c r="BG222" t="s">
        <v>74</v>
      </c>
      <c r="BH222" t="s">
        <v>74</v>
      </c>
      <c r="BI222">
        <v>51</v>
      </c>
      <c r="BJ222" t="s">
        <v>2624</v>
      </c>
      <c r="BK222" t="s">
        <v>101</v>
      </c>
      <c r="BL222" t="s">
        <v>2624</v>
      </c>
      <c r="BM222" t="s">
        <v>4725</v>
      </c>
      <c r="BN222" t="s">
        <v>74</v>
      </c>
      <c r="BO222" t="s">
        <v>74</v>
      </c>
      <c r="BP222" t="s">
        <v>74</v>
      </c>
      <c r="BQ222" t="s">
        <v>74</v>
      </c>
      <c r="BR222" t="s">
        <v>105</v>
      </c>
      <c r="BS222" t="s">
        <v>4726</v>
      </c>
      <c r="BT222" t="str">
        <f>HYPERLINK("https%3A%2F%2Fwww.webofscience.com%2Fwos%2Fwoscc%2Ffull-record%2FWOS:000432303500001","View Full Record in Web of Science")</f>
        <v>View Full Record in Web of Science</v>
      </c>
    </row>
    <row r="223" spans="1:72" x14ac:dyDescent="0.15">
      <c r="A223" t="s">
        <v>72</v>
      </c>
      <c r="B223" t="s">
        <v>4727</v>
      </c>
      <c r="C223" t="s">
        <v>74</v>
      </c>
      <c r="D223" t="s">
        <v>74</v>
      </c>
      <c r="E223" t="s">
        <v>74</v>
      </c>
      <c r="F223" t="s">
        <v>4728</v>
      </c>
      <c r="G223" t="s">
        <v>74</v>
      </c>
      <c r="H223" t="s">
        <v>74</v>
      </c>
      <c r="I223" t="s">
        <v>4729</v>
      </c>
      <c r="J223" t="s">
        <v>4730</v>
      </c>
      <c r="K223" t="s">
        <v>74</v>
      </c>
      <c r="L223" t="s">
        <v>74</v>
      </c>
      <c r="M223" t="s">
        <v>78</v>
      </c>
      <c r="N223" t="s">
        <v>999</v>
      </c>
      <c r="O223" t="s">
        <v>74</v>
      </c>
      <c r="P223" t="s">
        <v>74</v>
      </c>
      <c r="Q223" t="s">
        <v>74</v>
      </c>
      <c r="R223" t="s">
        <v>74</v>
      </c>
      <c r="S223" t="s">
        <v>74</v>
      </c>
      <c r="T223" t="s">
        <v>74</v>
      </c>
      <c r="U223" t="s">
        <v>74</v>
      </c>
      <c r="V223" t="s">
        <v>74</v>
      </c>
      <c r="W223" t="s">
        <v>4731</v>
      </c>
      <c r="X223" t="s">
        <v>4732</v>
      </c>
      <c r="Y223" t="s">
        <v>4733</v>
      </c>
      <c r="Z223" t="s">
        <v>4734</v>
      </c>
      <c r="AA223" t="s">
        <v>4735</v>
      </c>
      <c r="AB223" t="s">
        <v>4736</v>
      </c>
      <c r="AC223" t="s">
        <v>74</v>
      </c>
      <c r="AD223" t="s">
        <v>74</v>
      </c>
      <c r="AE223" t="s">
        <v>74</v>
      </c>
      <c r="AF223" t="s">
        <v>74</v>
      </c>
      <c r="AG223">
        <v>1</v>
      </c>
      <c r="AH223">
        <v>0</v>
      </c>
      <c r="AI223">
        <v>0</v>
      </c>
      <c r="AJ223">
        <v>0</v>
      </c>
      <c r="AK223">
        <v>4</v>
      </c>
      <c r="AL223" t="s">
        <v>252</v>
      </c>
      <c r="AM223" t="s">
        <v>253</v>
      </c>
      <c r="AN223" t="s">
        <v>254</v>
      </c>
      <c r="AO223" t="s">
        <v>4737</v>
      </c>
      <c r="AP223" t="s">
        <v>4738</v>
      </c>
      <c r="AQ223" t="s">
        <v>74</v>
      </c>
      <c r="AR223" t="s">
        <v>4739</v>
      </c>
      <c r="AS223" t="s">
        <v>4740</v>
      </c>
      <c r="AT223" t="s">
        <v>3298</v>
      </c>
      <c r="AU223">
        <v>2018</v>
      </c>
      <c r="AV223">
        <v>11</v>
      </c>
      <c r="AW223">
        <v>4</v>
      </c>
      <c r="AX223" t="s">
        <v>74</v>
      </c>
      <c r="AY223" t="s">
        <v>74</v>
      </c>
      <c r="AZ223" t="s">
        <v>74</v>
      </c>
      <c r="BA223" t="s">
        <v>74</v>
      </c>
      <c r="BB223">
        <v>483</v>
      </c>
      <c r="BC223">
        <v>483</v>
      </c>
      <c r="BD223" t="s">
        <v>74</v>
      </c>
      <c r="BE223" t="s">
        <v>4741</v>
      </c>
      <c r="BF223" t="str">
        <f>HYPERLINK("http://dx.doi.org/10.1007/s11869-017-0540-6","http://dx.doi.org/10.1007/s11869-017-0540-6")</f>
        <v>http://dx.doi.org/10.1007/s11869-017-0540-6</v>
      </c>
      <c r="BG223" t="s">
        <v>74</v>
      </c>
      <c r="BH223" t="s">
        <v>74</v>
      </c>
      <c r="BI223">
        <v>1</v>
      </c>
      <c r="BJ223" t="s">
        <v>921</v>
      </c>
      <c r="BK223" t="s">
        <v>101</v>
      </c>
      <c r="BL223" t="s">
        <v>315</v>
      </c>
      <c r="BM223" t="s">
        <v>4742</v>
      </c>
      <c r="BN223" t="s">
        <v>74</v>
      </c>
      <c r="BO223" t="s">
        <v>162</v>
      </c>
      <c r="BP223" t="s">
        <v>74</v>
      </c>
      <c r="BQ223" t="s">
        <v>74</v>
      </c>
      <c r="BR223" t="s">
        <v>105</v>
      </c>
      <c r="BS223" t="s">
        <v>4743</v>
      </c>
      <c r="BT223" t="str">
        <f>HYPERLINK("https%3A%2F%2Fwww.webofscience.com%2Fwos%2Fwoscc%2Ffull-record%2FWOS:000432353800011","View Full Record in Web of Science")</f>
        <v>View Full Record in Web of Science</v>
      </c>
    </row>
    <row r="224" spans="1:72" x14ac:dyDescent="0.15">
      <c r="A224" t="s">
        <v>72</v>
      </c>
      <c r="B224" t="s">
        <v>4744</v>
      </c>
      <c r="C224" t="s">
        <v>74</v>
      </c>
      <c r="D224" t="s">
        <v>74</v>
      </c>
      <c r="E224" t="s">
        <v>74</v>
      </c>
      <c r="F224" t="s">
        <v>4745</v>
      </c>
      <c r="G224" t="s">
        <v>74</v>
      </c>
      <c r="H224" t="s">
        <v>74</v>
      </c>
      <c r="I224" t="s">
        <v>4746</v>
      </c>
      <c r="J224" t="s">
        <v>3330</v>
      </c>
      <c r="K224" t="s">
        <v>74</v>
      </c>
      <c r="L224" t="s">
        <v>74</v>
      </c>
      <c r="M224" t="s">
        <v>78</v>
      </c>
      <c r="N224" t="s">
        <v>79</v>
      </c>
      <c r="O224" t="s">
        <v>74</v>
      </c>
      <c r="P224" t="s">
        <v>74</v>
      </c>
      <c r="Q224" t="s">
        <v>74</v>
      </c>
      <c r="R224" t="s">
        <v>74</v>
      </c>
      <c r="S224" t="s">
        <v>74</v>
      </c>
      <c r="T224" t="s">
        <v>4747</v>
      </c>
      <c r="U224" t="s">
        <v>4748</v>
      </c>
      <c r="V224" t="s">
        <v>4749</v>
      </c>
      <c r="W224" t="s">
        <v>4750</v>
      </c>
      <c r="X224" t="s">
        <v>4751</v>
      </c>
      <c r="Y224" t="s">
        <v>4752</v>
      </c>
      <c r="Z224" t="s">
        <v>4753</v>
      </c>
      <c r="AA224" t="s">
        <v>4754</v>
      </c>
      <c r="AB224" t="s">
        <v>4755</v>
      </c>
      <c r="AC224" t="s">
        <v>4756</v>
      </c>
      <c r="AD224" t="s">
        <v>4757</v>
      </c>
      <c r="AE224" t="s">
        <v>4758</v>
      </c>
      <c r="AF224" t="s">
        <v>74</v>
      </c>
      <c r="AG224">
        <v>33</v>
      </c>
      <c r="AH224">
        <v>28</v>
      </c>
      <c r="AI224">
        <v>29</v>
      </c>
      <c r="AJ224">
        <v>0</v>
      </c>
      <c r="AK224">
        <v>12</v>
      </c>
      <c r="AL224" t="s">
        <v>1511</v>
      </c>
      <c r="AM224" t="s">
        <v>1512</v>
      </c>
      <c r="AN224" t="s">
        <v>1513</v>
      </c>
      <c r="AO224" t="s">
        <v>3343</v>
      </c>
      <c r="AP224" t="s">
        <v>74</v>
      </c>
      <c r="AQ224" t="s">
        <v>74</v>
      </c>
      <c r="AR224" t="s">
        <v>3344</v>
      </c>
      <c r="AS224" t="s">
        <v>3345</v>
      </c>
      <c r="AT224" t="s">
        <v>3298</v>
      </c>
      <c r="AU224">
        <v>2018</v>
      </c>
      <c r="AV224">
        <v>13</v>
      </c>
      <c r="AW224">
        <v>5</v>
      </c>
      <c r="AX224" t="s">
        <v>74</v>
      </c>
      <c r="AY224" t="s">
        <v>74</v>
      </c>
      <c r="AZ224" t="s">
        <v>74</v>
      </c>
      <c r="BA224" t="s">
        <v>74</v>
      </c>
      <c r="BB224" t="s">
        <v>74</v>
      </c>
      <c r="BC224" t="s">
        <v>74</v>
      </c>
      <c r="BD224">
        <v>54032</v>
      </c>
      <c r="BE224" t="s">
        <v>4759</v>
      </c>
      <c r="BF224" t="str">
        <f>HYPERLINK("http://dx.doi.org/10.1088/1748-9326/aabf78","http://dx.doi.org/10.1088/1748-9326/aabf78")</f>
        <v>http://dx.doi.org/10.1088/1748-9326/aabf78</v>
      </c>
      <c r="BG224" t="s">
        <v>74</v>
      </c>
      <c r="BH224" t="s">
        <v>74</v>
      </c>
      <c r="BI224">
        <v>9</v>
      </c>
      <c r="BJ224" t="s">
        <v>285</v>
      </c>
      <c r="BK224" t="s">
        <v>101</v>
      </c>
      <c r="BL224" t="s">
        <v>286</v>
      </c>
      <c r="BM224" t="s">
        <v>4760</v>
      </c>
      <c r="BN224" t="s">
        <v>74</v>
      </c>
      <c r="BO224" t="s">
        <v>4761</v>
      </c>
      <c r="BP224" t="s">
        <v>74</v>
      </c>
      <c r="BQ224" t="s">
        <v>74</v>
      </c>
      <c r="BR224" t="s">
        <v>105</v>
      </c>
      <c r="BS224" t="s">
        <v>4762</v>
      </c>
      <c r="BT224" t="str">
        <f>HYPERLINK("https%3A%2F%2Fwww.webofscience.com%2Fwos%2Fwoscc%2Ffull-record%2FWOS:000432438700001","View Full Record in Web of Science")</f>
        <v>View Full Record in Web of Science</v>
      </c>
    </row>
    <row r="225" spans="1:72" x14ac:dyDescent="0.15">
      <c r="A225" t="s">
        <v>72</v>
      </c>
      <c r="B225" t="s">
        <v>4763</v>
      </c>
      <c r="C225" t="s">
        <v>74</v>
      </c>
      <c r="D225" t="s">
        <v>74</v>
      </c>
      <c r="E225" t="s">
        <v>74</v>
      </c>
      <c r="F225" t="s">
        <v>4764</v>
      </c>
      <c r="G225" t="s">
        <v>74</v>
      </c>
      <c r="H225" t="s">
        <v>74</v>
      </c>
      <c r="I225" t="s">
        <v>4765</v>
      </c>
      <c r="J225" t="s">
        <v>4766</v>
      </c>
      <c r="K225" t="s">
        <v>74</v>
      </c>
      <c r="L225" t="s">
        <v>74</v>
      </c>
      <c r="M225" t="s">
        <v>78</v>
      </c>
      <c r="N225" t="s">
        <v>79</v>
      </c>
      <c r="O225" t="s">
        <v>74</v>
      </c>
      <c r="P225" t="s">
        <v>74</v>
      </c>
      <c r="Q225" t="s">
        <v>74</v>
      </c>
      <c r="R225" t="s">
        <v>74</v>
      </c>
      <c r="S225" t="s">
        <v>74</v>
      </c>
      <c r="T225" t="s">
        <v>4767</v>
      </c>
      <c r="U225" t="s">
        <v>4768</v>
      </c>
      <c r="V225" t="s">
        <v>4769</v>
      </c>
      <c r="W225" t="s">
        <v>4770</v>
      </c>
      <c r="X225" t="s">
        <v>4771</v>
      </c>
      <c r="Y225" t="s">
        <v>4772</v>
      </c>
      <c r="Z225" t="s">
        <v>4773</v>
      </c>
      <c r="AA225" t="s">
        <v>74</v>
      </c>
      <c r="AB225" t="s">
        <v>4774</v>
      </c>
      <c r="AC225" t="s">
        <v>4775</v>
      </c>
      <c r="AD225" t="s">
        <v>4776</v>
      </c>
      <c r="AE225" t="s">
        <v>4777</v>
      </c>
      <c r="AF225" t="s">
        <v>74</v>
      </c>
      <c r="AG225">
        <v>46</v>
      </c>
      <c r="AH225">
        <v>4</v>
      </c>
      <c r="AI225">
        <v>5</v>
      </c>
      <c r="AJ225">
        <v>1</v>
      </c>
      <c r="AK225">
        <v>32</v>
      </c>
      <c r="AL225" t="s">
        <v>397</v>
      </c>
      <c r="AM225" t="s">
        <v>398</v>
      </c>
      <c r="AN225" t="s">
        <v>399</v>
      </c>
      <c r="AO225" t="s">
        <v>4778</v>
      </c>
      <c r="AP225" t="s">
        <v>4779</v>
      </c>
      <c r="AQ225" t="s">
        <v>74</v>
      </c>
      <c r="AR225" t="s">
        <v>4780</v>
      </c>
      <c r="AS225" t="s">
        <v>4781</v>
      </c>
      <c r="AT225" t="s">
        <v>3298</v>
      </c>
      <c r="AU225">
        <v>2018</v>
      </c>
      <c r="AV225">
        <v>25</v>
      </c>
      <c r="AW225">
        <v>13</v>
      </c>
      <c r="AX225" t="s">
        <v>74</v>
      </c>
      <c r="AY225" t="s">
        <v>74</v>
      </c>
      <c r="AZ225" t="s">
        <v>508</v>
      </c>
      <c r="BA225" t="s">
        <v>74</v>
      </c>
      <c r="BB225">
        <v>13004</v>
      </c>
      <c r="BC225">
        <v>13013</v>
      </c>
      <c r="BD225" t="s">
        <v>74</v>
      </c>
      <c r="BE225" t="s">
        <v>4782</v>
      </c>
      <c r="BF225" t="str">
        <f>HYPERLINK("http://dx.doi.org/10.1007/s11356-018-1572-7","http://dx.doi.org/10.1007/s11356-018-1572-7")</f>
        <v>http://dx.doi.org/10.1007/s11356-018-1572-7</v>
      </c>
      <c r="BG225" t="s">
        <v>74</v>
      </c>
      <c r="BH225" t="s">
        <v>74</v>
      </c>
      <c r="BI225">
        <v>10</v>
      </c>
      <c r="BJ225" t="s">
        <v>921</v>
      </c>
      <c r="BK225" t="s">
        <v>101</v>
      </c>
      <c r="BL225" t="s">
        <v>315</v>
      </c>
      <c r="BM225" t="s">
        <v>4783</v>
      </c>
      <c r="BN225">
        <v>29480393</v>
      </c>
      <c r="BO225" t="s">
        <v>74</v>
      </c>
      <c r="BP225" t="s">
        <v>74</v>
      </c>
      <c r="BQ225" t="s">
        <v>74</v>
      </c>
      <c r="BR225" t="s">
        <v>105</v>
      </c>
      <c r="BS225" t="s">
        <v>4784</v>
      </c>
      <c r="BT225" t="str">
        <f>HYPERLINK("https%3A%2F%2Fwww.webofscience.com%2Fwos%2Fwoscc%2Ffull-record%2FWOS:000431883500072","View Full Record in Web of Science")</f>
        <v>View Full Record in Web of Science</v>
      </c>
    </row>
    <row r="226" spans="1:72" x14ac:dyDescent="0.15">
      <c r="A226" t="s">
        <v>72</v>
      </c>
      <c r="B226" t="s">
        <v>4785</v>
      </c>
      <c r="C226" t="s">
        <v>74</v>
      </c>
      <c r="D226" t="s">
        <v>74</v>
      </c>
      <c r="E226" t="s">
        <v>74</v>
      </c>
      <c r="F226" t="s">
        <v>4786</v>
      </c>
      <c r="G226" t="s">
        <v>74</v>
      </c>
      <c r="H226" t="s">
        <v>74</v>
      </c>
      <c r="I226" t="s">
        <v>4787</v>
      </c>
      <c r="J226" t="s">
        <v>4788</v>
      </c>
      <c r="K226" t="s">
        <v>74</v>
      </c>
      <c r="L226" t="s">
        <v>74</v>
      </c>
      <c r="M226" t="s">
        <v>78</v>
      </c>
      <c r="N226" t="s">
        <v>79</v>
      </c>
      <c r="O226" t="s">
        <v>74</v>
      </c>
      <c r="P226" t="s">
        <v>74</v>
      </c>
      <c r="Q226" t="s">
        <v>74</v>
      </c>
      <c r="R226" t="s">
        <v>74</v>
      </c>
      <c r="S226" t="s">
        <v>74</v>
      </c>
      <c r="T226" t="s">
        <v>4789</v>
      </c>
      <c r="U226" t="s">
        <v>4790</v>
      </c>
      <c r="V226" t="s">
        <v>4791</v>
      </c>
      <c r="W226" t="s">
        <v>4792</v>
      </c>
      <c r="X226" t="s">
        <v>4793</v>
      </c>
      <c r="Y226" t="s">
        <v>4794</v>
      </c>
      <c r="Z226" t="s">
        <v>4795</v>
      </c>
      <c r="AA226" t="s">
        <v>4796</v>
      </c>
      <c r="AB226" t="s">
        <v>4797</v>
      </c>
      <c r="AC226" t="s">
        <v>4798</v>
      </c>
      <c r="AD226" t="s">
        <v>4799</v>
      </c>
      <c r="AE226" t="s">
        <v>4800</v>
      </c>
      <c r="AF226" t="s">
        <v>74</v>
      </c>
      <c r="AG226">
        <v>29</v>
      </c>
      <c r="AH226">
        <v>18</v>
      </c>
      <c r="AI226">
        <v>19</v>
      </c>
      <c r="AJ226">
        <v>1</v>
      </c>
      <c r="AK226">
        <v>16</v>
      </c>
      <c r="AL226" t="s">
        <v>914</v>
      </c>
      <c r="AM226" t="s">
        <v>452</v>
      </c>
      <c r="AN226" t="s">
        <v>915</v>
      </c>
      <c r="AO226" t="s">
        <v>4801</v>
      </c>
      <c r="AP226" t="s">
        <v>4802</v>
      </c>
      <c r="AQ226" t="s">
        <v>74</v>
      </c>
      <c r="AR226" t="s">
        <v>4803</v>
      </c>
      <c r="AS226" t="s">
        <v>4804</v>
      </c>
      <c r="AT226" t="s">
        <v>3298</v>
      </c>
      <c r="AU226">
        <v>2018</v>
      </c>
      <c r="AV226">
        <v>90</v>
      </c>
      <c r="AW226" t="s">
        <v>74</v>
      </c>
      <c r="AX226" t="s">
        <v>74</v>
      </c>
      <c r="AY226" t="s">
        <v>74</v>
      </c>
      <c r="AZ226" t="s">
        <v>74</v>
      </c>
      <c r="BA226" t="s">
        <v>74</v>
      </c>
      <c r="BB226">
        <v>59</v>
      </c>
      <c r="BC226">
        <v>65</v>
      </c>
      <c r="BD226" t="s">
        <v>74</v>
      </c>
      <c r="BE226" t="s">
        <v>4805</v>
      </c>
      <c r="BF226" t="str">
        <f>HYPERLINK("http://dx.doi.org/10.1016/j.infrared.2018.02.008","http://dx.doi.org/10.1016/j.infrared.2018.02.008")</f>
        <v>http://dx.doi.org/10.1016/j.infrared.2018.02.008</v>
      </c>
      <c r="BG226" t="s">
        <v>74</v>
      </c>
      <c r="BH226" t="s">
        <v>74</v>
      </c>
      <c r="BI226">
        <v>7</v>
      </c>
      <c r="BJ226" t="s">
        <v>4806</v>
      </c>
      <c r="BK226" t="s">
        <v>101</v>
      </c>
      <c r="BL226" t="s">
        <v>4807</v>
      </c>
      <c r="BM226" t="s">
        <v>4808</v>
      </c>
      <c r="BN226" t="s">
        <v>74</v>
      </c>
      <c r="BO226" t="s">
        <v>288</v>
      </c>
      <c r="BP226" t="s">
        <v>74</v>
      </c>
      <c r="BQ226" t="s">
        <v>74</v>
      </c>
      <c r="BR226" t="s">
        <v>105</v>
      </c>
      <c r="BS226" t="s">
        <v>4809</v>
      </c>
      <c r="BT226" t="str">
        <f>HYPERLINK("https%3A%2F%2Fwww.webofscience.com%2Fwos%2Fwoscc%2Ffull-record%2FWOS:000431935500008","View Full Record in Web of Science")</f>
        <v>View Full Record in Web of Science</v>
      </c>
    </row>
    <row r="227" spans="1:72" x14ac:dyDescent="0.15">
      <c r="A227" t="s">
        <v>72</v>
      </c>
      <c r="B227" t="s">
        <v>4810</v>
      </c>
      <c r="C227" t="s">
        <v>74</v>
      </c>
      <c r="D227" t="s">
        <v>74</v>
      </c>
      <c r="E227" t="s">
        <v>74</v>
      </c>
      <c r="F227" t="s">
        <v>4811</v>
      </c>
      <c r="G227" t="s">
        <v>74</v>
      </c>
      <c r="H227" t="s">
        <v>74</v>
      </c>
      <c r="I227" t="s">
        <v>4812</v>
      </c>
      <c r="J227" t="s">
        <v>3697</v>
      </c>
      <c r="K227" t="s">
        <v>74</v>
      </c>
      <c r="L227" t="s">
        <v>74</v>
      </c>
      <c r="M227" t="s">
        <v>78</v>
      </c>
      <c r="N227" t="s">
        <v>79</v>
      </c>
      <c r="O227" t="s">
        <v>74</v>
      </c>
      <c r="P227" t="s">
        <v>74</v>
      </c>
      <c r="Q227" t="s">
        <v>74</v>
      </c>
      <c r="R227" t="s">
        <v>74</v>
      </c>
      <c r="S227" t="s">
        <v>74</v>
      </c>
      <c r="T227" t="s">
        <v>74</v>
      </c>
      <c r="U227" t="s">
        <v>4813</v>
      </c>
      <c r="V227" t="s">
        <v>4814</v>
      </c>
      <c r="W227" t="s">
        <v>4815</v>
      </c>
      <c r="X227" t="s">
        <v>4816</v>
      </c>
      <c r="Y227" t="s">
        <v>4817</v>
      </c>
      <c r="Z227" t="s">
        <v>4818</v>
      </c>
      <c r="AA227" t="s">
        <v>74</v>
      </c>
      <c r="AB227" t="s">
        <v>4819</v>
      </c>
      <c r="AC227" t="s">
        <v>4820</v>
      </c>
      <c r="AD227" t="s">
        <v>4821</v>
      </c>
      <c r="AE227" t="s">
        <v>4822</v>
      </c>
      <c r="AF227" t="s">
        <v>74</v>
      </c>
      <c r="AG227">
        <v>51</v>
      </c>
      <c r="AH227">
        <v>13</v>
      </c>
      <c r="AI227">
        <v>17</v>
      </c>
      <c r="AJ227">
        <v>1</v>
      </c>
      <c r="AK227">
        <v>12</v>
      </c>
      <c r="AL227" t="s">
        <v>179</v>
      </c>
      <c r="AM227" t="s">
        <v>180</v>
      </c>
      <c r="AN227" t="s">
        <v>181</v>
      </c>
      <c r="AO227" t="s">
        <v>3709</v>
      </c>
      <c r="AP227" t="s">
        <v>3710</v>
      </c>
      <c r="AQ227" t="s">
        <v>74</v>
      </c>
      <c r="AR227" t="s">
        <v>3711</v>
      </c>
      <c r="AS227" t="s">
        <v>3712</v>
      </c>
      <c r="AT227" t="s">
        <v>3298</v>
      </c>
      <c r="AU227">
        <v>2018</v>
      </c>
      <c r="AV227">
        <v>63</v>
      </c>
      <c r="AW227">
        <v>3</v>
      </c>
      <c r="AX227" t="s">
        <v>74</v>
      </c>
      <c r="AY227" t="s">
        <v>74</v>
      </c>
      <c r="AZ227" t="s">
        <v>74</v>
      </c>
      <c r="BA227" t="s">
        <v>74</v>
      </c>
      <c r="BB227">
        <v>1234</v>
      </c>
      <c r="BC227">
        <v>1252</v>
      </c>
      <c r="BD227" t="s">
        <v>74</v>
      </c>
      <c r="BE227" t="s">
        <v>4823</v>
      </c>
      <c r="BF227" t="str">
        <f>HYPERLINK("http://dx.doi.org/10.1002/lno.10768","http://dx.doi.org/10.1002/lno.10768")</f>
        <v>http://dx.doi.org/10.1002/lno.10768</v>
      </c>
      <c r="BG227" t="s">
        <v>74</v>
      </c>
      <c r="BH227" t="s">
        <v>74</v>
      </c>
      <c r="BI227">
        <v>19</v>
      </c>
      <c r="BJ227" t="s">
        <v>3714</v>
      </c>
      <c r="BK227" t="s">
        <v>101</v>
      </c>
      <c r="BL227" t="s">
        <v>693</v>
      </c>
      <c r="BM227" t="s">
        <v>3715</v>
      </c>
      <c r="BN227" t="s">
        <v>74</v>
      </c>
      <c r="BO227" t="s">
        <v>2416</v>
      </c>
      <c r="BP227" t="s">
        <v>74</v>
      </c>
      <c r="BQ227" t="s">
        <v>74</v>
      </c>
      <c r="BR227" t="s">
        <v>105</v>
      </c>
      <c r="BS227" t="s">
        <v>4824</v>
      </c>
      <c r="BT227" t="str">
        <f>HYPERLINK("https%3A%2F%2Fwww.webofscience.com%2Fwos%2Fwoscc%2Ffull-record%2FWOS:000432019600014","View Full Record in Web of Science")</f>
        <v>View Full Record in Web of Science</v>
      </c>
    </row>
    <row r="228" spans="1:72" x14ac:dyDescent="0.15">
      <c r="A228" t="s">
        <v>72</v>
      </c>
      <c r="B228" t="s">
        <v>4825</v>
      </c>
      <c r="C228" t="s">
        <v>74</v>
      </c>
      <c r="D228" t="s">
        <v>74</v>
      </c>
      <c r="E228" t="s">
        <v>74</v>
      </c>
      <c r="F228" t="s">
        <v>4826</v>
      </c>
      <c r="G228" t="s">
        <v>74</v>
      </c>
      <c r="H228" t="s">
        <v>74</v>
      </c>
      <c r="I228" t="s">
        <v>4827</v>
      </c>
      <c r="J228" t="s">
        <v>3697</v>
      </c>
      <c r="K228" t="s">
        <v>74</v>
      </c>
      <c r="L228" t="s">
        <v>74</v>
      </c>
      <c r="M228" t="s">
        <v>78</v>
      </c>
      <c r="N228" t="s">
        <v>79</v>
      </c>
      <c r="O228" t="s">
        <v>74</v>
      </c>
      <c r="P228" t="s">
        <v>74</v>
      </c>
      <c r="Q228" t="s">
        <v>74</v>
      </c>
      <c r="R228" t="s">
        <v>74</v>
      </c>
      <c r="S228" t="s">
        <v>74</v>
      </c>
      <c r="T228" t="s">
        <v>74</v>
      </c>
      <c r="U228" t="s">
        <v>4828</v>
      </c>
      <c r="V228" t="s">
        <v>4829</v>
      </c>
      <c r="W228" t="s">
        <v>4830</v>
      </c>
      <c r="X228" t="s">
        <v>4831</v>
      </c>
      <c r="Y228" t="s">
        <v>4832</v>
      </c>
      <c r="Z228" t="s">
        <v>4833</v>
      </c>
      <c r="AA228" t="s">
        <v>4834</v>
      </c>
      <c r="AB228" t="s">
        <v>4835</v>
      </c>
      <c r="AC228" t="s">
        <v>4836</v>
      </c>
      <c r="AD228" t="s">
        <v>4837</v>
      </c>
      <c r="AE228" t="s">
        <v>4838</v>
      </c>
      <c r="AF228" t="s">
        <v>74</v>
      </c>
      <c r="AG228">
        <v>71</v>
      </c>
      <c r="AH228">
        <v>19</v>
      </c>
      <c r="AI228">
        <v>21</v>
      </c>
      <c r="AJ228">
        <v>6</v>
      </c>
      <c r="AK228">
        <v>46</v>
      </c>
      <c r="AL228" t="s">
        <v>179</v>
      </c>
      <c r="AM228" t="s">
        <v>180</v>
      </c>
      <c r="AN228" t="s">
        <v>181</v>
      </c>
      <c r="AO228" t="s">
        <v>3709</v>
      </c>
      <c r="AP228" t="s">
        <v>3710</v>
      </c>
      <c r="AQ228" t="s">
        <v>74</v>
      </c>
      <c r="AR228" t="s">
        <v>3711</v>
      </c>
      <c r="AS228" t="s">
        <v>3712</v>
      </c>
      <c r="AT228" t="s">
        <v>3298</v>
      </c>
      <c r="AU228">
        <v>2018</v>
      </c>
      <c r="AV228">
        <v>63</v>
      </c>
      <c r="AW228">
        <v>3</v>
      </c>
      <c r="AX228" t="s">
        <v>74</v>
      </c>
      <c r="AY228" t="s">
        <v>74</v>
      </c>
      <c r="AZ228" t="s">
        <v>74</v>
      </c>
      <c r="BA228" t="s">
        <v>74</v>
      </c>
      <c r="BB228">
        <v>1395</v>
      </c>
      <c r="BC228">
        <v>1406</v>
      </c>
      <c r="BD228" t="s">
        <v>74</v>
      </c>
      <c r="BE228" t="s">
        <v>4839</v>
      </c>
      <c r="BF228" t="str">
        <f>HYPERLINK("http://dx.doi.org/10.1002/lno.10780","http://dx.doi.org/10.1002/lno.10780")</f>
        <v>http://dx.doi.org/10.1002/lno.10780</v>
      </c>
      <c r="BG228" t="s">
        <v>74</v>
      </c>
      <c r="BH228" t="s">
        <v>74</v>
      </c>
      <c r="BI228">
        <v>12</v>
      </c>
      <c r="BJ228" t="s">
        <v>3714</v>
      </c>
      <c r="BK228" t="s">
        <v>101</v>
      </c>
      <c r="BL228" t="s">
        <v>693</v>
      </c>
      <c r="BM228" t="s">
        <v>3715</v>
      </c>
      <c r="BN228" t="s">
        <v>74</v>
      </c>
      <c r="BO228" t="s">
        <v>4840</v>
      </c>
      <c r="BP228" t="s">
        <v>74</v>
      </c>
      <c r="BQ228" t="s">
        <v>74</v>
      </c>
      <c r="BR228" t="s">
        <v>105</v>
      </c>
      <c r="BS228" t="s">
        <v>4841</v>
      </c>
      <c r="BT228" t="str">
        <f>HYPERLINK("https%3A%2F%2Fwww.webofscience.com%2Fwos%2Fwoscc%2Ffull-record%2FWOS:000432019600025","View Full Record in Web of Science")</f>
        <v>View Full Record in Web of Science</v>
      </c>
    </row>
    <row r="229" spans="1:72" x14ac:dyDescent="0.15">
      <c r="A229" t="s">
        <v>72</v>
      </c>
      <c r="B229" t="s">
        <v>4842</v>
      </c>
      <c r="C229" t="s">
        <v>74</v>
      </c>
      <c r="D229" t="s">
        <v>74</v>
      </c>
      <c r="E229" t="s">
        <v>74</v>
      </c>
      <c r="F229" t="s">
        <v>4843</v>
      </c>
      <c r="G229" t="s">
        <v>74</v>
      </c>
      <c r="H229" t="s">
        <v>74</v>
      </c>
      <c r="I229" t="s">
        <v>4844</v>
      </c>
      <c r="J229" t="s">
        <v>4845</v>
      </c>
      <c r="K229" t="s">
        <v>74</v>
      </c>
      <c r="L229" t="s">
        <v>74</v>
      </c>
      <c r="M229" t="s">
        <v>78</v>
      </c>
      <c r="N229" t="s">
        <v>79</v>
      </c>
      <c r="O229" t="s">
        <v>74</v>
      </c>
      <c r="P229" t="s">
        <v>74</v>
      </c>
      <c r="Q229" t="s">
        <v>74</v>
      </c>
      <c r="R229" t="s">
        <v>74</v>
      </c>
      <c r="S229" t="s">
        <v>74</v>
      </c>
      <c r="T229" t="s">
        <v>4846</v>
      </c>
      <c r="U229" t="s">
        <v>4847</v>
      </c>
      <c r="V229" t="s">
        <v>4848</v>
      </c>
      <c r="W229" t="s">
        <v>4849</v>
      </c>
      <c r="X229" t="s">
        <v>4850</v>
      </c>
      <c r="Y229" t="s">
        <v>4851</v>
      </c>
      <c r="Z229" t="s">
        <v>4852</v>
      </c>
      <c r="AA229" t="s">
        <v>4853</v>
      </c>
      <c r="AB229" t="s">
        <v>4854</v>
      </c>
      <c r="AC229" t="s">
        <v>4855</v>
      </c>
      <c r="AD229" t="s">
        <v>4856</v>
      </c>
      <c r="AE229" t="s">
        <v>4857</v>
      </c>
      <c r="AF229" t="s">
        <v>74</v>
      </c>
      <c r="AG229">
        <v>52</v>
      </c>
      <c r="AH229">
        <v>4</v>
      </c>
      <c r="AI229">
        <v>4</v>
      </c>
      <c r="AJ229">
        <v>0</v>
      </c>
      <c r="AK229">
        <v>16</v>
      </c>
      <c r="AL229" t="s">
        <v>179</v>
      </c>
      <c r="AM229" t="s">
        <v>180</v>
      </c>
      <c r="AN229" t="s">
        <v>181</v>
      </c>
      <c r="AO229" t="s">
        <v>4858</v>
      </c>
      <c r="AP229" t="s">
        <v>4859</v>
      </c>
      <c r="AQ229" t="s">
        <v>74</v>
      </c>
      <c r="AR229" t="s">
        <v>4860</v>
      </c>
      <c r="AS229" t="s">
        <v>4861</v>
      </c>
      <c r="AT229" t="s">
        <v>3298</v>
      </c>
      <c r="AU229">
        <v>2018</v>
      </c>
      <c r="AV229">
        <v>37</v>
      </c>
      <c r="AW229">
        <v>5</v>
      </c>
      <c r="AX229" t="s">
        <v>74</v>
      </c>
      <c r="AY229" t="s">
        <v>74</v>
      </c>
      <c r="AZ229" t="s">
        <v>74</v>
      </c>
      <c r="BA229" t="s">
        <v>74</v>
      </c>
      <c r="BB229">
        <v>1487</v>
      </c>
      <c r="BC229">
        <v>1495</v>
      </c>
      <c r="BD229" t="s">
        <v>74</v>
      </c>
      <c r="BE229" t="s">
        <v>4862</v>
      </c>
      <c r="BF229" t="str">
        <f>HYPERLINK("http://dx.doi.org/10.1002/etc.4075","http://dx.doi.org/10.1002/etc.4075")</f>
        <v>http://dx.doi.org/10.1002/etc.4075</v>
      </c>
      <c r="BG229" t="s">
        <v>74</v>
      </c>
      <c r="BH229" t="s">
        <v>74</v>
      </c>
      <c r="BI229">
        <v>9</v>
      </c>
      <c r="BJ229" t="s">
        <v>211</v>
      </c>
      <c r="BK229" t="s">
        <v>101</v>
      </c>
      <c r="BL229" t="s">
        <v>212</v>
      </c>
      <c r="BM229" t="s">
        <v>4863</v>
      </c>
      <c r="BN229">
        <v>29315775</v>
      </c>
      <c r="BO229" t="s">
        <v>74</v>
      </c>
      <c r="BP229" t="s">
        <v>74</v>
      </c>
      <c r="BQ229" t="s">
        <v>74</v>
      </c>
      <c r="BR229" t="s">
        <v>105</v>
      </c>
      <c r="BS229" t="s">
        <v>4864</v>
      </c>
      <c r="BT229" t="str">
        <f>HYPERLINK("https%3A%2F%2Fwww.webofscience.com%2Fwos%2Fwoscc%2Ffull-record%2FWOS:000430916000024","View Full Record in Web of Science")</f>
        <v>View Full Record in Web of Science</v>
      </c>
    </row>
    <row r="230" spans="1:72" x14ac:dyDescent="0.15">
      <c r="A230" t="s">
        <v>72</v>
      </c>
      <c r="B230" t="s">
        <v>4865</v>
      </c>
      <c r="C230" t="s">
        <v>74</v>
      </c>
      <c r="D230" t="s">
        <v>74</v>
      </c>
      <c r="E230" t="s">
        <v>74</v>
      </c>
      <c r="F230" t="s">
        <v>4866</v>
      </c>
      <c r="G230" t="s">
        <v>74</v>
      </c>
      <c r="H230" t="s">
        <v>74</v>
      </c>
      <c r="I230" t="s">
        <v>4867</v>
      </c>
      <c r="J230" t="s">
        <v>4868</v>
      </c>
      <c r="K230" t="s">
        <v>74</v>
      </c>
      <c r="L230" t="s">
        <v>74</v>
      </c>
      <c r="M230" t="s">
        <v>78</v>
      </c>
      <c r="N230" t="s">
        <v>79</v>
      </c>
      <c r="O230" t="s">
        <v>74</v>
      </c>
      <c r="P230" t="s">
        <v>74</v>
      </c>
      <c r="Q230" t="s">
        <v>74</v>
      </c>
      <c r="R230" t="s">
        <v>74</v>
      </c>
      <c r="S230" t="s">
        <v>74</v>
      </c>
      <c r="T230" t="s">
        <v>4869</v>
      </c>
      <c r="U230" t="s">
        <v>4870</v>
      </c>
      <c r="V230" t="s">
        <v>4871</v>
      </c>
      <c r="W230" t="s">
        <v>4872</v>
      </c>
      <c r="X230" t="s">
        <v>4873</v>
      </c>
      <c r="Y230" t="s">
        <v>4874</v>
      </c>
      <c r="Z230" t="s">
        <v>4875</v>
      </c>
      <c r="AA230" t="s">
        <v>74</v>
      </c>
      <c r="AB230" t="s">
        <v>4876</v>
      </c>
      <c r="AC230" t="s">
        <v>4877</v>
      </c>
      <c r="AD230" t="s">
        <v>4878</v>
      </c>
      <c r="AE230" t="s">
        <v>4879</v>
      </c>
      <c r="AF230" t="s">
        <v>74</v>
      </c>
      <c r="AG230">
        <v>14</v>
      </c>
      <c r="AH230">
        <v>20</v>
      </c>
      <c r="AI230">
        <v>20</v>
      </c>
      <c r="AJ230">
        <v>0</v>
      </c>
      <c r="AK230">
        <v>3</v>
      </c>
      <c r="AL230" t="s">
        <v>179</v>
      </c>
      <c r="AM230" t="s">
        <v>180</v>
      </c>
      <c r="AN230" t="s">
        <v>181</v>
      </c>
      <c r="AO230" t="s">
        <v>4880</v>
      </c>
      <c r="AP230" t="s">
        <v>4881</v>
      </c>
      <c r="AQ230" t="s">
        <v>74</v>
      </c>
      <c r="AR230" t="s">
        <v>4882</v>
      </c>
      <c r="AS230" t="s">
        <v>4883</v>
      </c>
      <c r="AT230" t="s">
        <v>3298</v>
      </c>
      <c r="AU230">
        <v>2018</v>
      </c>
      <c r="AV230">
        <v>16</v>
      </c>
      <c r="AW230">
        <v>5</v>
      </c>
      <c r="AX230" t="s">
        <v>74</v>
      </c>
      <c r="AY230" t="s">
        <v>74</v>
      </c>
      <c r="AZ230" t="s">
        <v>74</v>
      </c>
      <c r="BA230" t="s">
        <v>74</v>
      </c>
      <c r="BB230">
        <v>984</v>
      </c>
      <c r="BC230">
        <v>986</v>
      </c>
      <c r="BD230" t="s">
        <v>74</v>
      </c>
      <c r="BE230" t="s">
        <v>4884</v>
      </c>
      <c r="BF230" t="str">
        <f>HYPERLINK("http://dx.doi.org/10.1111/jth.13997","http://dx.doi.org/10.1111/jth.13997")</f>
        <v>http://dx.doi.org/10.1111/jth.13997</v>
      </c>
      <c r="BG230" t="s">
        <v>74</v>
      </c>
      <c r="BH230" t="s">
        <v>74</v>
      </c>
      <c r="BI230">
        <v>3</v>
      </c>
      <c r="BJ230" t="s">
        <v>4885</v>
      </c>
      <c r="BK230" t="s">
        <v>101</v>
      </c>
      <c r="BL230" t="s">
        <v>4886</v>
      </c>
      <c r="BM230" t="s">
        <v>4887</v>
      </c>
      <c r="BN230">
        <v>29512292</v>
      </c>
      <c r="BO230" t="s">
        <v>341</v>
      </c>
      <c r="BP230" t="s">
        <v>74</v>
      </c>
      <c r="BQ230" t="s">
        <v>74</v>
      </c>
      <c r="BR230" t="s">
        <v>105</v>
      </c>
      <c r="BS230" t="s">
        <v>4888</v>
      </c>
      <c r="BT230" t="str">
        <f>HYPERLINK("https%3A%2F%2Fwww.webofscience.com%2Fwos%2Fwoscc%2Ffull-record%2FWOS:000431663100019","View Full Record in Web of Science")</f>
        <v>View Full Record in Web of Science</v>
      </c>
    </row>
    <row r="231" spans="1:72" x14ac:dyDescent="0.15">
      <c r="A231" t="s">
        <v>72</v>
      </c>
      <c r="B231" t="s">
        <v>4889</v>
      </c>
      <c r="C231" t="s">
        <v>74</v>
      </c>
      <c r="D231" t="s">
        <v>74</v>
      </c>
      <c r="E231" t="s">
        <v>74</v>
      </c>
      <c r="F231" t="s">
        <v>4890</v>
      </c>
      <c r="G231" t="s">
        <v>74</v>
      </c>
      <c r="H231" t="s">
        <v>74</v>
      </c>
      <c r="I231" t="s">
        <v>4891</v>
      </c>
      <c r="J231" t="s">
        <v>3783</v>
      </c>
      <c r="K231" t="s">
        <v>74</v>
      </c>
      <c r="L231" t="s">
        <v>74</v>
      </c>
      <c r="M231" t="s">
        <v>78</v>
      </c>
      <c r="N231" t="s">
        <v>79</v>
      </c>
      <c r="O231" t="s">
        <v>74</v>
      </c>
      <c r="P231" t="s">
        <v>74</v>
      </c>
      <c r="Q231" t="s">
        <v>74</v>
      </c>
      <c r="R231" t="s">
        <v>74</v>
      </c>
      <c r="S231" t="s">
        <v>74</v>
      </c>
      <c r="T231" t="s">
        <v>4892</v>
      </c>
      <c r="U231" t="s">
        <v>4893</v>
      </c>
      <c r="V231" t="s">
        <v>4894</v>
      </c>
      <c r="W231" t="s">
        <v>4895</v>
      </c>
      <c r="X231" t="s">
        <v>4896</v>
      </c>
      <c r="Y231" t="s">
        <v>4897</v>
      </c>
      <c r="Z231" t="s">
        <v>4898</v>
      </c>
      <c r="AA231" t="s">
        <v>4899</v>
      </c>
      <c r="AB231" t="s">
        <v>4900</v>
      </c>
      <c r="AC231" t="s">
        <v>4901</v>
      </c>
      <c r="AD231" t="s">
        <v>4902</v>
      </c>
      <c r="AE231" t="s">
        <v>4903</v>
      </c>
      <c r="AF231" t="s">
        <v>74</v>
      </c>
      <c r="AG231">
        <v>36</v>
      </c>
      <c r="AH231">
        <v>7</v>
      </c>
      <c r="AI231">
        <v>10</v>
      </c>
      <c r="AJ231">
        <v>2</v>
      </c>
      <c r="AK231">
        <v>39</v>
      </c>
      <c r="AL231" t="s">
        <v>179</v>
      </c>
      <c r="AM231" t="s">
        <v>180</v>
      </c>
      <c r="AN231" t="s">
        <v>181</v>
      </c>
      <c r="AO231" t="s">
        <v>3793</v>
      </c>
      <c r="AP231" t="s">
        <v>3794</v>
      </c>
      <c r="AQ231" t="s">
        <v>74</v>
      </c>
      <c r="AR231" t="s">
        <v>3795</v>
      </c>
      <c r="AS231" t="s">
        <v>3796</v>
      </c>
      <c r="AT231" t="s">
        <v>3298</v>
      </c>
      <c r="AU231">
        <v>2018</v>
      </c>
      <c r="AV231">
        <v>9</v>
      </c>
      <c r="AW231">
        <v>5</v>
      </c>
      <c r="AX231" t="s">
        <v>74</v>
      </c>
      <c r="AY231" t="s">
        <v>74</v>
      </c>
      <c r="AZ231" t="s">
        <v>74</v>
      </c>
      <c r="BA231" t="s">
        <v>74</v>
      </c>
      <c r="BB231">
        <v>1168</v>
      </c>
      <c r="BC231">
        <v>1178</v>
      </c>
      <c r="BD231" t="s">
        <v>74</v>
      </c>
      <c r="BE231" t="s">
        <v>4904</v>
      </c>
      <c r="BF231" t="str">
        <f>HYPERLINK("http://dx.doi.org/10.1111/2041-210X.12971","http://dx.doi.org/10.1111/2041-210X.12971")</f>
        <v>http://dx.doi.org/10.1111/2041-210X.12971</v>
      </c>
      <c r="BG231" t="s">
        <v>74</v>
      </c>
      <c r="BH231" t="s">
        <v>74</v>
      </c>
      <c r="BI231">
        <v>11</v>
      </c>
      <c r="BJ231" t="s">
        <v>314</v>
      </c>
      <c r="BK231" t="s">
        <v>101</v>
      </c>
      <c r="BL231" t="s">
        <v>315</v>
      </c>
      <c r="BM231" t="s">
        <v>3798</v>
      </c>
      <c r="BN231" t="s">
        <v>74</v>
      </c>
      <c r="BO231" t="s">
        <v>162</v>
      </c>
      <c r="BP231" t="s">
        <v>74</v>
      </c>
      <c r="BQ231" t="s">
        <v>74</v>
      </c>
      <c r="BR231" t="s">
        <v>105</v>
      </c>
      <c r="BS231" t="s">
        <v>4905</v>
      </c>
      <c r="BT231" t="str">
        <f>HYPERLINK("https%3A%2F%2Fwww.webofscience.com%2Fwos%2Fwoscc%2Ffull-record%2FWOS:000431666300002","View Full Record in Web of Science")</f>
        <v>View Full Record in Web of Science</v>
      </c>
    </row>
    <row r="232" spans="1:72" x14ac:dyDescent="0.15">
      <c r="A232" t="s">
        <v>72</v>
      </c>
      <c r="B232" t="s">
        <v>4906</v>
      </c>
      <c r="C232" t="s">
        <v>74</v>
      </c>
      <c r="D232" t="s">
        <v>74</v>
      </c>
      <c r="E232" t="s">
        <v>74</v>
      </c>
      <c r="F232" t="s">
        <v>4907</v>
      </c>
      <c r="G232" t="s">
        <v>74</v>
      </c>
      <c r="H232" t="s">
        <v>74</v>
      </c>
      <c r="I232" t="s">
        <v>4908</v>
      </c>
      <c r="J232" t="s">
        <v>77</v>
      </c>
      <c r="K232" t="s">
        <v>74</v>
      </c>
      <c r="L232" t="s">
        <v>74</v>
      </c>
      <c r="M232" t="s">
        <v>78</v>
      </c>
      <c r="N232" t="s">
        <v>79</v>
      </c>
      <c r="O232" t="s">
        <v>74</v>
      </c>
      <c r="P232" t="s">
        <v>74</v>
      </c>
      <c r="Q232" t="s">
        <v>74</v>
      </c>
      <c r="R232" t="s">
        <v>74</v>
      </c>
      <c r="S232" t="s">
        <v>74</v>
      </c>
      <c r="T232" t="s">
        <v>4909</v>
      </c>
      <c r="U232" t="s">
        <v>4910</v>
      </c>
      <c r="V232" t="s">
        <v>4911</v>
      </c>
      <c r="W232" t="s">
        <v>4912</v>
      </c>
      <c r="X232" t="s">
        <v>4913</v>
      </c>
      <c r="Y232" t="s">
        <v>4914</v>
      </c>
      <c r="Z232" t="s">
        <v>4915</v>
      </c>
      <c r="AA232" t="s">
        <v>4916</v>
      </c>
      <c r="AB232" t="s">
        <v>4917</v>
      </c>
      <c r="AC232" t="s">
        <v>4918</v>
      </c>
      <c r="AD232" t="s">
        <v>4919</v>
      </c>
      <c r="AE232" t="s">
        <v>4920</v>
      </c>
      <c r="AF232" t="s">
        <v>74</v>
      </c>
      <c r="AG232">
        <v>77</v>
      </c>
      <c r="AH232">
        <v>20</v>
      </c>
      <c r="AI232">
        <v>23</v>
      </c>
      <c r="AJ232">
        <v>1</v>
      </c>
      <c r="AK232">
        <v>17</v>
      </c>
      <c r="AL232" t="s">
        <v>91</v>
      </c>
      <c r="AM232" t="s">
        <v>92</v>
      </c>
      <c r="AN232" t="s">
        <v>205</v>
      </c>
      <c r="AO232" t="s">
        <v>94</v>
      </c>
      <c r="AP232" t="s">
        <v>95</v>
      </c>
      <c r="AQ232" t="s">
        <v>74</v>
      </c>
      <c r="AR232" t="s">
        <v>96</v>
      </c>
      <c r="AS232" t="s">
        <v>97</v>
      </c>
      <c r="AT232" t="s">
        <v>3298</v>
      </c>
      <c r="AU232">
        <v>2018</v>
      </c>
      <c r="AV232">
        <v>41</v>
      </c>
      <c r="AW232">
        <v>5</v>
      </c>
      <c r="AX232" t="s">
        <v>74</v>
      </c>
      <c r="AY232" t="s">
        <v>74</v>
      </c>
      <c r="AZ232" t="s">
        <v>74</v>
      </c>
      <c r="BA232" t="s">
        <v>74</v>
      </c>
      <c r="BB232">
        <v>827</v>
      </c>
      <c r="BC232">
        <v>837</v>
      </c>
      <c r="BD232" t="s">
        <v>74</v>
      </c>
      <c r="BE232" t="s">
        <v>4921</v>
      </c>
      <c r="BF232" t="str">
        <f>HYPERLINK("http://dx.doi.org/10.1007/s00300-017-2244-7","http://dx.doi.org/10.1007/s00300-017-2244-7")</f>
        <v>http://dx.doi.org/10.1007/s00300-017-2244-7</v>
      </c>
      <c r="BG232" t="s">
        <v>74</v>
      </c>
      <c r="BH232" t="s">
        <v>74</v>
      </c>
      <c r="BI232">
        <v>11</v>
      </c>
      <c r="BJ232" t="s">
        <v>100</v>
      </c>
      <c r="BK232" t="s">
        <v>101</v>
      </c>
      <c r="BL232" t="s">
        <v>102</v>
      </c>
      <c r="BM232" t="s">
        <v>4922</v>
      </c>
      <c r="BN232" t="s">
        <v>74</v>
      </c>
      <c r="BO232" t="s">
        <v>288</v>
      </c>
      <c r="BP232" t="s">
        <v>74</v>
      </c>
      <c r="BQ232" t="s">
        <v>74</v>
      </c>
      <c r="BR232" t="s">
        <v>105</v>
      </c>
      <c r="BS232" t="s">
        <v>4923</v>
      </c>
      <c r="BT232" t="str">
        <f>HYPERLINK("https%3A%2F%2Fwww.webofscience.com%2Fwos%2Fwoscc%2Ffull-record%2FWOS:000431786900001","View Full Record in Web of Science")</f>
        <v>View Full Record in Web of Science</v>
      </c>
    </row>
    <row r="233" spans="1:72" x14ac:dyDescent="0.15">
      <c r="A233" t="s">
        <v>72</v>
      </c>
      <c r="B233" t="s">
        <v>4924</v>
      </c>
      <c r="C233" t="s">
        <v>74</v>
      </c>
      <c r="D233" t="s">
        <v>74</v>
      </c>
      <c r="E233" t="s">
        <v>74</v>
      </c>
      <c r="F233" t="s">
        <v>4925</v>
      </c>
      <c r="G233" t="s">
        <v>74</v>
      </c>
      <c r="H233" t="s">
        <v>74</v>
      </c>
      <c r="I233" t="s">
        <v>4926</v>
      </c>
      <c r="J233" t="s">
        <v>77</v>
      </c>
      <c r="K233" t="s">
        <v>74</v>
      </c>
      <c r="L233" t="s">
        <v>74</v>
      </c>
      <c r="M233" t="s">
        <v>78</v>
      </c>
      <c r="N233" t="s">
        <v>79</v>
      </c>
      <c r="O233" t="s">
        <v>74</v>
      </c>
      <c r="P233" t="s">
        <v>74</v>
      </c>
      <c r="Q233" t="s">
        <v>74</v>
      </c>
      <c r="R233" t="s">
        <v>74</v>
      </c>
      <c r="S233" t="s">
        <v>74</v>
      </c>
      <c r="T233" t="s">
        <v>4927</v>
      </c>
      <c r="U233" t="s">
        <v>4928</v>
      </c>
      <c r="V233" t="s">
        <v>4929</v>
      </c>
      <c r="W233" t="s">
        <v>4930</v>
      </c>
      <c r="X233" t="s">
        <v>4931</v>
      </c>
      <c r="Y233" t="s">
        <v>4932</v>
      </c>
      <c r="Z233" t="s">
        <v>4933</v>
      </c>
      <c r="AA233" t="s">
        <v>4934</v>
      </c>
      <c r="AB233" t="s">
        <v>4935</v>
      </c>
      <c r="AC233" t="s">
        <v>4936</v>
      </c>
      <c r="AD233" t="s">
        <v>4937</v>
      </c>
      <c r="AE233" t="s">
        <v>4938</v>
      </c>
      <c r="AF233" t="s">
        <v>74</v>
      </c>
      <c r="AG233">
        <v>50</v>
      </c>
      <c r="AH233">
        <v>4</v>
      </c>
      <c r="AI233">
        <v>4</v>
      </c>
      <c r="AJ233">
        <v>0</v>
      </c>
      <c r="AK233">
        <v>23</v>
      </c>
      <c r="AL233" t="s">
        <v>91</v>
      </c>
      <c r="AM233" t="s">
        <v>92</v>
      </c>
      <c r="AN233" t="s">
        <v>93</v>
      </c>
      <c r="AO233" t="s">
        <v>94</v>
      </c>
      <c r="AP233" t="s">
        <v>95</v>
      </c>
      <c r="AQ233" t="s">
        <v>74</v>
      </c>
      <c r="AR233" t="s">
        <v>96</v>
      </c>
      <c r="AS233" t="s">
        <v>97</v>
      </c>
      <c r="AT233" t="s">
        <v>3298</v>
      </c>
      <c r="AU233">
        <v>2018</v>
      </c>
      <c r="AV233">
        <v>41</v>
      </c>
      <c r="AW233">
        <v>5</v>
      </c>
      <c r="AX233" t="s">
        <v>74</v>
      </c>
      <c r="AY233" t="s">
        <v>74</v>
      </c>
      <c r="AZ233" t="s">
        <v>74</v>
      </c>
      <c r="BA233" t="s">
        <v>74</v>
      </c>
      <c r="BB233">
        <v>865</v>
      </c>
      <c r="BC233">
        <v>876</v>
      </c>
      <c r="BD233" t="s">
        <v>74</v>
      </c>
      <c r="BE233" t="s">
        <v>4939</v>
      </c>
      <c r="BF233" t="str">
        <f>HYPERLINK("http://dx.doi.org/10.1007/s00300-017-2249-2","http://dx.doi.org/10.1007/s00300-017-2249-2")</f>
        <v>http://dx.doi.org/10.1007/s00300-017-2249-2</v>
      </c>
      <c r="BG233" t="s">
        <v>74</v>
      </c>
      <c r="BH233" t="s">
        <v>74</v>
      </c>
      <c r="BI233">
        <v>12</v>
      </c>
      <c r="BJ233" t="s">
        <v>100</v>
      </c>
      <c r="BK233" t="s">
        <v>101</v>
      </c>
      <c r="BL233" t="s">
        <v>102</v>
      </c>
      <c r="BM233" t="s">
        <v>4922</v>
      </c>
      <c r="BN233" t="s">
        <v>74</v>
      </c>
      <c r="BO233" t="s">
        <v>74</v>
      </c>
      <c r="BP233" t="s">
        <v>74</v>
      </c>
      <c r="BQ233" t="s">
        <v>74</v>
      </c>
      <c r="BR233" t="s">
        <v>105</v>
      </c>
      <c r="BS233" t="s">
        <v>4940</v>
      </c>
      <c r="BT233" t="str">
        <f>HYPERLINK("https%3A%2F%2Fwww.webofscience.com%2Fwos%2Fwoscc%2Ffull-record%2FWOS:000431786900004","View Full Record in Web of Science")</f>
        <v>View Full Record in Web of Science</v>
      </c>
    </row>
    <row r="234" spans="1:72" x14ac:dyDescent="0.15">
      <c r="A234" t="s">
        <v>72</v>
      </c>
      <c r="B234" t="s">
        <v>4941</v>
      </c>
      <c r="C234" t="s">
        <v>74</v>
      </c>
      <c r="D234" t="s">
        <v>74</v>
      </c>
      <c r="E234" t="s">
        <v>74</v>
      </c>
      <c r="F234" t="s">
        <v>4942</v>
      </c>
      <c r="G234" t="s">
        <v>74</v>
      </c>
      <c r="H234" t="s">
        <v>74</v>
      </c>
      <c r="I234" t="s">
        <v>4943</v>
      </c>
      <c r="J234" t="s">
        <v>77</v>
      </c>
      <c r="K234" t="s">
        <v>74</v>
      </c>
      <c r="L234" t="s">
        <v>74</v>
      </c>
      <c r="M234" t="s">
        <v>78</v>
      </c>
      <c r="N234" t="s">
        <v>79</v>
      </c>
      <c r="O234" t="s">
        <v>74</v>
      </c>
      <c r="P234" t="s">
        <v>74</v>
      </c>
      <c r="Q234" t="s">
        <v>74</v>
      </c>
      <c r="R234" t="s">
        <v>74</v>
      </c>
      <c r="S234" t="s">
        <v>74</v>
      </c>
      <c r="T234" t="s">
        <v>4944</v>
      </c>
      <c r="U234" t="s">
        <v>4945</v>
      </c>
      <c r="V234" t="s">
        <v>4946</v>
      </c>
      <c r="W234" t="s">
        <v>4947</v>
      </c>
      <c r="X234" t="s">
        <v>4948</v>
      </c>
      <c r="Y234" t="s">
        <v>4949</v>
      </c>
      <c r="Z234" t="s">
        <v>4950</v>
      </c>
      <c r="AA234" t="s">
        <v>4951</v>
      </c>
      <c r="AB234" t="s">
        <v>4952</v>
      </c>
      <c r="AC234" t="s">
        <v>4953</v>
      </c>
      <c r="AD234" t="s">
        <v>4954</v>
      </c>
      <c r="AE234" t="s">
        <v>4955</v>
      </c>
      <c r="AF234" t="s">
        <v>74</v>
      </c>
      <c r="AG234">
        <v>67</v>
      </c>
      <c r="AH234">
        <v>8</v>
      </c>
      <c r="AI234">
        <v>8</v>
      </c>
      <c r="AJ234">
        <v>3</v>
      </c>
      <c r="AK234">
        <v>40</v>
      </c>
      <c r="AL234" t="s">
        <v>91</v>
      </c>
      <c r="AM234" t="s">
        <v>92</v>
      </c>
      <c r="AN234" t="s">
        <v>205</v>
      </c>
      <c r="AO234" t="s">
        <v>94</v>
      </c>
      <c r="AP234" t="s">
        <v>95</v>
      </c>
      <c r="AQ234" t="s">
        <v>74</v>
      </c>
      <c r="AR234" t="s">
        <v>96</v>
      </c>
      <c r="AS234" t="s">
        <v>97</v>
      </c>
      <c r="AT234" t="s">
        <v>3298</v>
      </c>
      <c r="AU234">
        <v>2018</v>
      </c>
      <c r="AV234">
        <v>41</v>
      </c>
      <c r="AW234">
        <v>5</v>
      </c>
      <c r="AX234" t="s">
        <v>74</v>
      </c>
      <c r="AY234" t="s">
        <v>74</v>
      </c>
      <c r="AZ234" t="s">
        <v>74</v>
      </c>
      <c r="BA234" t="s">
        <v>74</v>
      </c>
      <c r="BB234">
        <v>897</v>
      </c>
      <c r="BC234">
        <v>908</v>
      </c>
      <c r="BD234" t="s">
        <v>74</v>
      </c>
      <c r="BE234" t="s">
        <v>4956</v>
      </c>
      <c r="BF234" t="str">
        <f>HYPERLINK("http://dx.doi.org/10.1007/s00300-018-2251-3","http://dx.doi.org/10.1007/s00300-018-2251-3")</f>
        <v>http://dx.doi.org/10.1007/s00300-018-2251-3</v>
      </c>
      <c r="BG234" t="s">
        <v>74</v>
      </c>
      <c r="BH234" t="s">
        <v>74</v>
      </c>
      <c r="BI234">
        <v>12</v>
      </c>
      <c r="BJ234" t="s">
        <v>100</v>
      </c>
      <c r="BK234" t="s">
        <v>101</v>
      </c>
      <c r="BL234" t="s">
        <v>102</v>
      </c>
      <c r="BM234" t="s">
        <v>4922</v>
      </c>
      <c r="BN234" t="s">
        <v>74</v>
      </c>
      <c r="BO234" t="s">
        <v>1085</v>
      </c>
      <c r="BP234" t="s">
        <v>74</v>
      </c>
      <c r="BQ234" t="s">
        <v>74</v>
      </c>
      <c r="BR234" t="s">
        <v>105</v>
      </c>
      <c r="BS234" t="s">
        <v>4957</v>
      </c>
      <c r="BT234" t="str">
        <f>HYPERLINK("https%3A%2F%2Fwww.webofscience.com%2Fwos%2Fwoscc%2Ffull-record%2FWOS:000431786900006","View Full Record in Web of Science")</f>
        <v>View Full Record in Web of Science</v>
      </c>
    </row>
    <row r="235" spans="1:72" x14ac:dyDescent="0.15">
      <c r="A235" t="s">
        <v>72</v>
      </c>
      <c r="B235" t="s">
        <v>4958</v>
      </c>
      <c r="C235" t="s">
        <v>74</v>
      </c>
      <c r="D235" t="s">
        <v>74</v>
      </c>
      <c r="E235" t="s">
        <v>74</v>
      </c>
      <c r="F235" t="s">
        <v>4959</v>
      </c>
      <c r="G235" t="s">
        <v>74</v>
      </c>
      <c r="H235" t="s">
        <v>74</v>
      </c>
      <c r="I235" t="s">
        <v>4960</v>
      </c>
      <c r="J235" t="s">
        <v>77</v>
      </c>
      <c r="K235" t="s">
        <v>74</v>
      </c>
      <c r="L235" t="s">
        <v>74</v>
      </c>
      <c r="M235" t="s">
        <v>78</v>
      </c>
      <c r="N235" t="s">
        <v>79</v>
      </c>
      <c r="O235" t="s">
        <v>74</v>
      </c>
      <c r="P235" t="s">
        <v>74</v>
      </c>
      <c r="Q235" t="s">
        <v>74</v>
      </c>
      <c r="R235" t="s">
        <v>74</v>
      </c>
      <c r="S235" t="s">
        <v>74</v>
      </c>
      <c r="T235" t="s">
        <v>4961</v>
      </c>
      <c r="U235" t="s">
        <v>4962</v>
      </c>
      <c r="V235" t="s">
        <v>4963</v>
      </c>
      <c r="W235" t="s">
        <v>4964</v>
      </c>
      <c r="X235" t="s">
        <v>4965</v>
      </c>
      <c r="Y235" t="s">
        <v>4966</v>
      </c>
      <c r="Z235" t="s">
        <v>4967</v>
      </c>
      <c r="AA235" t="s">
        <v>74</v>
      </c>
      <c r="AB235" t="s">
        <v>4968</v>
      </c>
      <c r="AC235" t="s">
        <v>4969</v>
      </c>
      <c r="AD235" t="s">
        <v>4970</v>
      </c>
      <c r="AE235" t="s">
        <v>4971</v>
      </c>
      <c r="AF235" t="s">
        <v>74</v>
      </c>
      <c r="AG235">
        <v>36</v>
      </c>
      <c r="AH235">
        <v>6</v>
      </c>
      <c r="AI235">
        <v>6</v>
      </c>
      <c r="AJ235">
        <v>0</v>
      </c>
      <c r="AK235">
        <v>18</v>
      </c>
      <c r="AL235" t="s">
        <v>91</v>
      </c>
      <c r="AM235" t="s">
        <v>92</v>
      </c>
      <c r="AN235" t="s">
        <v>205</v>
      </c>
      <c r="AO235" t="s">
        <v>94</v>
      </c>
      <c r="AP235" t="s">
        <v>95</v>
      </c>
      <c r="AQ235" t="s">
        <v>74</v>
      </c>
      <c r="AR235" t="s">
        <v>96</v>
      </c>
      <c r="AS235" t="s">
        <v>97</v>
      </c>
      <c r="AT235" t="s">
        <v>3298</v>
      </c>
      <c r="AU235">
        <v>2018</v>
      </c>
      <c r="AV235">
        <v>41</v>
      </c>
      <c r="AW235">
        <v>5</v>
      </c>
      <c r="AX235" t="s">
        <v>74</v>
      </c>
      <c r="AY235" t="s">
        <v>74</v>
      </c>
      <c r="AZ235" t="s">
        <v>74</v>
      </c>
      <c r="BA235" t="s">
        <v>74</v>
      </c>
      <c r="BB235">
        <v>1027</v>
      </c>
      <c r="BC235">
        <v>1031</v>
      </c>
      <c r="BD235" t="s">
        <v>74</v>
      </c>
      <c r="BE235" t="s">
        <v>4972</v>
      </c>
      <c r="BF235" t="str">
        <f>HYPERLINK("http://dx.doi.org/10.1007/s00300-018-2255-z","http://dx.doi.org/10.1007/s00300-018-2255-z")</f>
        <v>http://dx.doi.org/10.1007/s00300-018-2255-z</v>
      </c>
      <c r="BG235" t="s">
        <v>74</v>
      </c>
      <c r="BH235" t="s">
        <v>74</v>
      </c>
      <c r="BI235">
        <v>5</v>
      </c>
      <c r="BJ235" t="s">
        <v>100</v>
      </c>
      <c r="BK235" t="s">
        <v>101</v>
      </c>
      <c r="BL235" t="s">
        <v>102</v>
      </c>
      <c r="BM235" t="s">
        <v>4922</v>
      </c>
      <c r="BN235" t="s">
        <v>74</v>
      </c>
      <c r="BO235" t="s">
        <v>980</v>
      </c>
      <c r="BP235" t="s">
        <v>74</v>
      </c>
      <c r="BQ235" t="s">
        <v>74</v>
      </c>
      <c r="BR235" t="s">
        <v>105</v>
      </c>
      <c r="BS235" t="s">
        <v>4973</v>
      </c>
      <c r="BT235" t="str">
        <f>HYPERLINK("https%3A%2F%2Fwww.webofscience.com%2Fwos%2Fwoscc%2Ffull-record%2FWOS:000431786900017","View Full Record in Web of Science")</f>
        <v>View Full Record in Web of Science</v>
      </c>
    </row>
    <row r="236" spans="1:72" x14ac:dyDescent="0.15">
      <c r="A236" t="s">
        <v>72</v>
      </c>
      <c r="B236" t="s">
        <v>4974</v>
      </c>
      <c r="C236" t="s">
        <v>74</v>
      </c>
      <c r="D236" t="s">
        <v>74</v>
      </c>
      <c r="E236" t="s">
        <v>74</v>
      </c>
      <c r="F236" t="s">
        <v>4975</v>
      </c>
      <c r="G236" t="s">
        <v>74</v>
      </c>
      <c r="H236" t="s">
        <v>74</v>
      </c>
      <c r="I236" t="s">
        <v>4976</v>
      </c>
      <c r="J236" t="s">
        <v>4977</v>
      </c>
      <c r="K236" t="s">
        <v>74</v>
      </c>
      <c r="L236" t="s">
        <v>74</v>
      </c>
      <c r="M236" t="s">
        <v>78</v>
      </c>
      <c r="N236" t="s">
        <v>4978</v>
      </c>
      <c r="O236" t="s">
        <v>74</v>
      </c>
      <c r="P236" t="s">
        <v>74</v>
      </c>
      <c r="Q236" t="s">
        <v>74</v>
      </c>
      <c r="R236" t="s">
        <v>74</v>
      </c>
      <c r="S236" t="s">
        <v>74</v>
      </c>
      <c r="T236" t="s">
        <v>74</v>
      </c>
      <c r="U236" t="s">
        <v>74</v>
      </c>
      <c r="V236" t="s">
        <v>74</v>
      </c>
      <c r="W236" t="s">
        <v>4979</v>
      </c>
      <c r="X236" t="s">
        <v>4980</v>
      </c>
      <c r="Y236" t="s">
        <v>4981</v>
      </c>
      <c r="Z236" t="s">
        <v>4982</v>
      </c>
      <c r="AA236" t="s">
        <v>4983</v>
      </c>
      <c r="AB236" t="s">
        <v>4984</v>
      </c>
      <c r="AC236" t="s">
        <v>74</v>
      </c>
      <c r="AD236" t="s">
        <v>74</v>
      </c>
      <c r="AE236" t="s">
        <v>74</v>
      </c>
      <c r="AF236" t="s">
        <v>74</v>
      </c>
      <c r="AG236">
        <v>4</v>
      </c>
      <c r="AH236">
        <v>0</v>
      </c>
      <c r="AI236">
        <v>0</v>
      </c>
      <c r="AJ236">
        <v>0</v>
      </c>
      <c r="AK236">
        <v>7</v>
      </c>
      <c r="AL236" t="s">
        <v>1663</v>
      </c>
      <c r="AM236" t="s">
        <v>1664</v>
      </c>
      <c r="AN236" t="s">
        <v>1665</v>
      </c>
      <c r="AO236" t="s">
        <v>4985</v>
      </c>
      <c r="AP236" t="s">
        <v>74</v>
      </c>
      <c r="AQ236" t="s">
        <v>74</v>
      </c>
      <c r="AR236" t="s">
        <v>4986</v>
      </c>
      <c r="AS236" t="s">
        <v>4987</v>
      </c>
      <c r="AT236" t="s">
        <v>3298</v>
      </c>
      <c r="AU236">
        <v>2018</v>
      </c>
      <c r="AV236">
        <v>2</v>
      </c>
      <c r="AW236">
        <v>5</v>
      </c>
      <c r="AX236" t="s">
        <v>74</v>
      </c>
      <c r="AY236" t="s">
        <v>74</v>
      </c>
      <c r="AZ236" t="s">
        <v>74</v>
      </c>
      <c r="BA236" t="s">
        <v>74</v>
      </c>
      <c r="BB236">
        <v>757</v>
      </c>
      <c r="BC236">
        <v>758</v>
      </c>
      <c r="BD236" t="s">
        <v>74</v>
      </c>
      <c r="BE236" t="s">
        <v>4988</v>
      </c>
      <c r="BF236" t="str">
        <f>HYPERLINK("http://dx.doi.org/10.1038/s41559-018-0537-z","http://dx.doi.org/10.1038/s41559-018-0537-z")</f>
        <v>http://dx.doi.org/10.1038/s41559-018-0537-z</v>
      </c>
      <c r="BG236" t="s">
        <v>74</v>
      </c>
      <c r="BH236" t="s">
        <v>74</v>
      </c>
      <c r="BI236">
        <v>2</v>
      </c>
      <c r="BJ236" t="s">
        <v>483</v>
      </c>
      <c r="BK236" t="s">
        <v>101</v>
      </c>
      <c r="BL236" t="s">
        <v>485</v>
      </c>
      <c r="BM236" t="s">
        <v>4989</v>
      </c>
      <c r="BN236">
        <v>29662225</v>
      </c>
      <c r="BO236" t="s">
        <v>74</v>
      </c>
      <c r="BP236" t="s">
        <v>74</v>
      </c>
      <c r="BQ236" t="s">
        <v>74</v>
      </c>
      <c r="BR236" t="s">
        <v>105</v>
      </c>
      <c r="BS236" t="s">
        <v>4990</v>
      </c>
      <c r="BT236" t="str">
        <f>HYPERLINK("https%3A%2F%2Fwww.webofscience.com%2Fwos%2Fwoscc%2Ffull-record%2FWOS:000431613500005","View Full Record in Web of Science")</f>
        <v>View Full Record in Web of Science</v>
      </c>
    </row>
    <row r="237" spans="1:72" x14ac:dyDescent="0.15">
      <c r="A237" t="s">
        <v>72</v>
      </c>
      <c r="B237" t="s">
        <v>4991</v>
      </c>
      <c r="C237" t="s">
        <v>74</v>
      </c>
      <c r="D237" t="s">
        <v>74</v>
      </c>
      <c r="E237" t="s">
        <v>74</v>
      </c>
      <c r="F237" t="s">
        <v>4992</v>
      </c>
      <c r="G237" t="s">
        <v>74</v>
      </c>
      <c r="H237" t="s">
        <v>74</v>
      </c>
      <c r="I237" t="s">
        <v>4993</v>
      </c>
      <c r="J237" t="s">
        <v>4994</v>
      </c>
      <c r="K237" t="s">
        <v>74</v>
      </c>
      <c r="L237" t="s">
        <v>74</v>
      </c>
      <c r="M237" t="s">
        <v>78</v>
      </c>
      <c r="N237" t="s">
        <v>79</v>
      </c>
      <c r="O237" t="s">
        <v>74</v>
      </c>
      <c r="P237" t="s">
        <v>74</v>
      </c>
      <c r="Q237" t="s">
        <v>74</v>
      </c>
      <c r="R237" t="s">
        <v>74</v>
      </c>
      <c r="S237" t="s">
        <v>74</v>
      </c>
      <c r="T237" t="s">
        <v>4995</v>
      </c>
      <c r="U237" t="s">
        <v>4996</v>
      </c>
      <c r="V237" t="s">
        <v>4997</v>
      </c>
      <c r="W237" t="s">
        <v>4998</v>
      </c>
      <c r="X237" t="s">
        <v>4999</v>
      </c>
      <c r="Y237" t="s">
        <v>5000</v>
      </c>
      <c r="Z237" t="s">
        <v>5001</v>
      </c>
      <c r="AA237" t="s">
        <v>74</v>
      </c>
      <c r="AB237" t="s">
        <v>5002</v>
      </c>
      <c r="AC237" t="s">
        <v>5003</v>
      </c>
      <c r="AD237" t="s">
        <v>5004</v>
      </c>
      <c r="AE237" t="s">
        <v>5005</v>
      </c>
      <c r="AF237" t="s">
        <v>74</v>
      </c>
      <c r="AG237">
        <v>85</v>
      </c>
      <c r="AH237">
        <v>23</v>
      </c>
      <c r="AI237">
        <v>25</v>
      </c>
      <c r="AJ237">
        <v>1</v>
      </c>
      <c r="AK237">
        <v>16</v>
      </c>
      <c r="AL237" t="s">
        <v>91</v>
      </c>
      <c r="AM237" t="s">
        <v>92</v>
      </c>
      <c r="AN237" t="s">
        <v>93</v>
      </c>
      <c r="AO237" t="s">
        <v>5006</v>
      </c>
      <c r="AP237" t="s">
        <v>5007</v>
      </c>
      <c r="AQ237" t="s">
        <v>74</v>
      </c>
      <c r="AR237" t="s">
        <v>5008</v>
      </c>
      <c r="AS237" t="s">
        <v>5009</v>
      </c>
      <c r="AT237" t="s">
        <v>3298</v>
      </c>
      <c r="AU237">
        <v>2018</v>
      </c>
      <c r="AV237">
        <v>173</v>
      </c>
      <c r="AW237">
        <v>5</v>
      </c>
      <c r="AX237" t="s">
        <v>74</v>
      </c>
      <c r="AY237" t="s">
        <v>74</v>
      </c>
      <c r="AZ237" t="s">
        <v>74</v>
      </c>
      <c r="BA237" t="s">
        <v>74</v>
      </c>
      <c r="BB237" t="s">
        <v>74</v>
      </c>
      <c r="BC237" t="s">
        <v>74</v>
      </c>
      <c r="BD237">
        <v>38</v>
      </c>
      <c r="BE237" t="s">
        <v>5010</v>
      </c>
      <c r="BF237" t="str">
        <f>HYPERLINK("http://dx.doi.org/10.1007/s00410-018-1467-0","http://dx.doi.org/10.1007/s00410-018-1467-0")</f>
        <v>http://dx.doi.org/10.1007/s00410-018-1467-0</v>
      </c>
      <c r="BG237" t="s">
        <v>74</v>
      </c>
      <c r="BH237" t="s">
        <v>74</v>
      </c>
      <c r="BI237">
        <v>22</v>
      </c>
      <c r="BJ237" t="s">
        <v>5011</v>
      </c>
      <c r="BK237" t="s">
        <v>101</v>
      </c>
      <c r="BL237" t="s">
        <v>5011</v>
      </c>
      <c r="BM237" t="s">
        <v>5012</v>
      </c>
      <c r="BN237">
        <v>29681649</v>
      </c>
      <c r="BO237" t="s">
        <v>2416</v>
      </c>
      <c r="BP237" t="s">
        <v>74</v>
      </c>
      <c r="BQ237" t="s">
        <v>74</v>
      </c>
      <c r="BR237" t="s">
        <v>105</v>
      </c>
      <c r="BS237" t="s">
        <v>5013</v>
      </c>
      <c r="BT237" t="str">
        <f>HYPERLINK("https%3A%2F%2Fwww.webofscience.com%2Fwos%2Fwoscc%2Ffull-record%2FWOS:000431440800007","View Full Record in Web of Science")</f>
        <v>View Full Record in Web of Science</v>
      </c>
    </row>
    <row r="238" spans="1:72" x14ac:dyDescent="0.15">
      <c r="A238" t="s">
        <v>72</v>
      </c>
      <c r="B238" t="s">
        <v>5014</v>
      </c>
      <c r="C238" t="s">
        <v>74</v>
      </c>
      <c r="D238" t="s">
        <v>74</v>
      </c>
      <c r="E238" t="s">
        <v>74</v>
      </c>
      <c r="F238" t="s">
        <v>5015</v>
      </c>
      <c r="G238" t="s">
        <v>74</v>
      </c>
      <c r="H238" t="s">
        <v>74</v>
      </c>
      <c r="I238" t="s">
        <v>5016</v>
      </c>
      <c r="J238" t="s">
        <v>1651</v>
      </c>
      <c r="K238" t="s">
        <v>74</v>
      </c>
      <c r="L238" t="s">
        <v>74</v>
      </c>
      <c r="M238" t="s">
        <v>78</v>
      </c>
      <c r="N238" t="s">
        <v>79</v>
      </c>
      <c r="O238" t="s">
        <v>74</v>
      </c>
      <c r="P238" t="s">
        <v>74</v>
      </c>
      <c r="Q238" t="s">
        <v>74</v>
      </c>
      <c r="R238" t="s">
        <v>74</v>
      </c>
      <c r="S238" t="s">
        <v>74</v>
      </c>
      <c r="T238" t="s">
        <v>74</v>
      </c>
      <c r="U238" t="s">
        <v>5017</v>
      </c>
      <c r="V238" t="s">
        <v>5018</v>
      </c>
      <c r="W238" t="s">
        <v>5019</v>
      </c>
      <c r="X238" t="s">
        <v>5020</v>
      </c>
      <c r="Y238" t="s">
        <v>5021</v>
      </c>
      <c r="Z238" t="s">
        <v>5022</v>
      </c>
      <c r="AA238" t="s">
        <v>74</v>
      </c>
      <c r="AB238" t="s">
        <v>5023</v>
      </c>
      <c r="AC238" t="s">
        <v>5024</v>
      </c>
      <c r="AD238" t="s">
        <v>5025</v>
      </c>
      <c r="AE238" t="s">
        <v>5026</v>
      </c>
      <c r="AF238" t="s">
        <v>74</v>
      </c>
      <c r="AG238">
        <v>82</v>
      </c>
      <c r="AH238">
        <v>54</v>
      </c>
      <c r="AI238">
        <v>60</v>
      </c>
      <c r="AJ238">
        <v>0</v>
      </c>
      <c r="AK238">
        <v>12</v>
      </c>
      <c r="AL238" t="s">
        <v>1663</v>
      </c>
      <c r="AM238" t="s">
        <v>1664</v>
      </c>
      <c r="AN238" t="s">
        <v>1665</v>
      </c>
      <c r="AO238" t="s">
        <v>1666</v>
      </c>
      <c r="AP238" t="s">
        <v>74</v>
      </c>
      <c r="AQ238" t="s">
        <v>74</v>
      </c>
      <c r="AR238" t="s">
        <v>1667</v>
      </c>
      <c r="AS238" t="s">
        <v>1668</v>
      </c>
      <c r="AT238" t="s">
        <v>3556</v>
      </c>
      <c r="AU238">
        <v>2018</v>
      </c>
      <c r="AV238">
        <v>8</v>
      </c>
      <c r="AW238" t="s">
        <v>74</v>
      </c>
      <c r="AX238" t="s">
        <v>74</v>
      </c>
      <c r="AY238" t="s">
        <v>74</v>
      </c>
      <c r="AZ238" t="s">
        <v>74</v>
      </c>
      <c r="BA238" t="s">
        <v>74</v>
      </c>
      <c r="BB238" t="s">
        <v>74</v>
      </c>
      <c r="BC238" t="s">
        <v>74</v>
      </c>
      <c r="BD238">
        <v>6804</v>
      </c>
      <c r="BE238" t="s">
        <v>5027</v>
      </c>
      <c r="BF238" t="str">
        <f>HYPERLINK("http://dx.doi.org/10.1038/s41598-018-24893-z","http://dx.doi.org/10.1038/s41598-018-24893-z")</f>
        <v>http://dx.doi.org/10.1038/s41598-018-24893-z</v>
      </c>
      <c r="BG238" t="s">
        <v>74</v>
      </c>
      <c r="BH238" t="s">
        <v>74</v>
      </c>
      <c r="BI238">
        <v>12</v>
      </c>
      <c r="BJ238" t="s">
        <v>1670</v>
      </c>
      <c r="BK238" t="s">
        <v>101</v>
      </c>
      <c r="BL238" t="s">
        <v>1671</v>
      </c>
      <c r="BM238" t="s">
        <v>5028</v>
      </c>
      <c r="BN238">
        <v>29717151</v>
      </c>
      <c r="BO238" t="s">
        <v>2998</v>
      </c>
      <c r="BP238" t="s">
        <v>74</v>
      </c>
      <c r="BQ238" t="s">
        <v>74</v>
      </c>
      <c r="BR238" t="s">
        <v>105</v>
      </c>
      <c r="BS238" t="s">
        <v>5029</v>
      </c>
      <c r="BT238" t="str">
        <f>HYPERLINK("https%3A%2F%2Fwww.webofscience.com%2Fwos%2Fwoscc%2Ffull-record%2FWOS:000431113100002","View Full Record in Web of Science")</f>
        <v>View Full Record in Web of Science</v>
      </c>
    </row>
    <row r="239" spans="1:72" x14ac:dyDescent="0.15">
      <c r="A239" t="s">
        <v>72</v>
      </c>
      <c r="B239" t="s">
        <v>5030</v>
      </c>
      <c r="C239" t="s">
        <v>74</v>
      </c>
      <c r="D239" t="s">
        <v>74</v>
      </c>
      <c r="E239" t="s">
        <v>74</v>
      </c>
      <c r="F239" t="s">
        <v>5031</v>
      </c>
      <c r="G239" t="s">
        <v>74</v>
      </c>
      <c r="H239" t="s">
        <v>74</v>
      </c>
      <c r="I239" t="s">
        <v>5032</v>
      </c>
      <c r="J239" t="s">
        <v>5033</v>
      </c>
      <c r="K239" t="s">
        <v>74</v>
      </c>
      <c r="L239" t="s">
        <v>74</v>
      </c>
      <c r="M239" t="s">
        <v>78</v>
      </c>
      <c r="N239" t="s">
        <v>79</v>
      </c>
      <c r="O239" t="s">
        <v>74</v>
      </c>
      <c r="P239" t="s">
        <v>74</v>
      </c>
      <c r="Q239" t="s">
        <v>74</v>
      </c>
      <c r="R239" t="s">
        <v>74</v>
      </c>
      <c r="S239" t="s">
        <v>74</v>
      </c>
      <c r="T239" t="s">
        <v>5034</v>
      </c>
      <c r="U239" t="s">
        <v>5035</v>
      </c>
      <c r="V239" t="s">
        <v>5036</v>
      </c>
      <c r="W239" t="s">
        <v>5037</v>
      </c>
      <c r="X239" t="s">
        <v>5038</v>
      </c>
      <c r="Y239" t="s">
        <v>5039</v>
      </c>
      <c r="Z239" t="s">
        <v>5040</v>
      </c>
      <c r="AA239" t="s">
        <v>74</v>
      </c>
      <c r="AB239" t="s">
        <v>74</v>
      </c>
      <c r="AC239" t="s">
        <v>5041</v>
      </c>
      <c r="AD239" t="s">
        <v>5042</v>
      </c>
      <c r="AE239" t="s">
        <v>5043</v>
      </c>
      <c r="AF239" t="s">
        <v>74</v>
      </c>
      <c r="AG239">
        <v>161</v>
      </c>
      <c r="AH239">
        <v>8</v>
      </c>
      <c r="AI239">
        <v>9</v>
      </c>
      <c r="AJ239">
        <v>0</v>
      </c>
      <c r="AK239">
        <v>10</v>
      </c>
      <c r="AL239" t="s">
        <v>179</v>
      </c>
      <c r="AM239" t="s">
        <v>180</v>
      </c>
      <c r="AN239" t="s">
        <v>181</v>
      </c>
      <c r="AO239" t="s">
        <v>5044</v>
      </c>
      <c r="AP239" t="s">
        <v>5045</v>
      </c>
      <c r="AQ239" t="s">
        <v>74</v>
      </c>
      <c r="AR239" t="s">
        <v>5046</v>
      </c>
      <c r="AS239" t="s">
        <v>5047</v>
      </c>
      <c r="AT239" t="s">
        <v>3298</v>
      </c>
      <c r="AU239">
        <v>2018</v>
      </c>
      <c r="AV239">
        <v>27</v>
      </c>
      <c r="AW239">
        <v>5</v>
      </c>
      <c r="AX239" t="s">
        <v>74</v>
      </c>
      <c r="AY239" t="s">
        <v>74</v>
      </c>
      <c r="AZ239" t="s">
        <v>74</v>
      </c>
      <c r="BA239" t="s">
        <v>74</v>
      </c>
      <c r="BB239">
        <v>518</v>
      </c>
      <c r="BC239">
        <v>537</v>
      </c>
      <c r="BD239" t="s">
        <v>74</v>
      </c>
      <c r="BE239" t="s">
        <v>5048</v>
      </c>
      <c r="BF239" t="str">
        <f>HYPERLINK("http://dx.doi.org/10.1111/geb.12714","http://dx.doi.org/10.1111/geb.12714")</f>
        <v>http://dx.doi.org/10.1111/geb.12714</v>
      </c>
      <c r="BG239" t="s">
        <v>74</v>
      </c>
      <c r="BH239" t="s">
        <v>74</v>
      </c>
      <c r="BI239">
        <v>20</v>
      </c>
      <c r="BJ239" t="s">
        <v>5049</v>
      </c>
      <c r="BK239" t="s">
        <v>101</v>
      </c>
      <c r="BL239" t="s">
        <v>1617</v>
      </c>
      <c r="BM239" t="s">
        <v>5050</v>
      </c>
      <c r="BN239" t="s">
        <v>74</v>
      </c>
      <c r="BO239" t="s">
        <v>1085</v>
      </c>
      <c r="BP239" t="s">
        <v>74</v>
      </c>
      <c r="BQ239" t="s">
        <v>74</v>
      </c>
      <c r="BR239" t="s">
        <v>105</v>
      </c>
      <c r="BS239" t="s">
        <v>5051</v>
      </c>
      <c r="BT239" t="str">
        <f>HYPERLINK("https%3A%2F%2Fwww.webofscience.com%2Fwos%2Fwoscc%2Ffull-record%2FWOS:000430916700003","View Full Record in Web of Science")</f>
        <v>View Full Record in Web of Science</v>
      </c>
    </row>
    <row r="240" spans="1:72" x14ac:dyDescent="0.15">
      <c r="A240" t="s">
        <v>72</v>
      </c>
      <c r="B240" t="s">
        <v>5052</v>
      </c>
      <c r="C240" t="s">
        <v>74</v>
      </c>
      <c r="D240" t="s">
        <v>74</v>
      </c>
      <c r="E240" t="s">
        <v>74</v>
      </c>
      <c r="F240" t="s">
        <v>5053</v>
      </c>
      <c r="G240" t="s">
        <v>74</v>
      </c>
      <c r="H240" t="s">
        <v>74</v>
      </c>
      <c r="I240" t="s">
        <v>5054</v>
      </c>
      <c r="J240" t="s">
        <v>852</v>
      </c>
      <c r="K240" t="s">
        <v>74</v>
      </c>
      <c r="L240" t="s">
        <v>74</v>
      </c>
      <c r="M240" t="s">
        <v>78</v>
      </c>
      <c r="N240" t="s">
        <v>79</v>
      </c>
      <c r="O240" t="s">
        <v>74</v>
      </c>
      <c r="P240" t="s">
        <v>74</v>
      </c>
      <c r="Q240" t="s">
        <v>74</v>
      </c>
      <c r="R240" t="s">
        <v>74</v>
      </c>
      <c r="S240" t="s">
        <v>74</v>
      </c>
      <c r="T240" t="s">
        <v>5055</v>
      </c>
      <c r="U240" t="s">
        <v>5056</v>
      </c>
      <c r="V240" t="s">
        <v>5057</v>
      </c>
      <c r="W240" t="s">
        <v>5058</v>
      </c>
      <c r="X240" t="s">
        <v>5059</v>
      </c>
      <c r="Y240" t="s">
        <v>5060</v>
      </c>
      <c r="Z240" t="s">
        <v>5061</v>
      </c>
      <c r="AA240" t="s">
        <v>5062</v>
      </c>
      <c r="AB240" t="s">
        <v>5063</v>
      </c>
      <c r="AC240" t="s">
        <v>5064</v>
      </c>
      <c r="AD240" t="s">
        <v>5065</v>
      </c>
      <c r="AE240" t="s">
        <v>5066</v>
      </c>
      <c r="AF240" t="s">
        <v>74</v>
      </c>
      <c r="AG240">
        <v>98</v>
      </c>
      <c r="AH240">
        <v>58</v>
      </c>
      <c r="AI240">
        <v>63</v>
      </c>
      <c r="AJ240">
        <v>3</v>
      </c>
      <c r="AK240">
        <v>67</v>
      </c>
      <c r="AL240" t="s">
        <v>865</v>
      </c>
      <c r="AM240" t="s">
        <v>92</v>
      </c>
      <c r="AN240" t="s">
        <v>866</v>
      </c>
      <c r="AO240" t="s">
        <v>867</v>
      </c>
      <c r="AP240" t="s">
        <v>868</v>
      </c>
      <c r="AQ240" t="s">
        <v>74</v>
      </c>
      <c r="AR240" t="s">
        <v>869</v>
      </c>
      <c r="AS240" t="s">
        <v>870</v>
      </c>
      <c r="AT240" t="s">
        <v>3298</v>
      </c>
      <c r="AU240">
        <v>2018</v>
      </c>
      <c r="AV240">
        <v>209</v>
      </c>
      <c r="AW240" t="s">
        <v>74</v>
      </c>
      <c r="AX240" t="s">
        <v>74</v>
      </c>
      <c r="AY240" t="s">
        <v>74</v>
      </c>
      <c r="AZ240" t="s">
        <v>74</v>
      </c>
      <c r="BA240" t="s">
        <v>74</v>
      </c>
      <c r="BB240">
        <v>240</v>
      </c>
      <c r="BC240">
        <v>252</v>
      </c>
      <c r="BD240" t="s">
        <v>74</v>
      </c>
      <c r="BE240" t="s">
        <v>5067</v>
      </c>
      <c r="BF240" t="str">
        <f>HYPERLINK("http://dx.doi.org/10.1016/j.rse.2018.02.072","http://dx.doi.org/10.1016/j.rse.2018.02.072")</f>
        <v>http://dx.doi.org/10.1016/j.rse.2018.02.072</v>
      </c>
      <c r="BG240" t="s">
        <v>74</v>
      </c>
      <c r="BH240" t="s">
        <v>74</v>
      </c>
      <c r="BI240">
        <v>13</v>
      </c>
      <c r="BJ240" t="s">
        <v>872</v>
      </c>
      <c r="BK240" t="s">
        <v>101</v>
      </c>
      <c r="BL240" t="s">
        <v>873</v>
      </c>
      <c r="BM240" t="s">
        <v>3890</v>
      </c>
      <c r="BN240" t="s">
        <v>74</v>
      </c>
      <c r="BO240" t="s">
        <v>288</v>
      </c>
      <c r="BP240" t="s">
        <v>74</v>
      </c>
      <c r="BQ240" t="s">
        <v>74</v>
      </c>
      <c r="BR240" t="s">
        <v>105</v>
      </c>
      <c r="BS240" t="s">
        <v>5068</v>
      </c>
      <c r="BT240" t="str">
        <f>HYPERLINK("https%3A%2F%2Fwww.webofscience.com%2Fwos%2Fwoscc%2Ffull-record%2FWOS:000430897300018","View Full Record in Web of Science")</f>
        <v>View Full Record in Web of Science</v>
      </c>
    </row>
    <row r="241" spans="1:72" x14ac:dyDescent="0.15">
      <c r="A241" t="s">
        <v>72</v>
      </c>
      <c r="B241" t="s">
        <v>5069</v>
      </c>
      <c r="C241" t="s">
        <v>74</v>
      </c>
      <c r="D241" t="s">
        <v>74</v>
      </c>
      <c r="E241" t="s">
        <v>74</v>
      </c>
      <c r="F241" t="s">
        <v>5070</v>
      </c>
      <c r="G241" t="s">
        <v>74</v>
      </c>
      <c r="H241" t="s">
        <v>74</v>
      </c>
      <c r="I241" t="s">
        <v>5071</v>
      </c>
      <c r="J241" t="s">
        <v>852</v>
      </c>
      <c r="K241" t="s">
        <v>74</v>
      </c>
      <c r="L241" t="s">
        <v>74</v>
      </c>
      <c r="M241" t="s">
        <v>78</v>
      </c>
      <c r="N241" t="s">
        <v>79</v>
      </c>
      <c r="O241" t="s">
        <v>74</v>
      </c>
      <c r="P241" t="s">
        <v>74</v>
      </c>
      <c r="Q241" t="s">
        <v>74</v>
      </c>
      <c r="R241" t="s">
        <v>74</v>
      </c>
      <c r="S241" t="s">
        <v>74</v>
      </c>
      <c r="T241" t="s">
        <v>5072</v>
      </c>
      <c r="U241" t="s">
        <v>5073</v>
      </c>
      <c r="V241" t="s">
        <v>5074</v>
      </c>
      <c r="W241" t="s">
        <v>5075</v>
      </c>
      <c r="X241" t="s">
        <v>2778</v>
      </c>
      <c r="Y241" t="s">
        <v>5076</v>
      </c>
      <c r="Z241" t="s">
        <v>5077</v>
      </c>
      <c r="AA241" t="s">
        <v>5078</v>
      </c>
      <c r="AB241" t="s">
        <v>5079</v>
      </c>
      <c r="AC241" t="s">
        <v>74</v>
      </c>
      <c r="AD241" t="s">
        <v>74</v>
      </c>
      <c r="AE241" t="s">
        <v>74</v>
      </c>
      <c r="AF241" t="s">
        <v>74</v>
      </c>
      <c r="AG241">
        <v>54</v>
      </c>
      <c r="AH241">
        <v>15</v>
      </c>
      <c r="AI241">
        <v>16</v>
      </c>
      <c r="AJ241">
        <v>0</v>
      </c>
      <c r="AK241">
        <v>29</v>
      </c>
      <c r="AL241" t="s">
        <v>865</v>
      </c>
      <c r="AM241" t="s">
        <v>92</v>
      </c>
      <c r="AN241" t="s">
        <v>866</v>
      </c>
      <c r="AO241" t="s">
        <v>867</v>
      </c>
      <c r="AP241" t="s">
        <v>868</v>
      </c>
      <c r="AQ241" t="s">
        <v>74</v>
      </c>
      <c r="AR241" t="s">
        <v>869</v>
      </c>
      <c r="AS241" t="s">
        <v>870</v>
      </c>
      <c r="AT241" t="s">
        <v>3298</v>
      </c>
      <c r="AU241">
        <v>2018</v>
      </c>
      <c r="AV241">
        <v>209</v>
      </c>
      <c r="AW241" t="s">
        <v>74</v>
      </c>
      <c r="AX241" t="s">
        <v>74</v>
      </c>
      <c r="AY241" t="s">
        <v>74</v>
      </c>
      <c r="AZ241" t="s">
        <v>74</v>
      </c>
      <c r="BA241" t="s">
        <v>74</v>
      </c>
      <c r="BB241">
        <v>648</v>
      </c>
      <c r="BC241">
        <v>659</v>
      </c>
      <c r="BD241" t="s">
        <v>74</v>
      </c>
      <c r="BE241" t="s">
        <v>5080</v>
      </c>
      <c r="BF241" t="str">
        <f>HYPERLINK("http://dx.doi.org/10.1016/j.rse.2018.02.054","http://dx.doi.org/10.1016/j.rse.2018.02.054")</f>
        <v>http://dx.doi.org/10.1016/j.rse.2018.02.054</v>
      </c>
      <c r="BG241" t="s">
        <v>74</v>
      </c>
      <c r="BH241" t="s">
        <v>74</v>
      </c>
      <c r="BI241">
        <v>12</v>
      </c>
      <c r="BJ241" t="s">
        <v>872</v>
      </c>
      <c r="BK241" t="s">
        <v>101</v>
      </c>
      <c r="BL241" t="s">
        <v>873</v>
      </c>
      <c r="BM241" t="s">
        <v>3890</v>
      </c>
      <c r="BN241" t="s">
        <v>74</v>
      </c>
      <c r="BO241" t="s">
        <v>74</v>
      </c>
      <c r="BP241" t="s">
        <v>74</v>
      </c>
      <c r="BQ241" t="s">
        <v>74</v>
      </c>
      <c r="BR241" t="s">
        <v>105</v>
      </c>
      <c r="BS241" t="s">
        <v>5081</v>
      </c>
      <c r="BT241" t="str">
        <f>HYPERLINK("https%3A%2F%2Fwww.webofscience.com%2Fwos%2Fwoscc%2Ffull-record%2FWOS:000430897300046","View Full Record in Web of Science")</f>
        <v>View Full Record in Web of Science</v>
      </c>
    </row>
    <row r="242" spans="1:72" x14ac:dyDescent="0.15">
      <c r="A242" t="s">
        <v>72</v>
      </c>
      <c r="B242" t="s">
        <v>5082</v>
      </c>
      <c r="C242" t="s">
        <v>74</v>
      </c>
      <c r="D242" t="s">
        <v>74</v>
      </c>
      <c r="E242" t="s">
        <v>74</v>
      </c>
      <c r="F242" t="s">
        <v>5083</v>
      </c>
      <c r="G242" t="s">
        <v>74</v>
      </c>
      <c r="H242" t="s">
        <v>74</v>
      </c>
      <c r="I242" t="s">
        <v>5084</v>
      </c>
      <c r="J242" t="s">
        <v>5085</v>
      </c>
      <c r="K242" t="s">
        <v>74</v>
      </c>
      <c r="L242" t="s">
        <v>74</v>
      </c>
      <c r="M242" t="s">
        <v>78</v>
      </c>
      <c r="N242" t="s">
        <v>79</v>
      </c>
      <c r="O242" t="s">
        <v>74</v>
      </c>
      <c r="P242" t="s">
        <v>74</v>
      </c>
      <c r="Q242" t="s">
        <v>74</v>
      </c>
      <c r="R242" t="s">
        <v>74</v>
      </c>
      <c r="S242" t="s">
        <v>74</v>
      </c>
      <c r="T242" t="s">
        <v>74</v>
      </c>
      <c r="U242" t="s">
        <v>5086</v>
      </c>
      <c r="V242" t="s">
        <v>5087</v>
      </c>
      <c r="W242" t="s">
        <v>5088</v>
      </c>
      <c r="X242" t="s">
        <v>5089</v>
      </c>
      <c r="Y242" t="s">
        <v>5090</v>
      </c>
      <c r="Z242" t="s">
        <v>5091</v>
      </c>
      <c r="AA242" t="s">
        <v>74</v>
      </c>
      <c r="AB242" t="s">
        <v>5092</v>
      </c>
      <c r="AC242" t="s">
        <v>5093</v>
      </c>
      <c r="AD242" t="s">
        <v>5094</v>
      </c>
      <c r="AE242" t="s">
        <v>5095</v>
      </c>
      <c r="AF242" t="s">
        <v>74</v>
      </c>
      <c r="AG242">
        <v>41</v>
      </c>
      <c r="AH242">
        <v>0</v>
      </c>
      <c r="AI242">
        <v>0</v>
      </c>
      <c r="AJ242">
        <v>1</v>
      </c>
      <c r="AK242">
        <v>6</v>
      </c>
      <c r="AL242" t="s">
        <v>91</v>
      </c>
      <c r="AM242" t="s">
        <v>92</v>
      </c>
      <c r="AN242" t="s">
        <v>205</v>
      </c>
      <c r="AO242" t="s">
        <v>5096</v>
      </c>
      <c r="AP242" t="s">
        <v>5097</v>
      </c>
      <c r="AQ242" t="s">
        <v>74</v>
      </c>
      <c r="AR242" t="s">
        <v>5098</v>
      </c>
      <c r="AS242" t="s">
        <v>5099</v>
      </c>
      <c r="AT242" t="s">
        <v>3298</v>
      </c>
      <c r="AU242">
        <v>2018</v>
      </c>
      <c r="AV242">
        <v>36</v>
      </c>
      <c r="AW242">
        <v>3</v>
      </c>
      <c r="AX242" t="s">
        <v>74</v>
      </c>
      <c r="AY242" t="s">
        <v>74</v>
      </c>
      <c r="AZ242" t="s">
        <v>74</v>
      </c>
      <c r="BA242" t="s">
        <v>74</v>
      </c>
      <c r="BB242">
        <v>167</v>
      </c>
      <c r="BC242">
        <v>178</v>
      </c>
      <c r="BD242" t="s">
        <v>74</v>
      </c>
      <c r="BE242" t="s">
        <v>5100</v>
      </c>
      <c r="BF242" t="str">
        <f>HYPERLINK("http://dx.doi.org/10.1007/s00271-018-0573-0","http://dx.doi.org/10.1007/s00271-018-0573-0")</f>
        <v>http://dx.doi.org/10.1007/s00271-018-0573-0</v>
      </c>
      <c r="BG242" t="s">
        <v>74</v>
      </c>
      <c r="BH242" t="s">
        <v>74</v>
      </c>
      <c r="BI242">
        <v>12</v>
      </c>
      <c r="BJ242" t="s">
        <v>5101</v>
      </c>
      <c r="BK242" t="s">
        <v>101</v>
      </c>
      <c r="BL242" t="s">
        <v>5102</v>
      </c>
      <c r="BM242" t="s">
        <v>5103</v>
      </c>
      <c r="BN242" t="s">
        <v>74</v>
      </c>
      <c r="BO242" t="s">
        <v>1085</v>
      </c>
      <c r="BP242" t="s">
        <v>74</v>
      </c>
      <c r="BQ242" t="s">
        <v>74</v>
      </c>
      <c r="BR242" t="s">
        <v>105</v>
      </c>
      <c r="BS242" t="s">
        <v>5104</v>
      </c>
      <c r="BT242" t="str">
        <f>HYPERLINK("https%3A%2F%2Fwww.webofscience.com%2Fwos%2Fwoscc%2Ffull-record%2FWOS:000430544500004","View Full Record in Web of Science")</f>
        <v>View Full Record in Web of Science</v>
      </c>
    </row>
    <row r="243" spans="1:72" x14ac:dyDescent="0.15">
      <c r="A243" t="s">
        <v>72</v>
      </c>
      <c r="B243" t="s">
        <v>5105</v>
      </c>
      <c r="C243" t="s">
        <v>74</v>
      </c>
      <c r="D243" t="s">
        <v>74</v>
      </c>
      <c r="E243" t="s">
        <v>74</v>
      </c>
      <c r="F243" t="s">
        <v>5106</v>
      </c>
      <c r="G243" t="s">
        <v>74</v>
      </c>
      <c r="H243" t="s">
        <v>74</v>
      </c>
      <c r="I243" t="s">
        <v>5107</v>
      </c>
      <c r="J243" t="s">
        <v>3583</v>
      </c>
      <c r="K243" t="s">
        <v>74</v>
      </c>
      <c r="L243" t="s">
        <v>74</v>
      </c>
      <c r="M243" t="s">
        <v>78</v>
      </c>
      <c r="N243" t="s">
        <v>79</v>
      </c>
      <c r="O243" t="s">
        <v>74</v>
      </c>
      <c r="P243" t="s">
        <v>74</v>
      </c>
      <c r="Q243" t="s">
        <v>74</v>
      </c>
      <c r="R243" t="s">
        <v>74</v>
      </c>
      <c r="S243" t="s">
        <v>74</v>
      </c>
      <c r="T243" t="s">
        <v>5108</v>
      </c>
      <c r="U243" t="s">
        <v>5109</v>
      </c>
      <c r="V243" t="s">
        <v>5110</v>
      </c>
      <c r="W243" t="s">
        <v>5111</v>
      </c>
      <c r="X243" t="s">
        <v>5112</v>
      </c>
      <c r="Y243" t="s">
        <v>5113</v>
      </c>
      <c r="Z243" t="s">
        <v>5114</v>
      </c>
      <c r="AA243" t="s">
        <v>5115</v>
      </c>
      <c r="AB243" t="s">
        <v>5116</v>
      </c>
      <c r="AC243" t="s">
        <v>5117</v>
      </c>
      <c r="AD243" t="s">
        <v>5118</v>
      </c>
      <c r="AE243" t="s">
        <v>5119</v>
      </c>
      <c r="AF243" t="s">
        <v>74</v>
      </c>
      <c r="AG243">
        <v>33</v>
      </c>
      <c r="AH243">
        <v>10</v>
      </c>
      <c r="AI243">
        <v>10</v>
      </c>
      <c r="AJ243">
        <v>0</v>
      </c>
      <c r="AK243">
        <v>5</v>
      </c>
      <c r="AL243" t="s">
        <v>3595</v>
      </c>
      <c r="AM243" t="s">
        <v>3596</v>
      </c>
      <c r="AN243" t="s">
        <v>3597</v>
      </c>
      <c r="AO243" t="s">
        <v>3598</v>
      </c>
      <c r="AP243" t="s">
        <v>3599</v>
      </c>
      <c r="AQ243" t="s">
        <v>74</v>
      </c>
      <c r="AR243" t="s">
        <v>3600</v>
      </c>
      <c r="AS243" t="s">
        <v>3601</v>
      </c>
      <c r="AT243" t="s">
        <v>3298</v>
      </c>
      <c r="AU243">
        <v>2018</v>
      </c>
      <c r="AV243">
        <v>31</v>
      </c>
      <c r="AW243">
        <v>10</v>
      </c>
      <c r="AX243" t="s">
        <v>74</v>
      </c>
      <c r="AY243" t="s">
        <v>74</v>
      </c>
      <c r="AZ243" t="s">
        <v>74</v>
      </c>
      <c r="BA243" t="s">
        <v>74</v>
      </c>
      <c r="BB243">
        <v>3865</v>
      </c>
      <c r="BC243">
        <v>3874</v>
      </c>
      <c r="BD243" t="s">
        <v>74</v>
      </c>
      <c r="BE243" t="s">
        <v>5120</v>
      </c>
      <c r="BF243" t="str">
        <f>HYPERLINK("http://dx.doi.org/10.1175/JCLI-D-17-0879.1","http://dx.doi.org/10.1175/JCLI-D-17-0879.1")</f>
        <v>http://dx.doi.org/10.1175/JCLI-D-17-0879.1</v>
      </c>
      <c r="BG243" t="s">
        <v>74</v>
      </c>
      <c r="BH243" t="s">
        <v>74</v>
      </c>
      <c r="BI243">
        <v>10</v>
      </c>
      <c r="BJ243" t="s">
        <v>131</v>
      </c>
      <c r="BK243" t="s">
        <v>101</v>
      </c>
      <c r="BL243" t="s">
        <v>131</v>
      </c>
      <c r="BM243" t="s">
        <v>5121</v>
      </c>
      <c r="BN243" t="s">
        <v>74</v>
      </c>
      <c r="BO243" t="s">
        <v>341</v>
      </c>
      <c r="BP243" t="s">
        <v>74</v>
      </c>
      <c r="BQ243" t="s">
        <v>74</v>
      </c>
      <c r="BR243" t="s">
        <v>105</v>
      </c>
      <c r="BS243" t="s">
        <v>5122</v>
      </c>
      <c r="BT243" t="str">
        <f>HYPERLINK("https%3A%2F%2Fwww.webofscience.com%2Fwos%2Fwoscc%2Ffull-record%2FWOS:000430540200005","View Full Record in Web of Science")</f>
        <v>View Full Record in Web of Science</v>
      </c>
    </row>
    <row r="244" spans="1:72" x14ac:dyDescent="0.15">
      <c r="A244" t="s">
        <v>72</v>
      </c>
      <c r="B244" t="s">
        <v>5123</v>
      </c>
      <c r="C244" t="s">
        <v>74</v>
      </c>
      <c r="D244" t="s">
        <v>74</v>
      </c>
      <c r="E244" t="s">
        <v>74</v>
      </c>
      <c r="F244" t="s">
        <v>5124</v>
      </c>
      <c r="G244" t="s">
        <v>74</v>
      </c>
      <c r="H244" t="s">
        <v>74</v>
      </c>
      <c r="I244" t="s">
        <v>5125</v>
      </c>
      <c r="J244" t="s">
        <v>3583</v>
      </c>
      <c r="K244" t="s">
        <v>74</v>
      </c>
      <c r="L244" t="s">
        <v>74</v>
      </c>
      <c r="M244" t="s">
        <v>78</v>
      </c>
      <c r="N244" t="s">
        <v>79</v>
      </c>
      <c r="O244" t="s">
        <v>74</v>
      </c>
      <c r="P244" t="s">
        <v>74</v>
      </c>
      <c r="Q244" t="s">
        <v>74</v>
      </c>
      <c r="R244" t="s">
        <v>74</v>
      </c>
      <c r="S244" t="s">
        <v>74</v>
      </c>
      <c r="T244" t="s">
        <v>5126</v>
      </c>
      <c r="U244" t="s">
        <v>5127</v>
      </c>
      <c r="V244" t="s">
        <v>5128</v>
      </c>
      <c r="W244" t="s">
        <v>5129</v>
      </c>
      <c r="X244" t="s">
        <v>5130</v>
      </c>
      <c r="Y244" t="s">
        <v>5131</v>
      </c>
      <c r="Z244" t="s">
        <v>5132</v>
      </c>
      <c r="AA244" t="s">
        <v>5133</v>
      </c>
      <c r="AB244" t="s">
        <v>74</v>
      </c>
      <c r="AC244" t="s">
        <v>5134</v>
      </c>
      <c r="AD244" t="s">
        <v>5135</v>
      </c>
      <c r="AE244" t="s">
        <v>5136</v>
      </c>
      <c r="AF244" t="s">
        <v>74</v>
      </c>
      <c r="AG244">
        <v>44</v>
      </c>
      <c r="AH244">
        <v>11</v>
      </c>
      <c r="AI244">
        <v>11</v>
      </c>
      <c r="AJ244">
        <v>1</v>
      </c>
      <c r="AK244">
        <v>27</v>
      </c>
      <c r="AL244" t="s">
        <v>3595</v>
      </c>
      <c r="AM244" t="s">
        <v>3596</v>
      </c>
      <c r="AN244" t="s">
        <v>3597</v>
      </c>
      <c r="AO244" t="s">
        <v>3598</v>
      </c>
      <c r="AP244" t="s">
        <v>3599</v>
      </c>
      <c r="AQ244" t="s">
        <v>74</v>
      </c>
      <c r="AR244" t="s">
        <v>3600</v>
      </c>
      <c r="AS244" t="s">
        <v>3601</v>
      </c>
      <c r="AT244" t="s">
        <v>3298</v>
      </c>
      <c r="AU244">
        <v>2018</v>
      </c>
      <c r="AV244">
        <v>31</v>
      </c>
      <c r="AW244">
        <v>10</v>
      </c>
      <c r="AX244" t="s">
        <v>74</v>
      </c>
      <c r="AY244" t="s">
        <v>74</v>
      </c>
      <c r="AZ244" t="s">
        <v>74</v>
      </c>
      <c r="BA244" t="s">
        <v>74</v>
      </c>
      <c r="BB244">
        <v>3909</v>
      </c>
      <c r="BC244">
        <v>3920</v>
      </c>
      <c r="BD244" t="s">
        <v>74</v>
      </c>
      <c r="BE244" t="s">
        <v>5137</v>
      </c>
      <c r="BF244" t="str">
        <f>HYPERLINK("http://dx.doi.org/10.1175/JCLI-D-17-0739.1","http://dx.doi.org/10.1175/JCLI-D-17-0739.1")</f>
        <v>http://dx.doi.org/10.1175/JCLI-D-17-0739.1</v>
      </c>
      <c r="BG244" t="s">
        <v>74</v>
      </c>
      <c r="BH244" t="s">
        <v>74</v>
      </c>
      <c r="BI244">
        <v>12</v>
      </c>
      <c r="BJ244" t="s">
        <v>131</v>
      </c>
      <c r="BK244" t="s">
        <v>101</v>
      </c>
      <c r="BL244" t="s">
        <v>131</v>
      </c>
      <c r="BM244" t="s">
        <v>5121</v>
      </c>
      <c r="BN244" t="s">
        <v>74</v>
      </c>
      <c r="BO244" t="s">
        <v>162</v>
      </c>
      <c r="BP244" t="s">
        <v>74</v>
      </c>
      <c r="BQ244" t="s">
        <v>74</v>
      </c>
      <c r="BR244" t="s">
        <v>105</v>
      </c>
      <c r="BS244" t="s">
        <v>5138</v>
      </c>
      <c r="BT244" t="str">
        <f>HYPERLINK("https%3A%2F%2Fwww.webofscience.com%2Fwos%2Fwoscc%2Ffull-record%2FWOS:000430540200008","View Full Record in Web of Science")</f>
        <v>View Full Record in Web of Science</v>
      </c>
    </row>
    <row r="245" spans="1:72" x14ac:dyDescent="0.15">
      <c r="A245" t="s">
        <v>72</v>
      </c>
      <c r="B245" t="s">
        <v>5139</v>
      </c>
      <c r="C245" t="s">
        <v>74</v>
      </c>
      <c r="D245" t="s">
        <v>74</v>
      </c>
      <c r="E245" t="s">
        <v>74</v>
      </c>
      <c r="F245" t="s">
        <v>5140</v>
      </c>
      <c r="G245" t="s">
        <v>74</v>
      </c>
      <c r="H245" t="s">
        <v>74</v>
      </c>
      <c r="I245" t="s">
        <v>5141</v>
      </c>
      <c r="J245" t="s">
        <v>5142</v>
      </c>
      <c r="K245" t="s">
        <v>74</v>
      </c>
      <c r="L245" t="s">
        <v>74</v>
      </c>
      <c r="M245" t="s">
        <v>78</v>
      </c>
      <c r="N245" t="s">
        <v>79</v>
      </c>
      <c r="O245" t="s">
        <v>74</v>
      </c>
      <c r="P245" t="s">
        <v>74</v>
      </c>
      <c r="Q245" t="s">
        <v>74</v>
      </c>
      <c r="R245" t="s">
        <v>74</v>
      </c>
      <c r="S245" t="s">
        <v>74</v>
      </c>
      <c r="T245" t="s">
        <v>5143</v>
      </c>
      <c r="U245" t="s">
        <v>5144</v>
      </c>
      <c r="V245" t="s">
        <v>5145</v>
      </c>
      <c r="W245" t="s">
        <v>5146</v>
      </c>
      <c r="X245" t="s">
        <v>5147</v>
      </c>
      <c r="Y245" t="s">
        <v>5148</v>
      </c>
      <c r="Z245" t="s">
        <v>5149</v>
      </c>
      <c r="AA245" t="s">
        <v>5150</v>
      </c>
      <c r="AB245" t="s">
        <v>5151</v>
      </c>
      <c r="AC245" t="s">
        <v>5152</v>
      </c>
      <c r="AD245" t="s">
        <v>5153</v>
      </c>
      <c r="AE245" t="s">
        <v>5154</v>
      </c>
      <c r="AF245" t="s">
        <v>74</v>
      </c>
      <c r="AG245">
        <v>73</v>
      </c>
      <c r="AH245">
        <v>24</v>
      </c>
      <c r="AI245">
        <v>26</v>
      </c>
      <c r="AJ245">
        <v>3</v>
      </c>
      <c r="AK245">
        <v>14</v>
      </c>
      <c r="AL245" t="s">
        <v>91</v>
      </c>
      <c r="AM245" t="s">
        <v>92</v>
      </c>
      <c r="AN245" t="s">
        <v>205</v>
      </c>
      <c r="AO245" t="s">
        <v>5155</v>
      </c>
      <c r="AP245" t="s">
        <v>5156</v>
      </c>
      <c r="AQ245" t="s">
        <v>74</v>
      </c>
      <c r="AR245" t="s">
        <v>5157</v>
      </c>
      <c r="AS245" t="s">
        <v>5158</v>
      </c>
      <c r="AT245" t="s">
        <v>3298</v>
      </c>
      <c r="AU245">
        <v>2018</v>
      </c>
      <c r="AV245">
        <v>50</v>
      </c>
      <c r="AW245" t="s">
        <v>5159</v>
      </c>
      <c r="AX245" t="s">
        <v>74</v>
      </c>
      <c r="AY245" t="s">
        <v>74</v>
      </c>
      <c r="AZ245" t="s">
        <v>74</v>
      </c>
      <c r="BA245" t="s">
        <v>74</v>
      </c>
      <c r="BB245">
        <v>3375</v>
      </c>
      <c r="BC245">
        <v>3395</v>
      </c>
      <c r="BD245" t="s">
        <v>74</v>
      </c>
      <c r="BE245" t="s">
        <v>5160</v>
      </c>
      <c r="BF245" t="str">
        <f>HYPERLINK("http://dx.doi.org/10.1007/s00382-017-3810-y","http://dx.doi.org/10.1007/s00382-017-3810-y")</f>
        <v>http://dx.doi.org/10.1007/s00382-017-3810-y</v>
      </c>
      <c r="BG245" t="s">
        <v>74</v>
      </c>
      <c r="BH245" t="s">
        <v>74</v>
      </c>
      <c r="BI245">
        <v>21</v>
      </c>
      <c r="BJ245" t="s">
        <v>131</v>
      </c>
      <c r="BK245" t="s">
        <v>101</v>
      </c>
      <c r="BL245" t="s">
        <v>131</v>
      </c>
      <c r="BM245" t="s">
        <v>5161</v>
      </c>
      <c r="BN245" t="s">
        <v>74</v>
      </c>
      <c r="BO245" t="s">
        <v>341</v>
      </c>
      <c r="BP245" t="s">
        <v>74</v>
      </c>
      <c r="BQ245" t="s">
        <v>74</v>
      </c>
      <c r="BR245" t="s">
        <v>105</v>
      </c>
      <c r="BS245" t="s">
        <v>5162</v>
      </c>
      <c r="BT245" t="str">
        <f>HYPERLINK("https%3A%2F%2Fwww.webofscience.com%2Fwos%2Fwoscc%2Ffull-record%2FWOS:000429650700014","View Full Record in Web of Science")</f>
        <v>View Full Record in Web of Science</v>
      </c>
    </row>
    <row r="246" spans="1:72" x14ac:dyDescent="0.15">
      <c r="A246" t="s">
        <v>72</v>
      </c>
      <c r="B246" t="s">
        <v>5163</v>
      </c>
      <c r="C246" t="s">
        <v>74</v>
      </c>
      <c r="D246" t="s">
        <v>74</v>
      </c>
      <c r="E246" t="s">
        <v>74</v>
      </c>
      <c r="F246" t="s">
        <v>5164</v>
      </c>
      <c r="G246" t="s">
        <v>74</v>
      </c>
      <c r="H246" t="s">
        <v>74</v>
      </c>
      <c r="I246" t="s">
        <v>5165</v>
      </c>
      <c r="J246" t="s">
        <v>5166</v>
      </c>
      <c r="K246" t="s">
        <v>74</v>
      </c>
      <c r="L246" t="s">
        <v>74</v>
      </c>
      <c r="M246" t="s">
        <v>78</v>
      </c>
      <c r="N246" t="s">
        <v>79</v>
      </c>
      <c r="O246" t="s">
        <v>74</v>
      </c>
      <c r="P246" t="s">
        <v>74</v>
      </c>
      <c r="Q246" t="s">
        <v>74</v>
      </c>
      <c r="R246" t="s">
        <v>74</v>
      </c>
      <c r="S246" t="s">
        <v>74</v>
      </c>
      <c r="T246" t="s">
        <v>5167</v>
      </c>
      <c r="U246" t="s">
        <v>5168</v>
      </c>
      <c r="V246" t="s">
        <v>5169</v>
      </c>
      <c r="W246" t="s">
        <v>5170</v>
      </c>
      <c r="X246" t="s">
        <v>5171</v>
      </c>
      <c r="Y246" t="s">
        <v>5172</v>
      </c>
      <c r="Z246" t="s">
        <v>5173</v>
      </c>
      <c r="AA246" t="s">
        <v>5174</v>
      </c>
      <c r="AB246" t="s">
        <v>5175</v>
      </c>
      <c r="AC246" t="s">
        <v>74</v>
      </c>
      <c r="AD246" t="s">
        <v>74</v>
      </c>
      <c r="AE246" t="s">
        <v>74</v>
      </c>
      <c r="AF246" t="s">
        <v>74</v>
      </c>
      <c r="AG246">
        <v>105</v>
      </c>
      <c r="AH246">
        <v>29</v>
      </c>
      <c r="AI246">
        <v>31</v>
      </c>
      <c r="AJ246">
        <v>0</v>
      </c>
      <c r="AK246">
        <v>26</v>
      </c>
      <c r="AL246" t="s">
        <v>252</v>
      </c>
      <c r="AM246" t="s">
        <v>253</v>
      </c>
      <c r="AN246" t="s">
        <v>254</v>
      </c>
      <c r="AO246" t="s">
        <v>5176</v>
      </c>
      <c r="AP246" t="s">
        <v>5177</v>
      </c>
      <c r="AQ246" t="s">
        <v>74</v>
      </c>
      <c r="AR246" t="s">
        <v>5178</v>
      </c>
      <c r="AS246" t="s">
        <v>5179</v>
      </c>
      <c r="AT246" t="s">
        <v>3298</v>
      </c>
      <c r="AU246">
        <v>2018</v>
      </c>
      <c r="AV246">
        <v>2</v>
      </c>
      <c r="AW246">
        <v>1</v>
      </c>
      <c r="AX246" t="s">
        <v>74</v>
      </c>
      <c r="AY246" t="s">
        <v>74</v>
      </c>
      <c r="AZ246" t="s">
        <v>74</v>
      </c>
      <c r="BA246" t="s">
        <v>74</v>
      </c>
      <c r="BB246">
        <v>35</v>
      </c>
      <c r="BC246">
        <v>54</v>
      </c>
      <c r="BD246" t="s">
        <v>74</v>
      </c>
      <c r="BE246" t="s">
        <v>5180</v>
      </c>
      <c r="BF246" t="str">
        <f>HYPERLINK("http://dx.doi.org/10.1007/s41748-017-0032-8","http://dx.doi.org/10.1007/s41748-017-0032-8")</f>
        <v>http://dx.doi.org/10.1007/s41748-017-0032-8</v>
      </c>
      <c r="BG246" t="s">
        <v>74</v>
      </c>
      <c r="BH246" t="s">
        <v>74</v>
      </c>
      <c r="BI246">
        <v>20</v>
      </c>
      <c r="BJ246" t="s">
        <v>4083</v>
      </c>
      <c r="BK246" t="s">
        <v>261</v>
      </c>
      <c r="BL246" t="s">
        <v>4084</v>
      </c>
      <c r="BM246" t="s">
        <v>5181</v>
      </c>
      <c r="BN246" t="s">
        <v>74</v>
      </c>
      <c r="BO246" t="s">
        <v>74</v>
      </c>
      <c r="BP246" t="s">
        <v>74</v>
      </c>
      <c r="BQ246" t="s">
        <v>74</v>
      </c>
      <c r="BR246" t="s">
        <v>105</v>
      </c>
      <c r="BS246" t="s">
        <v>5182</v>
      </c>
      <c r="BT246" t="str">
        <f>HYPERLINK("https%3A%2F%2Fwww.webofscience.com%2Fwos%2Fwoscc%2Ffull-record%2FWOS:000526462300004","View Full Record in Web of Science")</f>
        <v>View Full Record in Web of Science</v>
      </c>
    </row>
    <row r="247" spans="1:72" x14ac:dyDescent="0.15">
      <c r="A247" t="s">
        <v>72</v>
      </c>
      <c r="B247" t="s">
        <v>5183</v>
      </c>
      <c r="C247" t="s">
        <v>74</v>
      </c>
      <c r="D247" t="s">
        <v>74</v>
      </c>
      <c r="E247" t="s">
        <v>74</v>
      </c>
      <c r="F247" t="s">
        <v>5184</v>
      </c>
      <c r="G247" t="s">
        <v>74</v>
      </c>
      <c r="H247" t="s">
        <v>74</v>
      </c>
      <c r="I247" t="s">
        <v>5185</v>
      </c>
      <c r="J247" t="s">
        <v>1274</v>
      </c>
      <c r="K247" t="s">
        <v>74</v>
      </c>
      <c r="L247" t="s">
        <v>74</v>
      </c>
      <c r="M247" t="s">
        <v>78</v>
      </c>
      <c r="N247" t="s">
        <v>79</v>
      </c>
      <c r="O247" t="s">
        <v>74</v>
      </c>
      <c r="P247" t="s">
        <v>74</v>
      </c>
      <c r="Q247" t="s">
        <v>74</v>
      </c>
      <c r="R247" t="s">
        <v>74</v>
      </c>
      <c r="S247" t="s">
        <v>74</v>
      </c>
      <c r="T247" t="s">
        <v>5186</v>
      </c>
      <c r="U247" t="s">
        <v>5187</v>
      </c>
      <c r="V247" t="s">
        <v>5188</v>
      </c>
      <c r="W247" t="s">
        <v>5189</v>
      </c>
      <c r="X247" t="s">
        <v>5190</v>
      </c>
      <c r="Y247" t="s">
        <v>5191</v>
      </c>
      <c r="Z247" t="s">
        <v>5192</v>
      </c>
      <c r="AA247" t="s">
        <v>5193</v>
      </c>
      <c r="AB247" t="s">
        <v>5194</v>
      </c>
      <c r="AC247" t="s">
        <v>5195</v>
      </c>
      <c r="AD247" t="s">
        <v>5196</v>
      </c>
      <c r="AE247" t="s">
        <v>5197</v>
      </c>
      <c r="AF247" t="s">
        <v>74</v>
      </c>
      <c r="AG247">
        <v>80</v>
      </c>
      <c r="AH247">
        <v>93</v>
      </c>
      <c r="AI247">
        <v>98</v>
      </c>
      <c r="AJ247">
        <v>3</v>
      </c>
      <c r="AK247">
        <v>189</v>
      </c>
      <c r="AL247" t="s">
        <v>425</v>
      </c>
      <c r="AM247" t="s">
        <v>278</v>
      </c>
      <c r="AN247" t="s">
        <v>426</v>
      </c>
      <c r="AO247" t="s">
        <v>1286</v>
      </c>
      <c r="AP247" t="s">
        <v>1287</v>
      </c>
      <c r="AQ247" t="s">
        <v>74</v>
      </c>
      <c r="AR247" t="s">
        <v>1288</v>
      </c>
      <c r="AS247" t="s">
        <v>1289</v>
      </c>
      <c r="AT247" t="s">
        <v>3298</v>
      </c>
      <c r="AU247">
        <v>2018</v>
      </c>
      <c r="AV247">
        <v>236</v>
      </c>
      <c r="AW247" t="s">
        <v>74</v>
      </c>
      <c r="AX247" t="s">
        <v>74</v>
      </c>
      <c r="AY247" t="s">
        <v>74</v>
      </c>
      <c r="AZ247" t="s">
        <v>74</v>
      </c>
      <c r="BA247" t="s">
        <v>74</v>
      </c>
      <c r="BB247">
        <v>706</v>
      </c>
      <c r="BC247">
        <v>717</v>
      </c>
      <c r="BD247" t="s">
        <v>74</v>
      </c>
      <c r="BE247" t="s">
        <v>5198</v>
      </c>
      <c r="BF247" t="str">
        <f>HYPERLINK("http://dx.doi.org/10.1016/j.envpol.2018.01.095","http://dx.doi.org/10.1016/j.envpol.2018.01.095")</f>
        <v>http://dx.doi.org/10.1016/j.envpol.2018.01.095</v>
      </c>
      <c r="BG247" t="s">
        <v>74</v>
      </c>
      <c r="BH247" t="s">
        <v>74</v>
      </c>
      <c r="BI247">
        <v>12</v>
      </c>
      <c r="BJ247" t="s">
        <v>921</v>
      </c>
      <c r="BK247" t="s">
        <v>101</v>
      </c>
      <c r="BL247" t="s">
        <v>315</v>
      </c>
      <c r="BM247" t="s">
        <v>5199</v>
      </c>
      <c r="BN247">
        <v>29453186</v>
      </c>
      <c r="BO247" t="s">
        <v>74</v>
      </c>
      <c r="BP247" t="s">
        <v>74</v>
      </c>
      <c r="BQ247" t="s">
        <v>74</v>
      </c>
      <c r="BR247" t="s">
        <v>105</v>
      </c>
      <c r="BS247" t="s">
        <v>5200</v>
      </c>
      <c r="BT247" t="str">
        <f>HYPERLINK("https%3A%2F%2Fwww.webofscience.com%2Fwos%2Fwoscc%2Ffull-record%2FWOS:000429187500074","View Full Record in Web of Science")</f>
        <v>View Full Record in Web of Science</v>
      </c>
    </row>
    <row r="248" spans="1:72" x14ac:dyDescent="0.15">
      <c r="A248" t="s">
        <v>72</v>
      </c>
      <c r="B248" t="s">
        <v>5201</v>
      </c>
      <c r="C248" t="s">
        <v>74</v>
      </c>
      <c r="D248" t="s">
        <v>74</v>
      </c>
      <c r="E248" t="s">
        <v>74</v>
      </c>
      <c r="F248" t="s">
        <v>5202</v>
      </c>
      <c r="G248" t="s">
        <v>74</v>
      </c>
      <c r="H248" t="s">
        <v>74</v>
      </c>
      <c r="I248" t="s">
        <v>5203</v>
      </c>
      <c r="J248" t="s">
        <v>5204</v>
      </c>
      <c r="K248" t="s">
        <v>74</v>
      </c>
      <c r="L248" t="s">
        <v>74</v>
      </c>
      <c r="M248" t="s">
        <v>78</v>
      </c>
      <c r="N248" t="s">
        <v>79</v>
      </c>
      <c r="O248" t="s">
        <v>74</v>
      </c>
      <c r="P248" t="s">
        <v>74</v>
      </c>
      <c r="Q248" t="s">
        <v>74</v>
      </c>
      <c r="R248" t="s">
        <v>74</v>
      </c>
      <c r="S248" t="s">
        <v>74</v>
      </c>
      <c r="T248" t="s">
        <v>5205</v>
      </c>
      <c r="U248" t="s">
        <v>5206</v>
      </c>
      <c r="V248" t="s">
        <v>5207</v>
      </c>
      <c r="W248" t="s">
        <v>5208</v>
      </c>
      <c r="X248" t="s">
        <v>5209</v>
      </c>
      <c r="Y248" t="s">
        <v>5210</v>
      </c>
      <c r="Z248" t="s">
        <v>5211</v>
      </c>
      <c r="AA248" t="s">
        <v>5212</v>
      </c>
      <c r="AB248" t="s">
        <v>5213</v>
      </c>
      <c r="AC248" t="s">
        <v>5214</v>
      </c>
      <c r="AD248" t="s">
        <v>5215</v>
      </c>
      <c r="AE248" t="s">
        <v>5216</v>
      </c>
      <c r="AF248" t="s">
        <v>74</v>
      </c>
      <c r="AG248">
        <v>77</v>
      </c>
      <c r="AH248">
        <v>51</v>
      </c>
      <c r="AI248">
        <v>53</v>
      </c>
      <c r="AJ248">
        <v>2</v>
      </c>
      <c r="AK248">
        <v>56</v>
      </c>
      <c r="AL248" t="s">
        <v>5217</v>
      </c>
      <c r="AM248" t="s">
        <v>5218</v>
      </c>
      <c r="AN248" t="s">
        <v>5219</v>
      </c>
      <c r="AO248" t="s">
        <v>5220</v>
      </c>
      <c r="AP248" t="s">
        <v>5221</v>
      </c>
      <c r="AQ248" t="s">
        <v>74</v>
      </c>
      <c r="AR248" t="s">
        <v>5204</v>
      </c>
      <c r="AS248" t="s">
        <v>5222</v>
      </c>
      <c r="AT248" t="s">
        <v>3298</v>
      </c>
      <c r="AU248">
        <v>2018</v>
      </c>
      <c r="AV248">
        <v>22</v>
      </c>
      <c r="AW248">
        <v>3</v>
      </c>
      <c r="AX248" t="s">
        <v>74</v>
      </c>
      <c r="AY248" t="s">
        <v>74</v>
      </c>
      <c r="AZ248" t="s">
        <v>74</v>
      </c>
      <c r="BA248" t="s">
        <v>74</v>
      </c>
      <c r="BB248">
        <v>381</v>
      </c>
      <c r="BC248">
        <v>393</v>
      </c>
      <c r="BD248" t="s">
        <v>74</v>
      </c>
      <c r="BE248" t="s">
        <v>5223</v>
      </c>
      <c r="BF248" t="str">
        <f>HYPERLINK("http://dx.doi.org/10.1007/s00792-018-1003-1","http://dx.doi.org/10.1007/s00792-018-1003-1")</f>
        <v>http://dx.doi.org/10.1007/s00792-018-1003-1</v>
      </c>
      <c r="BG248" t="s">
        <v>74</v>
      </c>
      <c r="BH248" t="s">
        <v>74</v>
      </c>
      <c r="BI248">
        <v>13</v>
      </c>
      <c r="BJ248" t="s">
        <v>5224</v>
      </c>
      <c r="BK248" t="s">
        <v>101</v>
      </c>
      <c r="BL248" t="s">
        <v>5224</v>
      </c>
      <c r="BM248" t="s">
        <v>5225</v>
      </c>
      <c r="BN248">
        <v>29332141</v>
      </c>
      <c r="BO248" t="s">
        <v>74</v>
      </c>
      <c r="BP248" t="s">
        <v>74</v>
      </c>
      <c r="BQ248" t="s">
        <v>74</v>
      </c>
      <c r="BR248" t="s">
        <v>105</v>
      </c>
      <c r="BS248" t="s">
        <v>5226</v>
      </c>
      <c r="BT248" t="str">
        <f>HYPERLINK("https%3A%2F%2Fwww.webofscience.com%2Fwos%2Fwoscc%2Ffull-record%2FWOS:000428048800005","View Full Record in Web of Science")</f>
        <v>View Full Record in Web of Science</v>
      </c>
    </row>
    <row r="249" spans="1:72" x14ac:dyDescent="0.15">
      <c r="A249" t="s">
        <v>72</v>
      </c>
      <c r="B249" t="s">
        <v>5227</v>
      </c>
      <c r="C249" t="s">
        <v>74</v>
      </c>
      <c r="D249" t="s">
        <v>74</v>
      </c>
      <c r="E249" t="s">
        <v>74</v>
      </c>
      <c r="F249" t="s">
        <v>5228</v>
      </c>
      <c r="G249" t="s">
        <v>74</v>
      </c>
      <c r="H249" t="s">
        <v>74</v>
      </c>
      <c r="I249" t="s">
        <v>5229</v>
      </c>
      <c r="J249" t="s">
        <v>3376</v>
      </c>
      <c r="K249" t="s">
        <v>74</v>
      </c>
      <c r="L249" t="s">
        <v>74</v>
      </c>
      <c r="M249" t="s">
        <v>78</v>
      </c>
      <c r="N249" t="s">
        <v>79</v>
      </c>
      <c r="O249" t="s">
        <v>74</v>
      </c>
      <c r="P249" t="s">
        <v>74</v>
      </c>
      <c r="Q249" t="s">
        <v>74</v>
      </c>
      <c r="R249" t="s">
        <v>74</v>
      </c>
      <c r="S249" t="s">
        <v>74</v>
      </c>
      <c r="T249" t="s">
        <v>5230</v>
      </c>
      <c r="U249" t="s">
        <v>5231</v>
      </c>
      <c r="V249" t="s">
        <v>5232</v>
      </c>
      <c r="W249" t="s">
        <v>5233</v>
      </c>
      <c r="X249" t="s">
        <v>5234</v>
      </c>
      <c r="Y249" t="s">
        <v>5235</v>
      </c>
      <c r="Z249" t="s">
        <v>5236</v>
      </c>
      <c r="AA249" t="s">
        <v>5237</v>
      </c>
      <c r="AB249" t="s">
        <v>5238</v>
      </c>
      <c r="AC249" t="s">
        <v>5239</v>
      </c>
      <c r="AD249" t="s">
        <v>5240</v>
      </c>
      <c r="AE249" t="s">
        <v>5241</v>
      </c>
      <c r="AF249" t="s">
        <v>74</v>
      </c>
      <c r="AG249">
        <v>48</v>
      </c>
      <c r="AH249">
        <v>19</v>
      </c>
      <c r="AI249">
        <v>19</v>
      </c>
      <c r="AJ249">
        <v>3</v>
      </c>
      <c r="AK249">
        <v>34</v>
      </c>
      <c r="AL249" t="s">
        <v>179</v>
      </c>
      <c r="AM249" t="s">
        <v>180</v>
      </c>
      <c r="AN249" t="s">
        <v>181</v>
      </c>
      <c r="AO249" t="s">
        <v>3389</v>
      </c>
      <c r="AP249" t="s">
        <v>3390</v>
      </c>
      <c r="AQ249" t="s">
        <v>74</v>
      </c>
      <c r="AR249" t="s">
        <v>3391</v>
      </c>
      <c r="AS249" t="s">
        <v>3392</v>
      </c>
      <c r="AT249" t="s">
        <v>3298</v>
      </c>
      <c r="AU249">
        <v>2018</v>
      </c>
      <c r="AV249">
        <v>285</v>
      </c>
      <c r="AW249">
        <v>9</v>
      </c>
      <c r="AX249" t="s">
        <v>74</v>
      </c>
      <c r="AY249" t="s">
        <v>74</v>
      </c>
      <c r="AZ249" t="s">
        <v>74</v>
      </c>
      <c r="BA249" t="s">
        <v>74</v>
      </c>
      <c r="BB249">
        <v>1653</v>
      </c>
      <c r="BC249">
        <v>1666</v>
      </c>
      <c r="BD249" t="s">
        <v>74</v>
      </c>
      <c r="BE249" t="s">
        <v>5242</v>
      </c>
      <c r="BF249" t="str">
        <f>HYPERLINK("http://dx.doi.org/10.1111/febs.14434","http://dx.doi.org/10.1111/febs.14434")</f>
        <v>http://dx.doi.org/10.1111/febs.14434</v>
      </c>
      <c r="BG249" t="s">
        <v>74</v>
      </c>
      <c r="BH249" t="s">
        <v>74</v>
      </c>
      <c r="BI249">
        <v>14</v>
      </c>
      <c r="BJ249" t="s">
        <v>3394</v>
      </c>
      <c r="BK249" t="s">
        <v>101</v>
      </c>
      <c r="BL249" t="s">
        <v>3394</v>
      </c>
      <c r="BM249" t="s">
        <v>5243</v>
      </c>
      <c r="BN249">
        <v>29533528</v>
      </c>
      <c r="BO249" t="s">
        <v>162</v>
      </c>
      <c r="BP249" t="s">
        <v>74</v>
      </c>
      <c r="BQ249" t="s">
        <v>74</v>
      </c>
      <c r="BR249" t="s">
        <v>105</v>
      </c>
      <c r="BS249" t="s">
        <v>5244</v>
      </c>
      <c r="BT249" t="str">
        <f>HYPERLINK("https%3A%2F%2Fwww.webofscience.com%2Fwos%2Fwoscc%2Ffull-record%2FWOS:000431678400008","View Full Record in Web of Science")</f>
        <v>View Full Record in Web of Science</v>
      </c>
    </row>
    <row r="250" spans="1:72" x14ac:dyDescent="0.15">
      <c r="A250" t="s">
        <v>72</v>
      </c>
      <c r="B250" t="s">
        <v>5245</v>
      </c>
      <c r="C250" t="s">
        <v>74</v>
      </c>
      <c r="D250" t="s">
        <v>74</v>
      </c>
      <c r="E250" t="s">
        <v>74</v>
      </c>
      <c r="F250" t="s">
        <v>5246</v>
      </c>
      <c r="G250" t="s">
        <v>74</v>
      </c>
      <c r="H250" t="s">
        <v>74</v>
      </c>
      <c r="I250" t="s">
        <v>5247</v>
      </c>
      <c r="J250" t="s">
        <v>5248</v>
      </c>
      <c r="K250" t="s">
        <v>74</v>
      </c>
      <c r="L250" t="s">
        <v>74</v>
      </c>
      <c r="M250" t="s">
        <v>78</v>
      </c>
      <c r="N250" t="s">
        <v>371</v>
      </c>
      <c r="O250" t="s">
        <v>74</v>
      </c>
      <c r="P250" t="s">
        <v>74</v>
      </c>
      <c r="Q250" t="s">
        <v>74</v>
      </c>
      <c r="R250" t="s">
        <v>74</v>
      </c>
      <c r="S250" t="s">
        <v>74</v>
      </c>
      <c r="T250" t="s">
        <v>5249</v>
      </c>
      <c r="U250" t="s">
        <v>5250</v>
      </c>
      <c r="V250" t="s">
        <v>5251</v>
      </c>
      <c r="W250" t="s">
        <v>5252</v>
      </c>
      <c r="X250" t="s">
        <v>5253</v>
      </c>
      <c r="Y250" t="s">
        <v>5254</v>
      </c>
      <c r="Z250" t="s">
        <v>5255</v>
      </c>
      <c r="AA250" t="s">
        <v>74</v>
      </c>
      <c r="AB250" t="s">
        <v>5256</v>
      </c>
      <c r="AC250" t="s">
        <v>74</v>
      </c>
      <c r="AD250" t="s">
        <v>74</v>
      </c>
      <c r="AE250" t="s">
        <v>74</v>
      </c>
      <c r="AF250" t="s">
        <v>74</v>
      </c>
      <c r="AG250">
        <v>25</v>
      </c>
      <c r="AH250">
        <v>0</v>
      </c>
      <c r="AI250">
        <v>0</v>
      </c>
      <c r="AJ250">
        <v>0</v>
      </c>
      <c r="AK250">
        <v>4</v>
      </c>
      <c r="AL250" t="s">
        <v>179</v>
      </c>
      <c r="AM250" t="s">
        <v>180</v>
      </c>
      <c r="AN250" t="s">
        <v>181</v>
      </c>
      <c r="AO250" t="s">
        <v>5257</v>
      </c>
      <c r="AP250" t="s">
        <v>74</v>
      </c>
      <c r="AQ250" t="s">
        <v>74</v>
      </c>
      <c r="AR250" t="s">
        <v>5248</v>
      </c>
      <c r="AS250" t="s">
        <v>5258</v>
      </c>
      <c r="AT250" t="s">
        <v>3298</v>
      </c>
      <c r="AU250">
        <v>2018</v>
      </c>
      <c r="AV250">
        <v>2</v>
      </c>
      <c r="AW250">
        <v>5</v>
      </c>
      <c r="AX250" t="s">
        <v>74</v>
      </c>
      <c r="AY250" t="s">
        <v>74</v>
      </c>
      <c r="AZ250" t="s">
        <v>74</v>
      </c>
      <c r="BA250" t="s">
        <v>74</v>
      </c>
      <c r="BB250">
        <v>150</v>
      </c>
      <c r="BC250">
        <v>154</v>
      </c>
      <c r="BD250" t="s">
        <v>74</v>
      </c>
      <c r="BE250" t="s">
        <v>5259</v>
      </c>
      <c r="BF250" t="str">
        <f>HYPERLINK("http://dx.doi.org/10.1002/2017GH000105","http://dx.doi.org/10.1002/2017GH000105")</f>
        <v>http://dx.doi.org/10.1002/2017GH000105</v>
      </c>
      <c r="BG250" t="s">
        <v>74</v>
      </c>
      <c r="BH250" t="s">
        <v>74</v>
      </c>
      <c r="BI250">
        <v>5</v>
      </c>
      <c r="BJ250" t="s">
        <v>5260</v>
      </c>
      <c r="BK250" t="s">
        <v>101</v>
      </c>
      <c r="BL250" t="s">
        <v>5261</v>
      </c>
      <c r="BM250" t="s">
        <v>5262</v>
      </c>
      <c r="BN250">
        <v>32158018</v>
      </c>
      <c r="BO250" t="s">
        <v>764</v>
      </c>
      <c r="BP250" t="s">
        <v>74</v>
      </c>
      <c r="BQ250" t="s">
        <v>74</v>
      </c>
      <c r="BR250" t="s">
        <v>105</v>
      </c>
      <c r="BS250" t="s">
        <v>5263</v>
      </c>
      <c r="BT250" t="str">
        <f>HYPERLINK("https%3A%2F%2Fwww.webofscience.com%2Fwos%2Fwoscc%2Ffull-record%2FWOS:000458214500001","View Full Record in Web of Science")</f>
        <v>View Full Record in Web of Science</v>
      </c>
    </row>
    <row r="251" spans="1:72" x14ac:dyDescent="0.15">
      <c r="A251" t="s">
        <v>72</v>
      </c>
      <c r="B251" t="s">
        <v>5264</v>
      </c>
      <c r="C251" t="s">
        <v>74</v>
      </c>
      <c r="D251" t="s">
        <v>74</v>
      </c>
      <c r="E251" t="s">
        <v>74</v>
      </c>
      <c r="F251" t="s">
        <v>5265</v>
      </c>
      <c r="G251" t="s">
        <v>74</v>
      </c>
      <c r="H251" t="s">
        <v>74</v>
      </c>
      <c r="I251" t="s">
        <v>5266</v>
      </c>
      <c r="J251" t="s">
        <v>5267</v>
      </c>
      <c r="K251" t="s">
        <v>74</v>
      </c>
      <c r="L251" t="s">
        <v>74</v>
      </c>
      <c r="M251" t="s">
        <v>78</v>
      </c>
      <c r="N251" t="s">
        <v>79</v>
      </c>
      <c r="O251" t="s">
        <v>74</v>
      </c>
      <c r="P251" t="s">
        <v>74</v>
      </c>
      <c r="Q251" t="s">
        <v>74</v>
      </c>
      <c r="R251" t="s">
        <v>74</v>
      </c>
      <c r="S251" t="s">
        <v>74</v>
      </c>
      <c r="T251" t="s">
        <v>5268</v>
      </c>
      <c r="U251" t="s">
        <v>5269</v>
      </c>
      <c r="V251" t="s">
        <v>5270</v>
      </c>
      <c r="W251" t="s">
        <v>5271</v>
      </c>
      <c r="X251" t="s">
        <v>5272</v>
      </c>
      <c r="Y251" t="s">
        <v>5273</v>
      </c>
      <c r="Z251" t="s">
        <v>5274</v>
      </c>
      <c r="AA251" t="s">
        <v>5275</v>
      </c>
      <c r="AB251" t="s">
        <v>5276</v>
      </c>
      <c r="AC251" t="s">
        <v>5277</v>
      </c>
      <c r="AD251" t="s">
        <v>5278</v>
      </c>
      <c r="AE251" t="s">
        <v>5279</v>
      </c>
      <c r="AF251" t="s">
        <v>74</v>
      </c>
      <c r="AG251">
        <v>82</v>
      </c>
      <c r="AH251">
        <v>42</v>
      </c>
      <c r="AI251">
        <v>42</v>
      </c>
      <c r="AJ251">
        <v>2</v>
      </c>
      <c r="AK251">
        <v>34</v>
      </c>
      <c r="AL251" t="s">
        <v>3413</v>
      </c>
      <c r="AM251" t="s">
        <v>278</v>
      </c>
      <c r="AN251" t="s">
        <v>3414</v>
      </c>
      <c r="AO251" t="s">
        <v>5280</v>
      </c>
      <c r="AP251" t="s">
        <v>5281</v>
      </c>
      <c r="AQ251" t="s">
        <v>74</v>
      </c>
      <c r="AR251" t="s">
        <v>5282</v>
      </c>
      <c r="AS251" t="s">
        <v>5283</v>
      </c>
      <c r="AT251" t="s">
        <v>3964</v>
      </c>
      <c r="AU251">
        <v>2018</v>
      </c>
      <c r="AV251">
        <v>75</v>
      </c>
      <c r="AW251">
        <v>3</v>
      </c>
      <c r="AX251" t="s">
        <v>74</v>
      </c>
      <c r="AY251" t="s">
        <v>74</v>
      </c>
      <c r="AZ251" t="s">
        <v>74</v>
      </c>
      <c r="BA251" t="s">
        <v>74</v>
      </c>
      <c r="BB251">
        <v>941</v>
      </c>
      <c r="BC251">
        <v>952</v>
      </c>
      <c r="BD251" t="s">
        <v>74</v>
      </c>
      <c r="BE251" t="s">
        <v>5284</v>
      </c>
      <c r="BF251" t="str">
        <f>HYPERLINK("http://dx.doi.org/10.1093/icesjms/fsx216","http://dx.doi.org/10.1093/icesjms/fsx216")</f>
        <v>http://dx.doi.org/10.1093/icesjms/fsx216</v>
      </c>
      <c r="BG251" t="s">
        <v>74</v>
      </c>
      <c r="BH251" t="s">
        <v>74</v>
      </c>
      <c r="BI251">
        <v>12</v>
      </c>
      <c r="BJ251" t="s">
        <v>5285</v>
      </c>
      <c r="BK251" t="s">
        <v>484</v>
      </c>
      <c r="BL251" t="s">
        <v>5285</v>
      </c>
      <c r="BM251" t="s">
        <v>5286</v>
      </c>
      <c r="BN251" t="s">
        <v>74</v>
      </c>
      <c r="BO251" t="s">
        <v>5287</v>
      </c>
      <c r="BP251" t="s">
        <v>74</v>
      </c>
      <c r="BQ251" t="s">
        <v>74</v>
      </c>
      <c r="BR251" t="s">
        <v>105</v>
      </c>
      <c r="BS251" t="s">
        <v>5288</v>
      </c>
      <c r="BT251" t="str">
        <f>HYPERLINK("https%3A%2F%2Fwww.webofscience.com%2Fwos%2Fwoscc%2Ffull-record%2FWOS:000434070900005","View Full Record in Web of Science")</f>
        <v>View Full Record in Web of Science</v>
      </c>
    </row>
    <row r="252" spans="1:72" x14ac:dyDescent="0.15">
      <c r="A252" t="s">
        <v>72</v>
      </c>
      <c r="B252" t="s">
        <v>5289</v>
      </c>
      <c r="C252" t="s">
        <v>74</v>
      </c>
      <c r="D252" t="s">
        <v>74</v>
      </c>
      <c r="E252" t="s">
        <v>74</v>
      </c>
      <c r="F252" t="s">
        <v>5290</v>
      </c>
      <c r="G252" t="s">
        <v>74</v>
      </c>
      <c r="H252" t="s">
        <v>74</v>
      </c>
      <c r="I252" t="s">
        <v>5291</v>
      </c>
      <c r="J252" t="s">
        <v>5292</v>
      </c>
      <c r="K252" t="s">
        <v>74</v>
      </c>
      <c r="L252" t="s">
        <v>74</v>
      </c>
      <c r="M252" t="s">
        <v>78</v>
      </c>
      <c r="N252" t="s">
        <v>79</v>
      </c>
      <c r="O252" t="s">
        <v>74</v>
      </c>
      <c r="P252" t="s">
        <v>74</v>
      </c>
      <c r="Q252" t="s">
        <v>74</v>
      </c>
      <c r="R252" t="s">
        <v>74</v>
      </c>
      <c r="S252" t="s">
        <v>74</v>
      </c>
      <c r="T252" t="s">
        <v>5293</v>
      </c>
      <c r="U252" t="s">
        <v>5294</v>
      </c>
      <c r="V252" t="s">
        <v>5295</v>
      </c>
      <c r="W252" t="s">
        <v>5296</v>
      </c>
      <c r="X252" t="s">
        <v>5297</v>
      </c>
      <c r="Y252" t="s">
        <v>5298</v>
      </c>
      <c r="Z252" t="s">
        <v>5299</v>
      </c>
      <c r="AA252" t="s">
        <v>5300</v>
      </c>
      <c r="AB252" t="s">
        <v>5301</v>
      </c>
      <c r="AC252" t="s">
        <v>5302</v>
      </c>
      <c r="AD252" t="s">
        <v>5302</v>
      </c>
      <c r="AE252" t="s">
        <v>5302</v>
      </c>
      <c r="AF252" t="s">
        <v>74</v>
      </c>
      <c r="AG252">
        <v>48</v>
      </c>
      <c r="AH252">
        <v>83</v>
      </c>
      <c r="AI252">
        <v>96</v>
      </c>
      <c r="AJ252">
        <v>6</v>
      </c>
      <c r="AK252">
        <v>103</v>
      </c>
      <c r="AL252" t="s">
        <v>179</v>
      </c>
      <c r="AM252" t="s">
        <v>180</v>
      </c>
      <c r="AN252" t="s">
        <v>181</v>
      </c>
      <c r="AO252" t="s">
        <v>5303</v>
      </c>
      <c r="AP252" t="s">
        <v>5304</v>
      </c>
      <c r="AQ252" t="s">
        <v>74</v>
      </c>
      <c r="AR252" t="s">
        <v>5305</v>
      </c>
      <c r="AS252" t="s">
        <v>5306</v>
      </c>
      <c r="AT252" t="s">
        <v>3298</v>
      </c>
      <c r="AU252">
        <v>2018</v>
      </c>
      <c r="AV252">
        <v>55</v>
      </c>
      <c r="AW252">
        <v>3</v>
      </c>
      <c r="AX252" t="s">
        <v>74</v>
      </c>
      <c r="AY252" t="s">
        <v>74</v>
      </c>
      <c r="AZ252" t="s">
        <v>74</v>
      </c>
      <c r="BA252" t="s">
        <v>74</v>
      </c>
      <c r="BB252">
        <v>1041</v>
      </c>
      <c r="BC252">
        <v>1049</v>
      </c>
      <c r="BD252" t="s">
        <v>74</v>
      </c>
      <c r="BE252" t="s">
        <v>5307</v>
      </c>
      <c r="BF252" t="str">
        <f>HYPERLINK("http://dx.doi.org/10.1111/1365-2664.13051","http://dx.doi.org/10.1111/1365-2664.13051")</f>
        <v>http://dx.doi.org/10.1111/1365-2664.13051</v>
      </c>
      <c r="BG252" t="s">
        <v>74</v>
      </c>
      <c r="BH252" t="s">
        <v>74</v>
      </c>
      <c r="BI252">
        <v>9</v>
      </c>
      <c r="BJ252" t="s">
        <v>100</v>
      </c>
      <c r="BK252" t="s">
        <v>101</v>
      </c>
      <c r="BL252" t="s">
        <v>102</v>
      </c>
      <c r="BM252" t="s">
        <v>5308</v>
      </c>
      <c r="BN252" t="s">
        <v>74</v>
      </c>
      <c r="BO252" t="s">
        <v>162</v>
      </c>
      <c r="BP252" t="s">
        <v>74</v>
      </c>
      <c r="BQ252" t="s">
        <v>74</v>
      </c>
      <c r="BR252" t="s">
        <v>105</v>
      </c>
      <c r="BS252" t="s">
        <v>5309</v>
      </c>
      <c r="BT252" t="str">
        <f>HYPERLINK("https%3A%2F%2Fwww.webofscience.com%2Fwos%2Fwoscc%2Ffull-record%2FWOS:000430059500001","View Full Record in Web of Science")</f>
        <v>View Full Record in Web of Science</v>
      </c>
    </row>
    <row r="253" spans="1:72" x14ac:dyDescent="0.15">
      <c r="A253" t="s">
        <v>72</v>
      </c>
      <c r="B253" t="s">
        <v>5310</v>
      </c>
      <c r="C253" t="s">
        <v>74</v>
      </c>
      <c r="D253" t="s">
        <v>74</v>
      </c>
      <c r="E253" t="s">
        <v>74</v>
      </c>
      <c r="F253" t="s">
        <v>5311</v>
      </c>
      <c r="G253" t="s">
        <v>74</v>
      </c>
      <c r="H253" t="s">
        <v>74</v>
      </c>
      <c r="I253" t="s">
        <v>5312</v>
      </c>
      <c r="J253" t="s">
        <v>5313</v>
      </c>
      <c r="K253" t="s">
        <v>74</v>
      </c>
      <c r="L253" t="s">
        <v>74</v>
      </c>
      <c r="M253" t="s">
        <v>78</v>
      </c>
      <c r="N253" t="s">
        <v>79</v>
      </c>
      <c r="O253" t="s">
        <v>74</v>
      </c>
      <c r="P253" t="s">
        <v>74</v>
      </c>
      <c r="Q253" t="s">
        <v>74</v>
      </c>
      <c r="R253" t="s">
        <v>74</v>
      </c>
      <c r="S253" t="s">
        <v>74</v>
      </c>
      <c r="T253" t="s">
        <v>5314</v>
      </c>
      <c r="U253" t="s">
        <v>5315</v>
      </c>
      <c r="V253" t="s">
        <v>5316</v>
      </c>
      <c r="W253" t="s">
        <v>5317</v>
      </c>
      <c r="X253" t="s">
        <v>4948</v>
      </c>
      <c r="Y253" t="s">
        <v>5318</v>
      </c>
      <c r="Z253" t="s">
        <v>5040</v>
      </c>
      <c r="AA253" t="s">
        <v>74</v>
      </c>
      <c r="AB253" t="s">
        <v>74</v>
      </c>
      <c r="AC253" t="s">
        <v>5319</v>
      </c>
      <c r="AD253" t="s">
        <v>5042</v>
      </c>
      <c r="AE253" t="s">
        <v>5320</v>
      </c>
      <c r="AF253" t="s">
        <v>74</v>
      </c>
      <c r="AG253">
        <v>87</v>
      </c>
      <c r="AH253">
        <v>37</v>
      </c>
      <c r="AI253">
        <v>38</v>
      </c>
      <c r="AJ253">
        <v>1</v>
      </c>
      <c r="AK253">
        <v>28</v>
      </c>
      <c r="AL253" t="s">
        <v>179</v>
      </c>
      <c r="AM253" t="s">
        <v>180</v>
      </c>
      <c r="AN253" t="s">
        <v>181</v>
      </c>
      <c r="AO253" t="s">
        <v>5321</v>
      </c>
      <c r="AP253" t="s">
        <v>5322</v>
      </c>
      <c r="AQ253" t="s">
        <v>74</v>
      </c>
      <c r="AR253" t="s">
        <v>5323</v>
      </c>
      <c r="AS253" t="s">
        <v>5324</v>
      </c>
      <c r="AT253" t="s">
        <v>3298</v>
      </c>
      <c r="AU253">
        <v>2018</v>
      </c>
      <c r="AV253">
        <v>45</v>
      </c>
      <c r="AW253">
        <v>5</v>
      </c>
      <c r="AX253" t="s">
        <v>74</v>
      </c>
      <c r="AY253" t="s">
        <v>74</v>
      </c>
      <c r="AZ253" t="s">
        <v>74</v>
      </c>
      <c r="BA253" t="s">
        <v>74</v>
      </c>
      <c r="BB253">
        <v>986</v>
      </c>
      <c r="BC253">
        <v>994</v>
      </c>
      <c r="BD253" t="s">
        <v>74</v>
      </c>
      <c r="BE253" t="s">
        <v>5325</v>
      </c>
      <c r="BF253" t="str">
        <f>HYPERLINK("http://dx.doi.org/10.1111/jbi.13208","http://dx.doi.org/10.1111/jbi.13208")</f>
        <v>http://dx.doi.org/10.1111/jbi.13208</v>
      </c>
      <c r="BG253" t="s">
        <v>74</v>
      </c>
      <c r="BH253" t="s">
        <v>74</v>
      </c>
      <c r="BI253">
        <v>9</v>
      </c>
      <c r="BJ253" t="s">
        <v>5049</v>
      </c>
      <c r="BK253" t="s">
        <v>101</v>
      </c>
      <c r="BL253" t="s">
        <v>1617</v>
      </c>
      <c r="BM253" t="s">
        <v>5326</v>
      </c>
      <c r="BN253" t="s">
        <v>74</v>
      </c>
      <c r="BO253" t="s">
        <v>1085</v>
      </c>
      <c r="BP253" t="s">
        <v>74</v>
      </c>
      <c r="BQ253" t="s">
        <v>74</v>
      </c>
      <c r="BR253" t="s">
        <v>105</v>
      </c>
      <c r="BS253" t="s">
        <v>5327</v>
      </c>
      <c r="BT253" t="str">
        <f>HYPERLINK("https%3A%2F%2Fwww.webofscience.com%2Fwos%2Fwoscc%2Ffull-record%2FWOS:000431734300003","View Full Record in Web of Science")</f>
        <v>View Full Record in Web of Science</v>
      </c>
    </row>
    <row r="254" spans="1:72" x14ac:dyDescent="0.15">
      <c r="A254" t="s">
        <v>72</v>
      </c>
      <c r="B254" t="s">
        <v>5328</v>
      </c>
      <c r="C254" t="s">
        <v>74</v>
      </c>
      <c r="D254" t="s">
        <v>74</v>
      </c>
      <c r="E254" t="s">
        <v>74</v>
      </c>
      <c r="F254" t="s">
        <v>5329</v>
      </c>
      <c r="G254" t="s">
        <v>74</v>
      </c>
      <c r="H254" t="s">
        <v>74</v>
      </c>
      <c r="I254" t="s">
        <v>5330</v>
      </c>
      <c r="J254" t="s">
        <v>5331</v>
      </c>
      <c r="K254" t="s">
        <v>74</v>
      </c>
      <c r="L254" t="s">
        <v>74</v>
      </c>
      <c r="M254" t="s">
        <v>78</v>
      </c>
      <c r="N254" t="s">
        <v>79</v>
      </c>
      <c r="O254" t="s">
        <v>74</v>
      </c>
      <c r="P254" t="s">
        <v>74</v>
      </c>
      <c r="Q254" t="s">
        <v>74</v>
      </c>
      <c r="R254" t="s">
        <v>74</v>
      </c>
      <c r="S254" t="s">
        <v>74</v>
      </c>
      <c r="T254" t="s">
        <v>74</v>
      </c>
      <c r="U254" t="s">
        <v>5332</v>
      </c>
      <c r="V254" t="s">
        <v>5333</v>
      </c>
      <c r="W254" t="s">
        <v>5334</v>
      </c>
      <c r="X254" t="s">
        <v>5335</v>
      </c>
      <c r="Y254" t="s">
        <v>5336</v>
      </c>
      <c r="Z254" t="s">
        <v>5337</v>
      </c>
      <c r="AA254" t="s">
        <v>74</v>
      </c>
      <c r="AB254" t="s">
        <v>74</v>
      </c>
      <c r="AC254" t="s">
        <v>5338</v>
      </c>
      <c r="AD254" t="s">
        <v>5339</v>
      </c>
      <c r="AE254" t="s">
        <v>5340</v>
      </c>
      <c r="AF254" t="s">
        <v>74</v>
      </c>
      <c r="AG254">
        <v>84</v>
      </c>
      <c r="AH254">
        <v>10</v>
      </c>
      <c r="AI254">
        <v>10</v>
      </c>
      <c r="AJ254">
        <v>1</v>
      </c>
      <c r="AK254">
        <v>13</v>
      </c>
      <c r="AL254" t="s">
        <v>5341</v>
      </c>
      <c r="AM254" t="s">
        <v>5342</v>
      </c>
      <c r="AN254" t="s">
        <v>5343</v>
      </c>
      <c r="AO254" t="s">
        <v>5344</v>
      </c>
      <c r="AP254" t="s">
        <v>5345</v>
      </c>
      <c r="AQ254" t="s">
        <v>74</v>
      </c>
      <c r="AR254" t="s">
        <v>5346</v>
      </c>
      <c r="AS254" t="s">
        <v>5347</v>
      </c>
      <c r="AT254" t="s">
        <v>3298</v>
      </c>
      <c r="AU254">
        <v>2018</v>
      </c>
      <c r="AV254">
        <v>126</v>
      </c>
      <c r="AW254">
        <v>3</v>
      </c>
      <c r="AX254" t="s">
        <v>74</v>
      </c>
      <c r="AY254" t="s">
        <v>74</v>
      </c>
      <c r="AZ254" t="s">
        <v>74</v>
      </c>
      <c r="BA254" t="s">
        <v>74</v>
      </c>
      <c r="BB254">
        <v>285</v>
      </c>
      <c r="BC254">
        <v>305</v>
      </c>
      <c r="BD254" t="s">
        <v>74</v>
      </c>
      <c r="BE254" t="s">
        <v>5348</v>
      </c>
      <c r="BF254" t="str">
        <f>HYPERLINK("http://dx.doi.org/10.1086/697248","http://dx.doi.org/10.1086/697248")</f>
        <v>http://dx.doi.org/10.1086/697248</v>
      </c>
      <c r="BG254" t="s">
        <v>74</v>
      </c>
      <c r="BH254" t="s">
        <v>74</v>
      </c>
      <c r="BI254">
        <v>21</v>
      </c>
      <c r="BJ254" t="s">
        <v>1181</v>
      </c>
      <c r="BK254" t="s">
        <v>101</v>
      </c>
      <c r="BL254" t="s">
        <v>1181</v>
      </c>
      <c r="BM254" t="s">
        <v>5349</v>
      </c>
      <c r="BN254" t="s">
        <v>74</v>
      </c>
      <c r="BO254" t="s">
        <v>74</v>
      </c>
      <c r="BP254" t="s">
        <v>74</v>
      </c>
      <c r="BQ254" t="s">
        <v>74</v>
      </c>
      <c r="BR254" t="s">
        <v>105</v>
      </c>
      <c r="BS254" t="s">
        <v>5350</v>
      </c>
      <c r="BT254" t="str">
        <f>HYPERLINK("https%3A%2F%2Fwww.webofscience.com%2Fwos%2Fwoscc%2Ffull-record%2FWOS:000430558700002","View Full Record in Web of Science")</f>
        <v>View Full Record in Web of Science</v>
      </c>
    </row>
    <row r="255" spans="1:72" x14ac:dyDescent="0.15">
      <c r="A255" t="s">
        <v>72</v>
      </c>
      <c r="B255" t="s">
        <v>5351</v>
      </c>
      <c r="C255" t="s">
        <v>74</v>
      </c>
      <c r="D255" t="s">
        <v>74</v>
      </c>
      <c r="E255" t="s">
        <v>74</v>
      </c>
      <c r="F255" t="s">
        <v>5352</v>
      </c>
      <c r="G255" t="s">
        <v>74</v>
      </c>
      <c r="H255" t="s">
        <v>74</v>
      </c>
      <c r="I255" t="s">
        <v>5353</v>
      </c>
      <c r="J255" t="s">
        <v>5354</v>
      </c>
      <c r="K255" t="s">
        <v>74</v>
      </c>
      <c r="L255" t="s">
        <v>74</v>
      </c>
      <c r="M255" t="s">
        <v>78</v>
      </c>
      <c r="N255" t="s">
        <v>79</v>
      </c>
      <c r="O255" t="s">
        <v>74</v>
      </c>
      <c r="P255" t="s">
        <v>74</v>
      </c>
      <c r="Q255" t="s">
        <v>74</v>
      </c>
      <c r="R255" t="s">
        <v>74</v>
      </c>
      <c r="S255" t="s">
        <v>74</v>
      </c>
      <c r="T255" t="s">
        <v>5355</v>
      </c>
      <c r="U255" t="s">
        <v>5356</v>
      </c>
      <c r="V255" t="s">
        <v>5357</v>
      </c>
      <c r="W255" t="s">
        <v>5358</v>
      </c>
      <c r="X255" t="s">
        <v>5359</v>
      </c>
      <c r="Y255" t="s">
        <v>5360</v>
      </c>
      <c r="Z255" t="s">
        <v>5361</v>
      </c>
      <c r="AA255" t="s">
        <v>5362</v>
      </c>
      <c r="AB255" t="s">
        <v>74</v>
      </c>
      <c r="AC255" t="s">
        <v>5363</v>
      </c>
      <c r="AD255" t="s">
        <v>5364</v>
      </c>
      <c r="AE255" t="s">
        <v>5365</v>
      </c>
      <c r="AF255" t="s">
        <v>74</v>
      </c>
      <c r="AG255">
        <v>39</v>
      </c>
      <c r="AH255">
        <v>0</v>
      </c>
      <c r="AI255">
        <v>0</v>
      </c>
      <c r="AJ255">
        <v>1</v>
      </c>
      <c r="AK255">
        <v>5</v>
      </c>
      <c r="AL255" t="s">
        <v>5366</v>
      </c>
      <c r="AM255" t="s">
        <v>5367</v>
      </c>
      <c r="AN255" t="s">
        <v>5368</v>
      </c>
      <c r="AO255" t="s">
        <v>5369</v>
      </c>
      <c r="AP255" t="s">
        <v>5370</v>
      </c>
      <c r="AQ255" t="s">
        <v>74</v>
      </c>
      <c r="AR255" t="s">
        <v>5371</v>
      </c>
      <c r="AS255" t="s">
        <v>5372</v>
      </c>
      <c r="AT255" t="s">
        <v>3298</v>
      </c>
      <c r="AU255">
        <v>2018</v>
      </c>
      <c r="AV255">
        <v>76</v>
      </c>
      <c r="AW255" t="s">
        <v>5373</v>
      </c>
      <c r="AX255" t="s">
        <v>74</v>
      </c>
      <c r="AY255" t="s">
        <v>74</v>
      </c>
      <c r="AZ255" t="s">
        <v>74</v>
      </c>
      <c r="BA255" t="s">
        <v>74</v>
      </c>
      <c r="BB255">
        <v>119</v>
      </c>
      <c r="BC255">
        <v>137</v>
      </c>
      <c r="BD255" t="s">
        <v>74</v>
      </c>
      <c r="BE255" t="s">
        <v>74</v>
      </c>
      <c r="BF255" t="s">
        <v>74</v>
      </c>
      <c r="BG255" t="s">
        <v>74</v>
      </c>
      <c r="BH255" t="s">
        <v>74</v>
      </c>
      <c r="BI255">
        <v>19</v>
      </c>
      <c r="BJ255" t="s">
        <v>364</v>
      </c>
      <c r="BK255" t="s">
        <v>101</v>
      </c>
      <c r="BL255" t="s">
        <v>364</v>
      </c>
      <c r="BM255" t="s">
        <v>5374</v>
      </c>
      <c r="BN255" t="s">
        <v>74</v>
      </c>
      <c r="BO255" t="s">
        <v>74</v>
      </c>
      <c r="BP255" t="s">
        <v>74</v>
      </c>
      <c r="BQ255" t="s">
        <v>74</v>
      </c>
      <c r="BR255" t="s">
        <v>105</v>
      </c>
      <c r="BS255" t="s">
        <v>5375</v>
      </c>
      <c r="BT255" t="str">
        <f>HYPERLINK("https%3A%2F%2Fwww.webofscience.com%2Fwos%2Fwoscc%2Ffull-record%2FWOS:000475296200002","View Full Record in Web of Science")</f>
        <v>View Full Record in Web of Science</v>
      </c>
    </row>
    <row r="256" spans="1:72" x14ac:dyDescent="0.15">
      <c r="A256" t="s">
        <v>72</v>
      </c>
      <c r="B256" t="s">
        <v>5376</v>
      </c>
      <c r="C256" t="s">
        <v>74</v>
      </c>
      <c r="D256" t="s">
        <v>74</v>
      </c>
      <c r="E256" t="s">
        <v>74</v>
      </c>
      <c r="F256" t="s">
        <v>5377</v>
      </c>
      <c r="G256" t="s">
        <v>74</v>
      </c>
      <c r="H256" t="s">
        <v>74</v>
      </c>
      <c r="I256" t="s">
        <v>5378</v>
      </c>
      <c r="J256" t="s">
        <v>3783</v>
      </c>
      <c r="K256" t="s">
        <v>74</v>
      </c>
      <c r="L256" t="s">
        <v>74</v>
      </c>
      <c r="M256" t="s">
        <v>78</v>
      </c>
      <c r="N256" t="s">
        <v>79</v>
      </c>
      <c r="O256" t="s">
        <v>74</v>
      </c>
      <c r="P256" t="s">
        <v>74</v>
      </c>
      <c r="Q256" t="s">
        <v>74</v>
      </c>
      <c r="R256" t="s">
        <v>74</v>
      </c>
      <c r="S256" t="s">
        <v>74</v>
      </c>
      <c r="T256" t="s">
        <v>5379</v>
      </c>
      <c r="U256" t="s">
        <v>5380</v>
      </c>
      <c r="V256" t="s">
        <v>5381</v>
      </c>
      <c r="W256" t="s">
        <v>5382</v>
      </c>
      <c r="X256" t="s">
        <v>5383</v>
      </c>
      <c r="Y256" t="s">
        <v>5384</v>
      </c>
      <c r="Z256" t="s">
        <v>5385</v>
      </c>
      <c r="AA256" t="s">
        <v>5386</v>
      </c>
      <c r="AB256" t="s">
        <v>5387</v>
      </c>
      <c r="AC256" t="s">
        <v>5388</v>
      </c>
      <c r="AD256" t="s">
        <v>5389</v>
      </c>
      <c r="AE256" t="s">
        <v>5390</v>
      </c>
      <c r="AF256" t="s">
        <v>74</v>
      </c>
      <c r="AG256">
        <v>45</v>
      </c>
      <c r="AH256">
        <v>258</v>
      </c>
      <c r="AI256">
        <v>270</v>
      </c>
      <c r="AJ256">
        <v>15</v>
      </c>
      <c r="AK256">
        <v>130</v>
      </c>
      <c r="AL256" t="s">
        <v>179</v>
      </c>
      <c r="AM256" t="s">
        <v>180</v>
      </c>
      <c r="AN256" t="s">
        <v>181</v>
      </c>
      <c r="AO256" t="s">
        <v>3793</v>
      </c>
      <c r="AP256" t="s">
        <v>3794</v>
      </c>
      <c r="AQ256" t="s">
        <v>74</v>
      </c>
      <c r="AR256" t="s">
        <v>3795</v>
      </c>
      <c r="AS256" t="s">
        <v>3796</v>
      </c>
      <c r="AT256" t="s">
        <v>3298</v>
      </c>
      <c r="AU256">
        <v>2018</v>
      </c>
      <c r="AV256">
        <v>9</v>
      </c>
      <c r="AW256">
        <v>5</v>
      </c>
      <c r="AX256" t="s">
        <v>74</v>
      </c>
      <c r="AY256" t="s">
        <v>74</v>
      </c>
      <c r="AZ256" t="s">
        <v>74</v>
      </c>
      <c r="BA256" t="s">
        <v>74</v>
      </c>
      <c r="BB256">
        <v>1160</v>
      </c>
      <c r="BC256">
        <v>1167</v>
      </c>
      <c r="BD256" t="s">
        <v>74</v>
      </c>
      <c r="BE256" t="s">
        <v>5391</v>
      </c>
      <c r="BF256" t="str">
        <f>HYPERLINK("http://dx.doi.org/10.1111/2041-210X.12974","http://dx.doi.org/10.1111/2041-210X.12974")</f>
        <v>http://dx.doi.org/10.1111/2041-210X.12974</v>
      </c>
      <c r="BG256" t="s">
        <v>74</v>
      </c>
      <c r="BH256" t="s">
        <v>74</v>
      </c>
      <c r="BI256">
        <v>8</v>
      </c>
      <c r="BJ256" t="s">
        <v>314</v>
      </c>
      <c r="BK256" t="s">
        <v>101</v>
      </c>
      <c r="BL256" t="s">
        <v>315</v>
      </c>
      <c r="BM256" t="s">
        <v>3798</v>
      </c>
      <c r="BN256" t="s">
        <v>74</v>
      </c>
      <c r="BO256" t="s">
        <v>5392</v>
      </c>
      <c r="BP256" t="s">
        <v>555</v>
      </c>
      <c r="BQ256" t="s">
        <v>556</v>
      </c>
      <c r="BR256" t="s">
        <v>105</v>
      </c>
      <c r="BS256" t="s">
        <v>5393</v>
      </c>
      <c r="BT256" t="str">
        <f>HYPERLINK("https%3A%2F%2Fwww.webofscience.com%2Fwos%2Fwoscc%2Ffull-record%2FWOS:000431666300001","View Full Record in Web of Science")</f>
        <v>View Full Record in Web of Science</v>
      </c>
    </row>
    <row r="257" spans="1:72" x14ac:dyDescent="0.15">
      <c r="A257" t="s">
        <v>72</v>
      </c>
      <c r="B257" t="s">
        <v>5394</v>
      </c>
      <c r="C257" t="s">
        <v>74</v>
      </c>
      <c r="D257" t="s">
        <v>74</v>
      </c>
      <c r="E257" t="s">
        <v>74</v>
      </c>
      <c r="F257" t="s">
        <v>5395</v>
      </c>
      <c r="G257" t="s">
        <v>74</v>
      </c>
      <c r="H257" t="s">
        <v>74</v>
      </c>
      <c r="I257" t="s">
        <v>5396</v>
      </c>
      <c r="J257" t="s">
        <v>5397</v>
      </c>
      <c r="K257" t="s">
        <v>74</v>
      </c>
      <c r="L257" t="s">
        <v>74</v>
      </c>
      <c r="M257" t="s">
        <v>78</v>
      </c>
      <c r="N257" t="s">
        <v>79</v>
      </c>
      <c r="O257" t="s">
        <v>74</v>
      </c>
      <c r="P257" t="s">
        <v>74</v>
      </c>
      <c r="Q257" t="s">
        <v>74</v>
      </c>
      <c r="R257" t="s">
        <v>74</v>
      </c>
      <c r="S257" t="s">
        <v>74</v>
      </c>
      <c r="T257" t="s">
        <v>5398</v>
      </c>
      <c r="U257" t="s">
        <v>5399</v>
      </c>
      <c r="V257" t="s">
        <v>5400</v>
      </c>
      <c r="W257" t="s">
        <v>5401</v>
      </c>
      <c r="X257" t="s">
        <v>5402</v>
      </c>
      <c r="Y257" t="s">
        <v>5403</v>
      </c>
      <c r="Z257" t="s">
        <v>5404</v>
      </c>
      <c r="AA257" t="s">
        <v>5405</v>
      </c>
      <c r="AB257" t="s">
        <v>5406</v>
      </c>
      <c r="AC257" t="s">
        <v>5407</v>
      </c>
      <c r="AD257" t="s">
        <v>5408</v>
      </c>
      <c r="AE257" t="s">
        <v>5409</v>
      </c>
      <c r="AF257" t="s">
        <v>74</v>
      </c>
      <c r="AG257">
        <v>56</v>
      </c>
      <c r="AH257">
        <v>48</v>
      </c>
      <c r="AI257">
        <v>54</v>
      </c>
      <c r="AJ257">
        <v>5</v>
      </c>
      <c r="AK257">
        <v>19</v>
      </c>
      <c r="AL257" t="s">
        <v>179</v>
      </c>
      <c r="AM257" t="s">
        <v>180</v>
      </c>
      <c r="AN257" t="s">
        <v>181</v>
      </c>
      <c r="AO257" t="s">
        <v>5410</v>
      </c>
      <c r="AP257" t="s">
        <v>5411</v>
      </c>
      <c r="AQ257" t="s">
        <v>74</v>
      </c>
      <c r="AR257" t="s">
        <v>5412</v>
      </c>
      <c r="AS257" t="s">
        <v>5413</v>
      </c>
      <c r="AT257" t="s">
        <v>3298</v>
      </c>
      <c r="AU257">
        <v>2018</v>
      </c>
      <c r="AV257">
        <v>18</v>
      </c>
      <c r="AW257">
        <v>3</v>
      </c>
      <c r="AX257" t="s">
        <v>74</v>
      </c>
      <c r="AY257" t="s">
        <v>74</v>
      </c>
      <c r="AZ257" t="s">
        <v>74</v>
      </c>
      <c r="BA257" t="s">
        <v>74</v>
      </c>
      <c r="BB257">
        <v>391</v>
      </c>
      <c r="BC257">
        <v>406</v>
      </c>
      <c r="BD257" t="s">
        <v>74</v>
      </c>
      <c r="BE257" t="s">
        <v>5414</v>
      </c>
      <c r="BF257" t="str">
        <f>HYPERLINK("http://dx.doi.org/10.1111/1755-0998.12740","http://dx.doi.org/10.1111/1755-0998.12740")</f>
        <v>http://dx.doi.org/10.1111/1755-0998.12740</v>
      </c>
      <c r="BG257" t="s">
        <v>74</v>
      </c>
      <c r="BH257" t="s">
        <v>74</v>
      </c>
      <c r="BI257">
        <v>16</v>
      </c>
      <c r="BJ257" t="s">
        <v>5415</v>
      </c>
      <c r="BK257" t="s">
        <v>101</v>
      </c>
      <c r="BL257" t="s">
        <v>5416</v>
      </c>
      <c r="BM257" t="s">
        <v>5417</v>
      </c>
      <c r="BN257">
        <v>29171158</v>
      </c>
      <c r="BO257" t="s">
        <v>74</v>
      </c>
      <c r="BP257" t="s">
        <v>74</v>
      </c>
      <c r="BQ257" t="s">
        <v>74</v>
      </c>
      <c r="BR257" t="s">
        <v>105</v>
      </c>
      <c r="BS257" t="s">
        <v>5418</v>
      </c>
      <c r="BT257" t="str">
        <f>HYPERLINK("https%3A%2F%2Fwww.webofscience.com%2Fwos%2Fwoscc%2Ffull-record%2FWOS:000432662400002","View Full Record in Web of Science")</f>
        <v>View Full Record in Web of Science</v>
      </c>
    </row>
    <row r="258" spans="1:72" x14ac:dyDescent="0.15">
      <c r="A258" t="s">
        <v>72</v>
      </c>
      <c r="B258" t="s">
        <v>5419</v>
      </c>
      <c r="C258" t="s">
        <v>74</v>
      </c>
      <c r="D258" t="s">
        <v>74</v>
      </c>
      <c r="E258" t="s">
        <v>74</v>
      </c>
      <c r="F258" t="s">
        <v>5420</v>
      </c>
      <c r="G258" t="s">
        <v>74</v>
      </c>
      <c r="H258" t="s">
        <v>74</v>
      </c>
      <c r="I258" t="s">
        <v>5421</v>
      </c>
      <c r="J258" t="s">
        <v>77</v>
      </c>
      <c r="K258" t="s">
        <v>74</v>
      </c>
      <c r="L258" t="s">
        <v>74</v>
      </c>
      <c r="M258" t="s">
        <v>78</v>
      </c>
      <c r="N258" t="s">
        <v>79</v>
      </c>
      <c r="O258" t="s">
        <v>74</v>
      </c>
      <c r="P258" t="s">
        <v>74</v>
      </c>
      <c r="Q258" t="s">
        <v>74</v>
      </c>
      <c r="R258" t="s">
        <v>74</v>
      </c>
      <c r="S258" t="s">
        <v>74</v>
      </c>
      <c r="T258" t="s">
        <v>5422</v>
      </c>
      <c r="U258" t="s">
        <v>5423</v>
      </c>
      <c r="V258" t="s">
        <v>5424</v>
      </c>
      <c r="W258" t="s">
        <v>5425</v>
      </c>
      <c r="X258" t="s">
        <v>5426</v>
      </c>
      <c r="Y258" t="s">
        <v>5427</v>
      </c>
      <c r="Z258" t="s">
        <v>5428</v>
      </c>
      <c r="AA258" t="s">
        <v>5429</v>
      </c>
      <c r="AB258" t="s">
        <v>5430</v>
      </c>
      <c r="AC258" t="s">
        <v>5431</v>
      </c>
      <c r="AD258" t="s">
        <v>5432</v>
      </c>
      <c r="AE258" t="s">
        <v>5433</v>
      </c>
      <c r="AF258" t="s">
        <v>74</v>
      </c>
      <c r="AG258">
        <v>136</v>
      </c>
      <c r="AH258">
        <v>35</v>
      </c>
      <c r="AI258">
        <v>39</v>
      </c>
      <c r="AJ258">
        <v>1</v>
      </c>
      <c r="AK258">
        <v>53</v>
      </c>
      <c r="AL258" t="s">
        <v>91</v>
      </c>
      <c r="AM258" t="s">
        <v>92</v>
      </c>
      <c r="AN258" t="s">
        <v>205</v>
      </c>
      <c r="AO258" t="s">
        <v>94</v>
      </c>
      <c r="AP258" t="s">
        <v>95</v>
      </c>
      <c r="AQ258" t="s">
        <v>74</v>
      </c>
      <c r="AR258" t="s">
        <v>96</v>
      </c>
      <c r="AS258" t="s">
        <v>97</v>
      </c>
      <c r="AT258" t="s">
        <v>3298</v>
      </c>
      <c r="AU258">
        <v>2018</v>
      </c>
      <c r="AV258">
        <v>41</v>
      </c>
      <c r="AW258">
        <v>5</v>
      </c>
      <c r="AX258" t="s">
        <v>74</v>
      </c>
      <c r="AY258" t="s">
        <v>74</v>
      </c>
      <c r="AZ258" t="s">
        <v>74</v>
      </c>
      <c r="BA258" t="s">
        <v>74</v>
      </c>
      <c r="BB258">
        <v>909</v>
      </c>
      <c r="BC258">
        <v>923</v>
      </c>
      <c r="BD258" t="s">
        <v>74</v>
      </c>
      <c r="BE258" t="s">
        <v>5434</v>
      </c>
      <c r="BF258" t="str">
        <f>HYPERLINK("http://dx.doi.org/10.1007/s00300-018-2252-2","http://dx.doi.org/10.1007/s00300-018-2252-2")</f>
        <v>http://dx.doi.org/10.1007/s00300-018-2252-2</v>
      </c>
      <c r="BG258" t="s">
        <v>74</v>
      </c>
      <c r="BH258" t="s">
        <v>74</v>
      </c>
      <c r="BI258">
        <v>15</v>
      </c>
      <c r="BJ258" t="s">
        <v>100</v>
      </c>
      <c r="BK258" t="s">
        <v>101</v>
      </c>
      <c r="BL258" t="s">
        <v>102</v>
      </c>
      <c r="BM258" t="s">
        <v>4922</v>
      </c>
      <c r="BN258" t="s">
        <v>74</v>
      </c>
      <c r="BO258" t="s">
        <v>74</v>
      </c>
      <c r="BP258" t="s">
        <v>74</v>
      </c>
      <c r="BQ258" t="s">
        <v>74</v>
      </c>
      <c r="BR258" t="s">
        <v>105</v>
      </c>
      <c r="BS258" t="s">
        <v>5435</v>
      </c>
      <c r="BT258" t="str">
        <f>HYPERLINK("https%3A%2F%2Fwww.webofscience.com%2Fwos%2Fwoscc%2Ffull-record%2FWOS:000431786900007","View Full Record in Web of Science")</f>
        <v>View Full Record in Web of Science</v>
      </c>
    </row>
    <row r="259" spans="1:72" x14ac:dyDescent="0.15">
      <c r="A259" t="s">
        <v>72</v>
      </c>
      <c r="B259" t="s">
        <v>5436</v>
      </c>
      <c r="C259" t="s">
        <v>74</v>
      </c>
      <c r="D259" t="s">
        <v>74</v>
      </c>
      <c r="E259" t="s">
        <v>74</v>
      </c>
      <c r="F259" t="s">
        <v>5437</v>
      </c>
      <c r="G259" t="s">
        <v>74</v>
      </c>
      <c r="H259" t="s">
        <v>74</v>
      </c>
      <c r="I259" t="s">
        <v>5438</v>
      </c>
      <c r="J259" t="s">
        <v>77</v>
      </c>
      <c r="K259" t="s">
        <v>74</v>
      </c>
      <c r="L259" t="s">
        <v>74</v>
      </c>
      <c r="M259" t="s">
        <v>78</v>
      </c>
      <c r="N259" t="s">
        <v>79</v>
      </c>
      <c r="O259" t="s">
        <v>74</v>
      </c>
      <c r="P259" t="s">
        <v>74</v>
      </c>
      <c r="Q259" t="s">
        <v>74</v>
      </c>
      <c r="R259" t="s">
        <v>74</v>
      </c>
      <c r="S259" t="s">
        <v>74</v>
      </c>
      <c r="T259" t="s">
        <v>5439</v>
      </c>
      <c r="U259" t="s">
        <v>5440</v>
      </c>
      <c r="V259" t="s">
        <v>5441</v>
      </c>
      <c r="W259" t="s">
        <v>5442</v>
      </c>
      <c r="X259" t="s">
        <v>5443</v>
      </c>
      <c r="Y259" t="s">
        <v>5444</v>
      </c>
      <c r="Z259" t="s">
        <v>5445</v>
      </c>
      <c r="AA259" t="s">
        <v>5446</v>
      </c>
      <c r="AB259" t="s">
        <v>5447</v>
      </c>
      <c r="AC259" t="s">
        <v>5448</v>
      </c>
      <c r="AD259" t="s">
        <v>5449</v>
      </c>
      <c r="AE259" t="s">
        <v>5450</v>
      </c>
      <c r="AF259" t="s">
        <v>74</v>
      </c>
      <c r="AG259">
        <v>51</v>
      </c>
      <c r="AH259">
        <v>7</v>
      </c>
      <c r="AI259">
        <v>7</v>
      </c>
      <c r="AJ259">
        <v>2</v>
      </c>
      <c r="AK259">
        <v>23</v>
      </c>
      <c r="AL259" t="s">
        <v>91</v>
      </c>
      <c r="AM259" t="s">
        <v>92</v>
      </c>
      <c r="AN259" t="s">
        <v>93</v>
      </c>
      <c r="AO259" t="s">
        <v>94</v>
      </c>
      <c r="AP259" t="s">
        <v>95</v>
      </c>
      <c r="AQ259" t="s">
        <v>74</v>
      </c>
      <c r="AR259" t="s">
        <v>96</v>
      </c>
      <c r="AS259" t="s">
        <v>97</v>
      </c>
      <c r="AT259" t="s">
        <v>3298</v>
      </c>
      <c r="AU259">
        <v>2018</v>
      </c>
      <c r="AV259">
        <v>41</v>
      </c>
      <c r="AW259">
        <v>5</v>
      </c>
      <c r="AX259" t="s">
        <v>74</v>
      </c>
      <c r="AY259" t="s">
        <v>74</v>
      </c>
      <c r="AZ259" t="s">
        <v>74</v>
      </c>
      <c r="BA259" t="s">
        <v>74</v>
      </c>
      <c r="BB259">
        <v>925</v>
      </c>
      <c r="BC259">
        <v>934</v>
      </c>
      <c r="BD259" t="s">
        <v>74</v>
      </c>
      <c r="BE259" t="s">
        <v>5451</v>
      </c>
      <c r="BF259" t="str">
        <f>HYPERLINK("http://dx.doi.org/10.1007/s00300-018-2253-1","http://dx.doi.org/10.1007/s00300-018-2253-1")</f>
        <v>http://dx.doi.org/10.1007/s00300-018-2253-1</v>
      </c>
      <c r="BG259" t="s">
        <v>74</v>
      </c>
      <c r="BH259" t="s">
        <v>74</v>
      </c>
      <c r="BI259">
        <v>10</v>
      </c>
      <c r="BJ259" t="s">
        <v>100</v>
      </c>
      <c r="BK259" t="s">
        <v>101</v>
      </c>
      <c r="BL259" t="s">
        <v>102</v>
      </c>
      <c r="BM259" t="s">
        <v>4922</v>
      </c>
      <c r="BN259" t="s">
        <v>74</v>
      </c>
      <c r="BO259" t="s">
        <v>74</v>
      </c>
      <c r="BP259" t="s">
        <v>74</v>
      </c>
      <c r="BQ259" t="s">
        <v>74</v>
      </c>
      <c r="BR259" t="s">
        <v>105</v>
      </c>
      <c r="BS259" t="s">
        <v>5452</v>
      </c>
      <c r="BT259" t="str">
        <f>HYPERLINK("https%3A%2F%2Fwww.webofscience.com%2Fwos%2Fwoscc%2Ffull-record%2FWOS:000431786900008","View Full Record in Web of Science")</f>
        <v>View Full Record in Web of Science</v>
      </c>
    </row>
    <row r="260" spans="1:72" x14ac:dyDescent="0.15">
      <c r="A260" t="s">
        <v>72</v>
      </c>
      <c r="B260" t="s">
        <v>5453</v>
      </c>
      <c r="C260" t="s">
        <v>74</v>
      </c>
      <c r="D260" t="s">
        <v>74</v>
      </c>
      <c r="E260" t="s">
        <v>74</v>
      </c>
      <c r="F260" t="s">
        <v>5454</v>
      </c>
      <c r="G260" t="s">
        <v>74</v>
      </c>
      <c r="H260" t="s">
        <v>74</v>
      </c>
      <c r="I260" t="s">
        <v>5455</v>
      </c>
      <c r="J260" t="s">
        <v>77</v>
      </c>
      <c r="K260" t="s">
        <v>74</v>
      </c>
      <c r="L260" t="s">
        <v>74</v>
      </c>
      <c r="M260" t="s">
        <v>78</v>
      </c>
      <c r="N260" t="s">
        <v>79</v>
      </c>
      <c r="O260" t="s">
        <v>74</v>
      </c>
      <c r="P260" t="s">
        <v>74</v>
      </c>
      <c r="Q260" t="s">
        <v>74</v>
      </c>
      <c r="R260" t="s">
        <v>74</v>
      </c>
      <c r="S260" t="s">
        <v>74</v>
      </c>
      <c r="T260" t="s">
        <v>5456</v>
      </c>
      <c r="U260" t="s">
        <v>5457</v>
      </c>
      <c r="V260" t="s">
        <v>5458</v>
      </c>
      <c r="W260" t="s">
        <v>5459</v>
      </c>
      <c r="X260" t="s">
        <v>5460</v>
      </c>
      <c r="Y260" t="s">
        <v>5461</v>
      </c>
      <c r="Z260" t="s">
        <v>5462</v>
      </c>
      <c r="AA260" t="s">
        <v>74</v>
      </c>
      <c r="AB260" t="s">
        <v>74</v>
      </c>
      <c r="AC260" t="s">
        <v>74</v>
      </c>
      <c r="AD260" t="s">
        <v>74</v>
      </c>
      <c r="AE260" t="s">
        <v>74</v>
      </c>
      <c r="AF260" t="s">
        <v>74</v>
      </c>
      <c r="AG260">
        <v>43</v>
      </c>
      <c r="AH260">
        <v>17</v>
      </c>
      <c r="AI260">
        <v>17</v>
      </c>
      <c r="AJ260">
        <v>0</v>
      </c>
      <c r="AK260">
        <v>7</v>
      </c>
      <c r="AL260" t="s">
        <v>91</v>
      </c>
      <c r="AM260" t="s">
        <v>92</v>
      </c>
      <c r="AN260" t="s">
        <v>93</v>
      </c>
      <c r="AO260" t="s">
        <v>94</v>
      </c>
      <c r="AP260" t="s">
        <v>95</v>
      </c>
      <c r="AQ260" t="s">
        <v>74</v>
      </c>
      <c r="AR260" t="s">
        <v>96</v>
      </c>
      <c r="AS260" t="s">
        <v>97</v>
      </c>
      <c r="AT260" t="s">
        <v>3298</v>
      </c>
      <c r="AU260">
        <v>2018</v>
      </c>
      <c r="AV260">
        <v>41</v>
      </c>
      <c r="AW260">
        <v>5</v>
      </c>
      <c r="AX260" t="s">
        <v>74</v>
      </c>
      <c r="AY260" t="s">
        <v>74</v>
      </c>
      <c r="AZ260" t="s">
        <v>74</v>
      </c>
      <c r="BA260" t="s">
        <v>74</v>
      </c>
      <c r="BB260">
        <v>969</v>
      </c>
      <c r="BC260">
        <v>981</v>
      </c>
      <c r="BD260" t="s">
        <v>74</v>
      </c>
      <c r="BE260" t="s">
        <v>5463</v>
      </c>
      <c r="BF260" t="str">
        <f>HYPERLINK("http://dx.doi.org/10.1007/s00300-018-2261-1","http://dx.doi.org/10.1007/s00300-018-2261-1")</f>
        <v>http://dx.doi.org/10.1007/s00300-018-2261-1</v>
      </c>
      <c r="BG260" t="s">
        <v>74</v>
      </c>
      <c r="BH260" t="s">
        <v>74</v>
      </c>
      <c r="BI260">
        <v>13</v>
      </c>
      <c r="BJ260" t="s">
        <v>100</v>
      </c>
      <c r="BK260" t="s">
        <v>101</v>
      </c>
      <c r="BL260" t="s">
        <v>102</v>
      </c>
      <c r="BM260" t="s">
        <v>4922</v>
      </c>
      <c r="BN260" t="s">
        <v>74</v>
      </c>
      <c r="BO260" t="s">
        <v>74</v>
      </c>
      <c r="BP260" t="s">
        <v>74</v>
      </c>
      <c r="BQ260" t="s">
        <v>74</v>
      </c>
      <c r="BR260" t="s">
        <v>105</v>
      </c>
      <c r="BS260" t="s">
        <v>5464</v>
      </c>
      <c r="BT260" t="str">
        <f>HYPERLINK("https%3A%2F%2Fwww.webofscience.com%2Fwos%2Fwoscc%2Ffull-record%2FWOS:000431786900012","View Full Record in Web of Science")</f>
        <v>View Full Record in Web of Science</v>
      </c>
    </row>
    <row r="261" spans="1:72" x14ac:dyDescent="0.15">
      <c r="A261" t="s">
        <v>72</v>
      </c>
      <c r="B261" t="s">
        <v>5465</v>
      </c>
      <c r="C261" t="s">
        <v>74</v>
      </c>
      <c r="D261" t="s">
        <v>74</v>
      </c>
      <c r="E261" t="s">
        <v>74</v>
      </c>
      <c r="F261" t="s">
        <v>5466</v>
      </c>
      <c r="G261" t="s">
        <v>74</v>
      </c>
      <c r="H261" t="s">
        <v>74</v>
      </c>
      <c r="I261" t="s">
        <v>5467</v>
      </c>
      <c r="J261" t="s">
        <v>5468</v>
      </c>
      <c r="K261" t="s">
        <v>74</v>
      </c>
      <c r="L261" t="s">
        <v>74</v>
      </c>
      <c r="M261" t="s">
        <v>78</v>
      </c>
      <c r="N261" t="s">
        <v>371</v>
      </c>
      <c r="O261" t="s">
        <v>74</v>
      </c>
      <c r="P261" t="s">
        <v>74</v>
      </c>
      <c r="Q261" t="s">
        <v>74</v>
      </c>
      <c r="R261" t="s">
        <v>74</v>
      </c>
      <c r="S261" t="s">
        <v>74</v>
      </c>
      <c r="T261" t="s">
        <v>5469</v>
      </c>
      <c r="U261" t="s">
        <v>74</v>
      </c>
      <c r="V261" t="s">
        <v>5470</v>
      </c>
      <c r="W261" t="s">
        <v>5471</v>
      </c>
      <c r="X261" t="s">
        <v>74</v>
      </c>
      <c r="Y261" t="s">
        <v>5472</v>
      </c>
      <c r="Z261" t="s">
        <v>5473</v>
      </c>
      <c r="AA261" t="s">
        <v>74</v>
      </c>
      <c r="AB261" t="s">
        <v>74</v>
      </c>
      <c r="AC261" t="s">
        <v>74</v>
      </c>
      <c r="AD261" t="s">
        <v>74</v>
      </c>
      <c r="AE261" t="s">
        <v>74</v>
      </c>
      <c r="AF261" t="s">
        <v>74</v>
      </c>
      <c r="AG261">
        <v>1</v>
      </c>
      <c r="AH261">
        <v>0</v>
      </c>
      <c r="AI261">
        <v>0</v>
      </c>
      <c r="AJ261">
        <v>0</v>
      </c>
      <c r="AK261">
        <v>0</v>
      </c>
      <c r="AL261" t="s">
        <v>372</v>
      </c>
      <c r="AM261" t="s">
        <v>92</v>
      </c>
      <c r="AN261" t="s">
        <v>373</v>
      </c>
      <c r="AO261" t="s">
        <v>5474</v>
      </c>
      <c r="AP261" t="s">
        <v>5475</v>
      </c>
      <c r="AQ261" t="s">
        <v>74</v>
      </c>
      <c r="AR261" t="s">
        <v>5476</v>
      </c>
      <c r="AS261" t="s">
        <v>5477</v>
      </c>
      <c r="AT261" t="s">
        <v>3298</v>
      </c>
      <c r="AU261">
        <v>2018</v>
      </c>
      <c r="AV261">
        <v>54</v>
      </c>
      <c r="AW261">
        <v>3</v>
      </c>
      <c r="AX261" t="s">
        <v>74</v>
      </c>
      <c r="AY261" t="s">
        <v>74</v>
      </c>
      <c r="AZ261" t="s">
        <v>74</v>
      </c>
      <c r="BA261" t="s">
        <v>74</v>
      </c>
      <c r="BB261">
        <v>241</v>
      </c>
      <c r="BC261">
        <v>242</v>
      </c>
      <c r="BD261" t="s">
        <v>74</v>
      </c>
      <c r="BE261" t="s">
        <v>5478</v>
      </c>
      <c r="BF261" t="str">
        <f>HYPERLINK("http://dx.doi.org/10.1017/S0032247418000414","http://dx.doi.org/10.1017/S0032247418000414")</f>
        <v>http://dx.doi.org/10.1017/S0032247418000414</v>
      </c>
      <c r="BG261" t="s">
        <v>74</v>
      </c>
      <c r="BH261" t="s">
        <v>74</v>
      </c>
      <c r="BI261">
        <v>2</v>
      </c>
      <c r="BJ261" t="s">
        <v>5479</v>
      </c>
      <c r="BK261" t="s">
        <v>101</v>
      </c>
      <c r="BL261" t="s">
        <v>315</v>
      </c>
      <c r="BM261" t="s">
        <v>5480</v>
      </c>
      <c r="BN261" t="s">
        <v>74</v>
      </c>
      <c r="BO261" t="s">
        <v>74</v>
      </c>
      <c r="BP261" t="s">
        <v>74</v>
      </c>
      <c r="BQ261" t="s">
        <v>74</v>
      </c>
      <c r="BR261" t="s">
        <v>105</v>
      </c>
      <c r="BS261" t="s">
        <v>5481</v>
      </c>
      <c r="BT261" t="str">
        <f>HYPERLINK("https%3A%2F%2Fwww.webofscience.com%2Fwos%2Fwoscc%2Ffull-record%2FWOS:000452142500005","View Full Record in Web of Science")</f>
        <v>View Full Record in Web of Science</v>
      </c>
    </row>
    <row r="262" spans="1:72" x14ac:dyDescent="0.15">
      <c r="A262" t="s">
        <v>72</v>
      </c>
      <c r="B262" t="s">
        <v>5482</v>
      </c>
      <c r="C262" t="s">
        <v>74</v>
      </c>
      <c r="D262" t="s">
        <v>74</v>
      </c>
      <c r="E262" t="s">
        <v>74</v>
      </c>
      <c r="F262" t="s">
        <v>5483</v>
      </c>
      <c r="G262" t="s">
        <v>74</v>
      </c>
      <c r="H262" t="s">
        <v>74</v>
      </c>
      <c r="I262" t="s">
        <v>5484</v>
      </c>
      <c r="J262" t="s">
        <v>5485</v>
      </c>
      <c r="K262" t="s">
        <v>74</v>
      </c>
      <c r="L262" t="s">
        <v>74</v>
      </c>
      <c r="M262" t="s">
        <v>78</v>
      </c>
      <c r="N262" t="s">
        <v>79</v>
      </c>
      <c r="O262" t="s">
        <v>74</v>
      </c>
      <c r="P262" t="s">
        <v>74</v>
      </c>
      <c r="Q262" t="s">
        <v>74</v>
      </c>
      <c r="R262" t="s">
        <v>74</v>
      </c>
      <c r="S262" t="s">
        <v>74</v>
      </c>
      <c r="T262" t="s">
        <v>5486</v>
      </c>
      <c r="U262" t="s">
        <v>5487</v>
      </c>
      <c r="V262" t="s">
        <v>5488</v>
      </c>
      <c r="W262" t="s">
        <v>5489</v>
      </c>
      <c r="X262" t="s">
        <v>5490</v>
      </c>
      <c r="Y262" t="s">
        <v>5491</v>
      </c>
      <c r="Z262" t="s">
        <v>5492</v>
      </c>
      <c r="AA262" t="s">
        <v>5493</v>
      </c>
      <c r="AB262" t="s">
        <v>5494</v>
      </c>
      <c r="AC262" t="s">
        <v>5495</v>
      </c>
      <c r="AD262" t="s">
        <v>5496</v>
      </c>
      <c r="AE262" t="s">
        <v>5497</v>
      </c>
      <c r="AF262" t="s">
        <v>74</v>
      </c>
      <c r="AG262">
        <v>83</v>
      </c>
      <c r="AH262">
        <v>67</v>
      </c>
      <c r="AI262">
        <v>79</v>
      </c>
      <c r="AJ262">
        <v>1</v>
      </c>
      <c r="AK262">
        <v>30</v>
      </c>
      <c r="AL262" t="s">
        <v>5498</v>
      </c>
      <c r="AM262" t="s">
        <v>1540</v>
      </c>
      <c r="AN262" t="s">
        <v>5499</v>
      </c>
      <c r="AO262" t="s">
        <v>5500</v>
      </c>
      <c r="AP262" t="s">
        <v>74</v>
      </c>
      <c r="AQ262" t="s">
        <v>74</v>
      </c>
      <c r="AR262" t="s">
        <v>5501</v>
      </c>
      <c r="AS262" t="s">
        <v>5502</v>
      </c>
      <c r="AT262" t="s">
        <v>3298</v>
      </c>
      <c r="AU262">
        <v>2018</v>
      </c>
      <c r="AV262">
        <v>5</v>
      </c>
      <c r="AW262">
        <v>5</v>
      </c>
      <c r="AX262" t="s">
        <v>74</v>
      </c>
      <c r="AY262" t="s">
        <v>74</v>
      </c>
      <c r="AZ262" t="s">
        <v>74</v>
      </c>
      <c r="BA262" t="s">
        <v>74</v>
      </c>
      <c r="BB262" t="s">
        <v>74</v>
      </c>
      <c r="BC262" t="s">
        <v>74</v>
      </c>
      <c r="BD262">
        <v>180017</v>
      </c>
      <c r="BE262" t="s">
        <v>5503</v>
      </c>
      <c r="BF262" t="str">
        <f>HYPERLINK("http://dx.doi.org/10.1098/rsos.180017","http://dx.doi.org/10.1098/rsos.180017")</f>
        <v>http://dx.doi.org/10.1098/rsos.180017</v>
      </c>
      <c r="BG262" t="s">
        <v>74</v>
      </c>
      <c r="BH262" t="s">
        <v>74</v>
      </c>
      <c r="BI262">
        <v>15</v>
      </c>
      <c r="BJ262" t="s">
        <v>1670</v>
      </c>
      <c r="BK262" t="s">
        <v>101</v>
      </c>
      <c r="BL262" t="s">
        <v>1671</v>
      </c>
      <c r="BM262" t="s">
        <v>5504</v>
      </c>
      <c r="BN262">
        <v>29892441</v>
      </c>
      <c r="BO262" t="s">
        <v>764</v>
      </c>
      <c r="BP262" t="s">
        <v>74</v>
      </c>
      <c r="BQ262" t="s">
        <v>74</v>
      </c>
      <c r="BR262" t="s">
        <v>105</v>
      </c>
      <c r="BS262" t="s">
        <v>5505</v>
      </c>
      <c r="BT262" t="str">
        <f>HYPERLINK("https%3A%2F%2Fwww.webofscience.com%2Fwos%2Fwoscc%2Ffull-record%2FWOS:000433498000101","View Full Record in Web of Science")</f>
        <v>View Full Record in Web of Science</v>
      </c>
    </row>
    <row r="263" spans="1:72" x14ac:dyDescent="0.15">
      <c r="A263" t="s">
        <v>72</v>
      </c>
      <c r="B263" t="s">
        <v>5506</v>
      </c>
      <c r="C263" t="s">
        <v>74</v>
      </c>
      <c r="D263" t="s">
        <v>74</v>
      </c>
      <c r="E263" t="s">
        <v>74</v>
      </c>
      <c r="F263" t="s">
        <v>5507</v>
      </c>
      <c r="G263" t="s">
        <v>74</v>
      </c>
      <c r="H263" t="s">
        <v>74</v>
      </c>
      <c r="I263" t="s">
        <v>5508</v>
      </c>
      <c r="J263" t="s">
        <v>5509</v>
      </c>
      <c r="K263" t="s">
        <v>74</v>
      </c>
      <c r="L263" t="s">
        <v>74</v>
      </c>
      <c r="M263" t="s">
        <v>78</v>
      </c>
      <c r="N263" t="s">
        <v>79</v>
      </c>
      <c r="O263" t="s">
        <v>74</v>
      </c>
      <c r="P263" t="s">
        <v>74</v>
      </c>
      <c r="Q263" t="s">
        <v>74</v>
      </c>
      <c r="R263" t="s">
        <v>74</v>
      </c>
      <c r="S263" t="s">
        <v>74</v>
      </c>
      <c r="T263" t="s">
        <v>74</v>
      </c>
      <c r="U263" t="s">
        <v>5510</v>
      </c>
      <c r="V263" t="s">
        <v>5511</v>
      </c>
      <c r="W263" t="s">
        <v>5512</v>
      </c>
      <c r="X263" t="s">
        <v>5513</v>
      </c>
      <c r="Y263" t="s">
        <v>5514</v>
      </c>
      <c r="Z263" t="s">
        <v>5515</v>
      </c>
      <c r="AA263" t="s">
        <v>5516</v>
      </c>
      <c r="AB263" t="s">
        <v>5517</v>
      </c>
      <c r="AC263" t="s">
        <v>5518</v>
      </c>
      <c r="AD263" t="s">
        <v>5519</v>
      </c>
      <c r="AE263" t="s">
        <v>5520</v>
      </c>
      <c r="AF263" t="s">
        <v>74</v>
      </c>
      <c r="AG263">
        <v>60</v>
      </c>
      <c r="AH263">
        <v>59</v>
      </c>
      <c r="AI263">
        <v>67</v>
      </c>
      <c r="AJ263">
        <v>16</v>
      </c>
      <c r="AK263">
        <v>80</v>
      </c>
      <c r="AL263" t="s">
        <v>5521</v>
      </c>
      <c r="AM263" t="s">
        <v>575</v>
      </c>
      <c r="AN263" t="s">
        <v>5522</v>
      </c>
      <c r="AO263" t="s">
        <v>5523</v>
      </c>
      <c r="AP263" t="s">
        <v>74</v>
      </c>
      <c r="AQ263" t="s">
        <v>74</v>
      </c>
      <c r="AR263" t="s">
        <v>5524</v>
      </c>
      <c r="AS263" t="s">
        <v>5525</v>
      </c>
      <c r="AT263" t="s">
        <v>3298</v>
      </c>
      <c r="AU263">
        <v>2018</v>
      </c>
      <c r="AV263">
        <v>4</v>
      </c>
      <c r="AW263">
        <v>5</v>
      </c>
      <c r="AX263" t="s">
        <v>74</v>
      </c>
      <c r="AY263" t="s">
        <v>74</v>
      </c>
      <c r="AZ263" t="s">
        <v>74</v>
      </c>
      <c r="BA263" t="s">
        <v>74</v>
      </c>
      <c r="BB263" t="s">
        <v>74</v>
      </c>
      <c r="BC263" t="s">
        <v>74</v>
      </c>
      <c r="BD263" t="s">
        <v>5526</v>
      </c>
      <c r="BE263" t="s">
        <v>5527</v>
      </c>
      <c r="BF263" t="str">
        <f>HYPERLINK("http://dx.doi.org/10.1126/sciadv.aar4292","http://dx.doi.org/10.1126/sciadv.aar4292")</f>
        <v>http://dx.doi.org/10.1126/sciadv.aar4292</v>
      </c>
      <c r="BG263" t="s">
        <v>74</v>
      </c>
      <c r="BH263" t="s">
        <v>74</v>
      </c>
      <c r="BI263">
        <v>9</v>
      </c>
      <c r="BJ263" t="s">
        <v>1670</v>
      </c>
      <c r="BK263" t="s">
        <v>101</v>
      </c>
      <c r="BL263" t="s">
        <v>1671</v>
      </c>
      <c r="BM263" t="s">
        <v>5528</v>
      </c>
      <c r="BN263">
        <v>29750197</v>
      </c>
      <c r="BO263" t="s">
        <v>764</v>
      </c>
      <c r="BP263" t="s">
        <v>74</v>
      </c>
      <c r="BQ263" t="s">
        <v>74</v>
      </c>
      <c r="BR263" t="s">
        <v>105</v>
      </c>
      <c r="BS263" t="s">
        <v>5529</v>
      </c>
      <c r="BT263" t="str">
        <f>HYPERLINK("https%3A%2F%2Fwww.webofscience.com%2Fwos%2Fwoscc%2Ffull-record%2FWOS:000432440600023","View Full Record in Web of Science")</f>
        <v>View Full Record in Web of Science</v>
      </c>
    </row>
    <row r="264" spans="1:72" x14ac:dyDescent="0.15">
      <c r="A264" t="s">
        <v>72</v>
      </c>
      <c r="B264" t="s">
        <v>5530</v>
      </c>
      <c r="C264" t="s">
        <v>74</v>
      </c>
      <c r="D264" t="s">
        <v>74</v>
      </c>
      <c r="E264" t="s">
        <v>74</v>
      </c>
      <c r="F264" t="s">
        <v>5531</v>
      </c>
      <c r="G264" t="s">
        <v>74</v>
      </c>
      <c r="H264" t="s">
        <v>74</v>
      </c>
      <c r="I264" t="s">
        <v>5532</v>
      </c>
      <c r="J264" t="s">
        <v>5533</v>
      </c>
      <c r="K264" t="s">
        <v>74</v>
      </c>
      <c r="L264" t="s">
        <v>74</v>
      </c>
      <c r="M264" t="s">
        <v>78</v>
      </c>
      <c r="N264" t="s">
        <v>79</v>
      </c>
      <c r="O264" t="s">
        <v>74</v>
      </c>
      <c r="P264" t="s">
        <v>74</v>
      </c>
      <c r="Q264" t="s">
        <v>74</v>
      </c>
      <c r="R264" t="s">
        <v>74</v>
      </c>
      <c r="S264" t="s">
        <v>74</v>
      </c>
      <c r="T264" t="s">
        <v>5534</v>
      </c>
      <c r="U264" t="s">
        <v>5535</v>
      </c>
      <c r="V264" t="s">
        <v>5536</v>
      </c>
      <c r="W264" t="s">
        <v>5537</v>
      </c>
      <c r="X264" t="s">
        <v>5538</v>
      </c>
      <c r="Y264" t="s">
        <v>5539</v>
      </c>
      <c r="Z264" t="s">
        <v>5540</v>
      </c>
      <c r="AA264" t="s">
        <v>5541</v>
      </c>
      <c r="AB264" t="s">
        <v>5542</v>
      </c>
      <c r="AC264" t="s">
        <v>5543</v>
      </c>
      <c r="AD264" t="s">
        <v>5544</v>
      </c>
      <c r="AE264" t="s">
        <v>5545</v>
      </c>
      <c r="AF264" t="s">
        <v>74</v>
      </c>
      <c r="AG264">
        <v>29</v>
      </c>
      <c r="AH264">
        <v>4</v>
      </c>
      <c r="AI264">
        <v>5</v>
      </c>
      <c r="AJ264">
        <v>0</v>
      </c>
      <c r="AK264">
        <v>36</v>
      </c>
      <c r="AL264" t="s">
        <v>91</v>
      </c>
      <c r="AM264" t="s">
        <v>1468</v>
      </c>
      <c r="AN264" t="s">
        <v>1469</v>
      </c>
      <c r="AO264" t="s">
        <v>5546</v>
      </c>
      <c r="AP264" t="s">
        <v>5547</v>
      </c>
      <c r="AQ264" t="s">
        <v>74</v>
      </c>
      <c r="AR264" t="s">
        <v>5548</v>
      </c>
      <c r="AS264" t="s">
        <v>5549</v>
      </c>
      <c r="AT264" t="s">
        <v>3298</v>
      </c>
      <c r="AU264">
        <v>2018</v>
      </c>
      <c r="AV264">
        <v>63</v>
      </c>
      <c r="AW264">
        <v>3</v>
      </c>
      <c r="AX264" t="s">
        <v>74</v>
      </c>
      <c r="AY264" t="s">
        <v>74</v>
      </c>
      <c r="AZ264" t="s">
        <v>74</v>
      </c>
      <c r="BA264" t="s">
        <v>74</v>
      </c>
      <c r="BB264">
        <v>315</v>
      </c>
      <c r="BC264">
        <v>323</v>
      </c>
      <c r="BD264" t="s">
        <v>74</v>
      </c>
      <c r="BE264" t="s">
        <v>5550</v>
      </c>
      <c r="BF264" t="str">
        <f>HYPERLINK("http://dx.doi.org/10.1007/s12223-017-0573-0","http://dx.doi.org/10.1007/s12223-017-0573-0")</f>
        <v>http://dx.doi.org/10.1007/s12223-017-0573-0</v>
      </c>
      <c r="BG264" t="s">
        <v>74</v>
      </c>
      <c r="BH264" t="s">
        <v>74</v>
      </c>
      <c r="BI264">
        <v>9</v>
      </c>
      <c r="BJ264" t="s">
        <v>1158</v>
      </c>
      <c r="BK264" t="s">
        <v>101</v>
      </c>
      <c r="BL264" t="s">
        <v>1158</v>
      </c>
      <c r="BM264" t="s">
        <v>5551</v>
      </c>
      <c r="BN264">
        <v>29196950</v>
      </c>
      <c r="BO264" t="s">
        <v>74</v>
      </c>
      <c r="BP264" t="s">
        <v>74</v>
      </c>
      <c r="BQ264" t="s">
        <v>74</v>
      </c>
      <c r="BR264" t="s">
        <v>105</v>
      </c>
      <c r="BS264" t="s">
        <v>5552</v>
      </c>
      <c r="BT264" t="str">
        <f>HYPERLINK("https%3A%2F%2Fwww.webofscience.com%2Fwos%2Fwoscc%2Ffull-record%2FWOS:000430317100007","View Full Record in Web of Science")</f>
        <v>View Full Record in Web of Science</v>
      </c>
    </row>
    <row r="265" spans="1:72" x14ac:dyDescent="0.15">
      <c r="A265" t="s">
        <v>72</v>
      </c>
      <c r="B265" t="s">
        <v>5553</v>
      </c>
      <c r="C265" t="s">
        <v>74</v>
      </c>
      <c r="D265" t="s">
        <v>74</v>
      </c>
      <c r="E265" t="s">
        <v>74</v>
      </c>
      <c r="F265" t="s">
        <v>5554</v>
      </c>
      <c r="G265" t="s">
        <v>74</v>
      </c>
      <c r="H265" t="s">
        <v>74</v>
      </c>
      <c r="I265" t="s">
        <v>5555</v>
      </c>
      <c r="J265" t="s">
        <v>5556</v>
      </c>
      <c r="K265" t="s">
        <v>74</v>
      </c>
      <c r="L265" t="s">
        <v>74</v>
      </c>
      <c r="M265" t="s">
        <v>78</v>
      </c>
      <c r="N265" t="s">
        <v>79</v>
      </c>
      <c r="O265" t="s">
        <v>74</v>
      </c>
      <c r="P265" t="s">
        <v>74</v>
      </c>
      <c r="Q265" t="s">
        <v>74</v>
      </c>
      <c r="R265" t="s">
        <v>74</v>
      </c>
      <c r="S265" t="s">
        <v>74</v>
      </c>
      <c r="T265" t="s">
        <v>74</v>
      </c>
      <c r="U265" t="s">
        <v>5557</v>
      </c>
      <c r="V265" t="s">
        <v>5558</v>
      </c>
      <c r="W265" t="s">
        <v>5559</v>
      </c>
      <c r="X265" t="s">
        <v>5560</v>
      </c>
      <c r="Y265" t="s">
        <v>5561</v>
      </c>
      <c r="Z265" t="s">
        <v>5562</v>
      </c>
      <c r="AA265" t="s">
        <v>74</v>
      </c>
      <c r="AB265" t="s">
        <v>5563</v>
      </c>
      <c r="AC265" t="s">
        <v>5564</v>
      </c>
      <c r="AD265" t="s">
        <v>5565</v>
      </c>
      <c r="AE265" t="s">
        <v>5566</v>
      </c>
      <c r="AF265" t="s">
        <v>74</v>
      </c>
      <c r="AG265">
        <v>57</v>
      </c>
      <c r="AH265">
        <v>43</v>
      </c>
      <c r="AI265">
        <v>48</v>
      </c>
      <c r="AJ265">
        <v>1</v>
      </c>
      <c r="AK265">
        <v>24</v>
      </c>
      <c r="AL265" t="s">
        <v>425</v>
      </c>
      <c r="AM265" t="s">
        <v>278</v>
      </c>
      <c r="AN265" t="s">
        <v>426</v>
      </c>
      <c r="AO265" t="s">
        <v>5567</v>
      </c>
      <c r="AP265" t="s">
        <v>5568</v>
      </c>
      <c r="AQ265" t="s">
        <v>74</v>
      </c>
      <c r="AR265" t="s">
        <v>5569</v>
      </c>
      <c r="AS265" t="s">
        <v>5570</v>
      </c>
      <c r="AT265" t="s">
        <v>3298</v>
      </c>
      <c r="AU265">
        <v>2018</v>
      </c>
      <c r="AV265">
        <v>72</v>
      </c>
      <c r="AW265" t="s">
        <v>74</v>
      </c>
      <c r="AX265" t="s">
        <v>74</v>
      </c>
      <c r="AY265" t="s">
        <v>74</v>
      </c>
      <c r="AZ265" t="s">
        <v>74</v>
      </c>
      <c r="BA265" t="s">
        <v>74</v>
      </c>
      <c r="BB265">
        <v>105</v>
      </c>
      <c r="BC265">
        <v>116</v>
      </c>
      <c r="BD265" t="s">
        <v>74</v>
      </c>
      <c r="BE265" t="s">
        <v>5571</v>
      </c>
      <c r="BF265" t="str">
        <f>HYPERLINK("http://dx.doi.org/10.1016/j.ijggc.2018.01.019","http://dx.doi.org/10.1016/j.ijggc.2018.01.019")</f>
        <v>http://dx.doi.org/10.1016/j.ijggc.2018.01.019</v>
      </c>
      <c r="BG265" t="s">
        <v>74</v>
      </c>
      <c r="BH265" t="s">
        <v>74</v>
      </c>
      <c r="BI265">
        <v>12</v>
      </c>
      <c r="BJ265" t="s">
        <v>5572</v>
      </c>
      <c r="BK265" t="s">
        <v>101</v>
      </c>
      <c r="BL265" t="s">
        <v>5573</v>
      </c>
      <c r="BM265" t="s">
        <v>5574</v>
      </c>
      <c r="BN265" t="s">
        <v>74</v>
      </c>
      <c r="BO265" t="s">
        <v>74</v>
      </c>
      <c r="BP265" t="s">
        <v>74</v>
      </c>
      <c r="BQ265" t="s">
        <v>74</v>
      </c>
      <c r="BR265" t="s">
        <v>105</v>
      </c>
      <c r="BS265" t="s">
        <v>5575</v>
      </c>
      <c r="BT265" t="str">
        <f>HYPERLINK("https%3A%2F%2Fwww.webofscience.com%2Fwos%2Fwoscc%2Ffull-record%2FWOS:000430163000010","View Full Record in Web of Science")</f>
        <v>View Full Record in Web of Science</v>
      </c>
    </row>
    <row r="266" spans="1:72" x14ac:dyDescent="0.15">
      <c r="A266" t="s">
        <v>72</v>
      </c>
      <c r="B266" t="s">
        <v>5576</v>
      </c>
      <c r="C266" t="s">
        <v>74</v>
      </c>
      <c r="D266" t="s">
        <v>74</v>
      </c>
      <c r="E266" t="s">
        <v>74</v>
      </c>
      <c r="F266" t="s">
        <v>5577</v>
      </c>
      <c r="G266" t="s">
        <v>74</v>
      </c>
      <c r="H266" t="s">
        <v>74</v>
      </c>
      <c r="I266" t="s">
        <v>5578</v>
      </c>
      <c r="J266" t="s">
        <v>3583</v>
      </c>
      <c r="K266" t="s">
        <v>74</v>
      </c>
      <c r="L266" t="s">
        <v>74</v>
      </c>
      <c r="M266" t="s">
        <v>78</v>
      </c>
      <c r="N266" t="s">
        <v>79</v>
      </c>
      <c r="O266" t="s">
        <v>74</v>
      </c>
      <c r="P266" t="s">
        <v>74</v>
      </c>
      <c r="Q266" t="s">
        <v>74</v>
      </c>
      <c r="R266" t="s">
        <v>74</v>
      </c>
      <c r="S266" t="s">
        <v>74</v>
      </c>
      <c r="T266" t="s">
        <v>74</v>
      </c>
      <c r="U266" t="s">
        <v>5579</v>
      </c>
      <c r="V266" t="s">
        <v>5580</v>
      </c>
      <c r="W266" t="s">
        <v>5581</v>
      </c>
      <c r="X266" t="s">
        <v>5582</v>
      </c>
      <c r="Y266" t="s">
        <v>5583</v>
      </c>
      <c r="Z266" t="s">
        <v>5584</v>
      </c>
      <c r="AA266" t="s">
        <v>74</v>
      </c>
      <c r="AB266" t="s">
        <v>5585</v>
      </c>
      <c r="AC266" t="s">
        <v>5586</v>
      </c>
      <c r="AD266" t="s">
        <v>5587</v>
      </c>
      <c r="AE266" t="s">
        <v>5588</v>
      </c>
      <c r="AF266" t="s">
        <v>74</v>
      </c>
      <c r="AG266">
        <v>48</v>
      </c>
      <c r="AH266">
        <v>49</v>
      </c>
      <c r="AI266">
        <v>49</v>
      </c>
      <c r="AJ266">
        <v>2</v>
      </c>
      <c r="AK266">
        <v>12</v>
      </c>
      <c r="AL266" t="s">
        <v>3595</v>
      </c>
      <c r="AM266" t="s">
        <v>3596</v>
      </c>
      <c r="AN266" t="s">
        <v>3597</v>
      </c>
      <c r="AO266" t="s">
        <v>3598</v>
      </c>
      <c r="AP266" t="s">
        <v>3599</v>
      </c>
      <c r="AQ266" t="s">
        <v>74</v>
      </c>
      <c r="AR266" t="s">
        <v>3600</v>
      </c>
      <c r="AS266" t="s">
        <v>3601</v>
      </c>
      <c r="AT266" t="s">
        <v>3298</v>
      </c>
      <c r="AU266">
        <v>2018</v>
      </c>
      <c r="AV266">
        <v>31</v>
      </c>
      <c r="AW266">
        <v>9</v>
      </c>
      <c r="AX266" t="s">
        <v>74</v>
      </c>
      <c r="AY266" t="s">
        <v>74</v>
      </c>
      <c r="AZ266" t="s">
        <v>74</v>
      </c>
      <c r="BA266" t="s">
        <v>74</v>
      </c>
      <c r="BB266">
        <v>3467</v>
      </c>
      <c r="BC266">
        <v>3483</v>
      </c>
      <c r="BD266" t="s">
        <v>74</v>
      </c>
      <c r="BE266" t="s">
        <v>5589</v>
      </c>
      <c r="BF266" t="str">
        <f>HYPERLINK("http://dx.doi.org/10.1175/JCLI-D-17-0557.1","http://dx.doi.org/10.1175/JCLI-D-17-0557.1")</f>
        <v>http://dx.doi.org/10.1175/JCLI-D-17-0557.1</v>
      </c>
      <c r="BG266" t="s">
        <v>74</v>
      </c>
      <c r="BH266" t="s">
        <v>74</v>
      </c>
      <c r="BI266">
        <v>17</v>
      </c>
      <c r="BJ266" t="s">
        <v>131</v>
      </c>
      <c r="BK266" t="s">
        <v>101</v>
      </c>
      <c r="BL266" t="s">
        <v>131</v>
      </c>
      <c r="BM266" t="s">
        <v>3603</v>
      </c>
      <c r="BN266" t="s">
        <v>74</v>
      </c>
      <c r="BO266" t="s">
        <v>104</v>
      </c>
      <c r="BP266" t="s">
        <v>74</v>
      </c>
      <c r="BQ266" t="s">
        <v>74</v>
      </c>
      <c r="BR266" t="s">
        <v>105</v>
      </c>
      <c r="BS266" t="s">
        <v>5590</v>
      </c>
      <c r="BT266" t="str">
        <f>HYPERLINK("https%3A%2F%2Fwww.webofscience.com%2Fwos%2Fwoscc%2Ffull-record%2FWOS:000429529900007","View Full Record in Web of Science")</f>
        <v>View Full Record in Web of Science</v>
      </c>
    </row>
    <row r="267" spans="1:72" x14ac:dyDescent="0.15">
      <c r="A267" t="s">
        <v>72</v>
      </c>
      <c r="B267" t="s">
        <v>5591</v>
      </c>
      <c r="C267" t="s">
        <v>74</v>
      </c>
      <c r="D267" t="s">
        <v>74</v>
      </c>
      <c r="E267" t="s">
        <v>74</v>
      </c>
      <c r="F267" t="s">
        <v>5592</v>
      </c>
      <c r="G267" t="s">
        <v>74</v>
      </c>
      <c r="H267" t="s">
        <v>74</v>
      </c>
      <c r="I267" t="s">
        <v>5593</v>
      </c>
      <c r="J267" t="s">
        <v>3583</v>
      </c>
      <c r="K267" t="s">
        <v>74</v>
      </c>
      <c r="L267" t="s">
        <v>74</v>
      </c>
      <c r="M267" t="s">
        <v>78</v>
      </c>
      <c r="N267" t="s">
        <v>79</v>
      </c>
      <c r="O267" t="s">
        <v>74</v>
      </c>
      <c r="P267" t="s">
        <v>74</v>
      </c>
      <c r="Q267" t="s">
        <v>74</v>
      </c>
      <c r="R267" t="s">
        <v>74</v>
      </c>
      <c r="S267" t="s">
        <v>74</v>
      </c>
      <c r="T267" t="s">
        <v>74</v>
      </c>
      <c r="U267" t="s">
        <v>5594</v>
      </c>
      <c r="V267" t="s">
        <v>5595</v>
      </c>
      <c r="W267" t="s">
        <v>5596</v>
      </c>
      <c r="X267" t="s">
        <v>5597</v>
      </c>
      <c r="Y267" t="s">
        <v>5598</v>
      </c>
      <c r="Z267" t="s">
        <v>5599</v>
      </c>
      <c r="AA267" t="s">
        <v>5600</v>
      </c>
      <c r="AB267" t="s">
        <v>5601</v>
      </c>
      <c r="AC267" t="s">
        <v>5602</v>
      </c>
      <c r="AD267" t="s">
        <v>5603</v>
      </c>
      <c r="AE267" t="s">
        <v>5604</v>
      </c>
      <c r="AF267" t="s">
        <v>74</v>
      </c>
      <c r="AG267">
        <v>60</v>
      </c>
      <c r="AH267">
        <v>35</v>
      </c>
      <c r="AI267">
        <v>38</v>
      </c>
      <c r="AJ267">
        <v>4</v>
      </c>
      <c r="AK267">
        <v>28</v>
      </c>
      <c r="AL267" t="s">
        <v>3595</v>
      </c>
      <c r="AM267" t="s">
        <v>3596</v>
      </c>
      <c r="AN267" t="s">
        <v>3597</v>
      </c>
      <c r="AO267" t="s">
        <v>3598</v>
      </c>
      <c r="AP267" t="s">
        <v>3599</v>
      </c>
      <c r="AQ267" t="s">
        <v>74</v>
      </c>
      <c r="AR267" t="s">
        <v>3600</v>
      </c>
      <c r="AS267" t="s">
        <v>3601</v>
      </c>
      <c r="AT267" t="s">
        <v>3298</v>
      </c>
      <c r="AU267">
        <v>2018</v>
      </c>
      <c r="AV267">
        <v>31</v>
      </c>
      <c r="AW267">
        <v>9</v>
      </c>
      <c r="AX267" t="s">
        <v>74</v>
      </c>
      <c r="AY267" t="s">
        <v>74</v>
      </c>
      <c r="AZ267" t="s">
        <v>74</v>
      </c>
      <c r="BA267" t="s">
        <v>74</v>
      </c>
      <c r="BB267">
        <v>3557</v>
      </c>
      <c r="BC267">
        <v>3573</v>
      </c>
      <c r="BD267" t="s">
        <v>74</v>
      </c>
      <c r="BE267" t="s">
        <v>5605</v>
      </c>
      <c r="BF267" t="str">
        <f>HYPERLINK("http://dx.doi.org/10.1175/JCLI-D-17-0481.1","http://dx.doi.org/10.1175/JCLI-D-17-0481.1")</f>
        <v>http://dx.doi.org/10.1175/JCLI-D-17-0481.1</v>
      </c>
      <c r="BG267" t="s">
        <v>74</v>
      </c>
      <c r="BH267" t="s">
        <v>74</v>
      </c>
      <c r="BI267">
        <v>17</v>
      </c>
      <c r="BJ267" t="s">
        <v>131</v>
      </c>
      <c r="BK267" t="s">
        <v>101</v>
      </c>
      <c r="BL267" t="s">
        <v>131</v>
      </c>
      <c r="BM267" t="s">
        <v>3603</v>
      </c>
      <c r="BN267" t="s">
        <v>74</v>
      </c>
      <c r="BO267" t="s">
        <v>104</v>
      </c>
      <c r="BP267" t="s">
        <v>74</v>
      </c>
      <c r="BQ267" t="s">
        <v>74</v>
      </c>
      <c r="BR267" t="s">
        <v>105</v>
      </c>
      <c r="BS267" t="s">
        <v>5606</v>
      </c>
      <c r="BT267" t="str">
        <f>HYPERLINK("https%3A%2F%2Fwww.webofscience.com%2Fwos%2Fwoscc%2Ffull-record%2FWOS:000429529900012","View Full Record in Web of Science")</f>
        <v>View Full Record in Web of Science</v>
      </c>
    </row>
    <row r="268" spans="1:72" x14ac:dyDescent="0.15">
      <c r="A268" t="s">
        <v>72</v>
      </c>
      <c r="B268" t="s">
        <v>5607</v>
      </c>
      <c r="C268" t="s">
        <v>74</v>
      </c>
      <c r="D268" t="s">
        <v>74</v>
      </c>
      <c r="E268" t="s">
        <v>74</v>
      </c>
      <c r="F268" t="s">
        <v>5608</v>
      </c>
      <c r="G268" t="s">
        <v>74</v>
      </c>
      <c r="H268" t="s">
        <v>74</v>
      </c>
      <c r="I268" t="s">
        <v>5609</v>
      </c>
      <c r="J268" t="s">
        <v>5610</v>
      </c>
      <c r="K268" t="s">
        <v>74</v>
      </c>
      <c r="L268" t="s">
        <v>74</v>
      </c>
      <c r="M268" t="s">
        <v>78</v>
      </c>
      <c r="N268" t="s">
        <v>79</v>
      </c>
      <c r="O268" t="s">
        <v>74</v>
      </c>
      <c r="P268" t="s">
        <v>74</v>
      </c>
      <c r="Q268" t="s">
        <v>74</v>
      </c>
      <c r="R268" t="s">
        <v>74</v>
      </c>
      <c r="S268" t="s">
        <v>74</v>
      </c>
      <c r="T268" t="s">
        <v>5611</v>
      </c>
      <c r="U268" t="s">
        <v>5612</v>
      </c>
      <c r="V268" t="s">
        <v>5613</v>
      </c>
      <c r="W268" t="s">
        <v>5614</v>
      </c>
      <c r="X268" t="s">
        <v>5615</v>
      </c>
      <c r="Y268" t="s">
        <v>5616</v>
      </c>
      <c r="Z268" t="s">
        <v>5617</v>
      </c>
      <c r="AA268" t="s">
        <v>5618</v>
      </c>
      <c r="AB268" t="s">
        <v>5619</v>
      </c>
      <c r="AC268" t="s">
        <v>5620</v>
      </c>
      <c r="AD268" t="s">
        <v>5620</v>
      </c>
      <c r="AE268" t="s">
        <v>5621</v>
      </c>
      <c r="AF268" t="s">
        <v>74</v>
      </c>
      <c r="AG268">
        <v>54</v>
      </c>
      <c r="AH268">
        <v>11</v>
      </c>
      <c r="AI268">
        <v>11</v>
      </c>
      <c r="AJ268">
        <v>1</v>
      </c>
      <c r="AK268">
        <v>21</v>
      </c>
      <c r="AL268" t="s">
        <v>914</v>
      </c>
      <c r="AM268" t="s">
        <v>452</v>
      </c>
      <c r="AN268" t="s">
        <v>915</v>
      </c>
      <c r="AO268" t="s">
        <v>5622</v>
      </c>
      <c r="AP268" t="s">
        <v>5623</v>
      </c>
      <c r="AQ268" t="s">
        <v>74</v>
      </c>
      <c r="AR268" t="s">
        <v>5610</v>
      </c>
      <c r="AS268" t="s">
        <v>5624</v>
      </c>
      <c r="AT268" t="s">
        <v>3298</v>
      </c>
      <c r="AU268">
        <v>2018</v>
      </c>
      <c r="AV268">
        <v>164</v>
      </c>
      <c r="AW268" t="s">
        <v>74</v>
      </c>
      <c r="AX268" t="s">
        <v>74</v>
      </c>
      <c r="AY268" t="s">
        <v>74</v>
      </c>
      <c r="AZ268" t="s">
        <v>74</v>
      </c>
      <c r="BA268" t="s">
        <v>74</v>
      </c>
      <c r="BB268">
        <v>62</v>
      </c>
      <c r="BC268">
        <v>70</v>
      </c>
      <c r="BD268" t="s">
        <v>74</v>
      </c>
      <c r="BE268" t="s">
        <v>5625</v>
      </c>
      <c r="BF268" t="str">
        <f>HYPERLINK("http://dx.doi.org/10.1016/j.catena.2018.01.009","http://dx.doi.org/10.1016/j.catena.2018.01.009")</f>
        <v>http://dx.doi.org/10.1016/j.catena.2018.01.009</v>
      </c>
      <c r="BG268" t="s">
        <v>74</v>
      </c>
      <c r="BH268" t="s">
        <v>74</v>
      </c>
      <c r="BI268">
        <v>9</v>
      </c>
      <c r="BJ268" t="s">
        <v>5626</v>
      </c>
      <c r="BK268" t="s">
        <v>101</v>
      </c>
      <c r="BL268" t="s">
        <v>5627</v>
      </c>
      <c r="BM268" t="s">
        <v>5628</v>
      </c>
      <c r="BN268" t="s">
        <v>74</v>
      </c>
      <c r="BO268" t="s">
        <v>74</v>
      </c>
      <c r="BP268" t="s">
        <v>74</v>
      </c>
      <c r="BQ268" t="s">
        <v>74</v>
      </c>
      <c r="BR268" t="s">
        <v>105</v>
      </c>
      <c r="BS268" t="s">
        <v>5629</v>
      </c>
      <c r="BT268" t="str">
        <f>HYPERLINK("https%3A%2F%2Fwww.webofscience.com%2Fwos%2Fwoscc%2Ffull-record%2FWOS:000430031800007","View Full Record in Web of Science")</f>
        <v>View Full Record in Web of Science</v>
      </c>
    </row>
    <row r="269" spans="1:72" x14ac:dyDescent="0.15">
      <c r="A269" t="s">
        <v>72</v>
      </c>
      <c r="B269" t="s">
        <v>5630</v>
      </c>
      <c r="C269" t="s">
        <v>74</v>
      </c>
      <c r="D269" t="s">
        <v>74</v>
      </c>
      <c r="E269" t="s">
        <v>74</v>
      </c>
      <c r="F269" t="s">
        <v>5631</v>
      </c>
      <c r="G269" t="s">
        <v>74</v>
      </c>
      <c r="H269" t="s">
        <v>74</v>
      </c>
      <c r="I269" t="s">
        <v>5632</v>
      </c>
      <c r="J269" t="s">
        <v>5142</v>
      </c>
      <c r="K269" t="s">
        <v>74</v>
      </c>
      <c r="L269" t="s">
        <v>74</v>
      </c>
      <c r="M269" t="s">
        <v>78</v>
      </c>
      <c r="N269" t="s">
        <v>79</v>
      </c>
      <c r="O269" t="s">
        <v>74</v>
      </c>
      <c r="P269" t="s">
        <v>74</v>
      </c>
      <c r="Q269" t="s">
        <v>74</v>
      </c>
      <c r="R269" t="s">
        <v>74</v>
      </c>
      <c r="S269" t="s">
        <v>74</v>
      </c>
      <c r="T269" t="s">
        <v>5633</v>
      </c>
      <c r="U269" t="s">
        <v>5634</v>
      </c>
      <c r="V269" t="s">
        <v>5635</v>
      </c>
      <c r="W269" t="s">
        <v>5636</v>
      </c>
      <c r="X269" t="s">
        <v>5637</v>
      </c>
      <c r="Y269" t="s">
        <v>5638</v>
      </c>
      <c r="Z269" t="s">
        <v>5639</v>
      </c>
      <c r="AA269" t="s">
        <v>5640</v>
      </c>
      <c r="AB269" t="s">
        <v>5641</v>
      </c>
      <c r="AC269" t="s">
        <v>5642</v>
      </c>
      <c r="AD269" t="s">
        <v>5643</v>
      </c>
      <c r="AE269" t="s">
        <v>5644</v>
      </c>
      <c r="AF269" t="s">
        <v>74</v>
      </c>
      <c r="AG269">
        <v>34</v>
      </c>
      <c r="AH269">
        <v>10</v>
      </c>
      <c r="AI269">
        <v>10</v>
      </c>
      <c r="AJ269">
        <v>0</v>
      </c>
      <c r="AK269">
        <v>6</v>
      </c>
      <c r="AL269" t="s">
        <v>91</v>
      </c>
      <c r="AM269" t="s">
        <v>92</v>
      </c>
      <c r="AN269" t="s">
        <v>205</v>
      </c>
      <c r="AO269" t="s">
        <v>5155</v>
      </c>
      <c r="AP269" t="s">
        <v>5156</v>
      </c>
      <c r="AQ269" t="s">
        <v>74</v>
      </c>
      <c r="AR269" t="s">
        <v>5157</v>
      </c>
      <c r="AS269" t="s">
        <v>5158</v>
      </c>
      <c r="AT269" t="s">
        <v>3298</v>
      </c>
      <c r="AU269">
        <v>2018</v>
      </c>
      <c r="AV269">
        <v>50</v>
      </c>
      <c r="AW269" t="s">
        <v>5159</v>
      </c>
      <c r="AX269" t="s">
        <v>74</v>
      </c>
      <c r="AY269" t="s">
        <v>74</v>
      </c>
      <c r="AZ269" t="s">
        <v>74</v>
      </c>
      <c r="BA269" t="s">
        <v>74</v>
      </c>
      <c r="BB269">
        <v>3613</v>
      </c>
      <c r="BC269">
        <v>3624</v>
      </c>
      <c r="BD269" t="s">
        <v>74</v>
      </c>
      <c r="BE269" t="s">
        <v>5645</v>
      </c>
      <c r="BF269" t="str">
        <f>HYPERLINK("http://dx.doi.org/10.1007/s00382-017-3828-1","http://dx.doi.org/10.1007/s00382-017-3828-1")</f>
        <v>http://dx.doi.org/10.1007/s00382-017-3828-1</v>
      </c>
      <c r="BG269" t="s">
        <v>74</v>
      </c>
      <c r="BH269" t="s">
        <v>74</v>
      </c>
      <c r="BI269">
        <v>12</v>
      </c>
      <c r="BJ269" t="s">
        <v>131</v>
      </c>
      <c r="BK269" t="s">
        <v>101</v>
      </c>
      <c r="BL269" t="s">
        <v>131</v>
      </c>
      <c r="BM269" t="s">
        <v>5161</v>
      </c>
      <c r="BN269" t="s">
        <v>74</v>
      </c>
      <c r="BO269" t="s">
        <v>341</v>
      </c>
      <c r="BP269" t="s">
        <v>74</v>
      </c>
      <c r="BQ269" t="s">
        <v>74</v>
      </c>
      <c r="BR269" t="s">
        <v>105</v>
      </c>
      <c r="BS269" t="s">
        <v>5646</v>
      </c>
      <c r="BT269" t="str">
        <f>HYPERLINK("https%3A%2F%2Fwww.webofscience.com%2Fwos%2Fwoscc%2Ffull-record%2FWOS:000429650700026","View Full Record in Web of Science")</f>
        <v>View Full Record in Web of Science</v>
      </c>
    </row>
    <row r="270" spans="1:72" x14ac:dyDescent="0.15">
      <c r="A270" t="s">
        <v>72</v>
      </c>
      <c r="B270" t="s">
        <v>5647</v>
      </c>
      <c r="C270" t="s">
        <v>74</v>
      </c>
      <c r="D270" t="s">
        <v>74</v>
      </c>
      <c r="E270" t="s">
        <v>74</v>
      </c>
      <c r="F270" t="s">
        <v>5648</v>
      </c>
      <c r="G270" t="s">
        <v>74</v>
      </c>
      <c r="H270" t="s">
        <v>74</v>
      </c>
      <c r="I270" t="s">
        <v>5649</v>
      </c>
      <c r="J270" t="s">
        <v>5650</v>
      </c>
      <c r="K270" t="s">
        <v>74</v>
      </c>
      <c r="L270" t="s">
        <v>74</v>
      </c>
      <c r="M270" t="s">
        <v>78</v>
      </c>
      <c r="N270" t="s">
        <v>79</v>
      </c>
      <c r="O270" t="s">
        <v>74</v>
      </c>
      <c r="P270" t="s">
        <v>74</v>
      </c>
      <c r="Q270" t="s">
        <v>74</v>
      </c>
      <c r="R270" t="s">
        <v>74</v>
      </c>
      <c r="S270" t="s">
        <v>74</v>
      </c>
      <c r="T270" t="s">
        <v>5651</v>
      </c>
      <c r="U270" t="s">
        <v>5652</v>
      </c>
      <c r="V270" t="s">
        <v>5653</v>
      </c>
      <c r="W270" t="s">
        <v>5654</v>
      </c>
      <c r="X270" t="s">
        <v>5655</v>
      </c>
      <c r="Y270" t="s">
        <v>5656</v>
      </c>
      <c r="Z270" t="s">
        <v>5657</v>
      </c>
      <c r="AA270" t="s">
        <v>5658</v>
      </c>
      <c r="AB270" t="s">
        <v>5659</v>
      </c>
      <c r="AC270" t="s">
        <v>5660</v>
      </c>
      <c r="AD270" t="s">
        <v>5661</v>
      </c>
      <c r="AE270" t="s">
        <v>5662</v>
      </c>
      <c r="AF270" t="s">
        <v>74</v>
      </c>
      <c r="AG270">
        <v>135</v>
      </c>
      <c r="AH270">
        <v>20</v>
      </c>
      <c r="AI270">
        <v>21</v>
      </c>
      <c r="AJ270">
        <v>0</v>
      </c>
      <c r="AK270">
        <v>11</v>
      </c>
      <c r="AL270" t="s">
        <v>1539</v>
      </c>
      <c r="AM270" t="s">
        <v>1540</v>
      </c>
      <c r="AN270" t="s">
        <v>1541</v>
      </c>
      <c r="AO270" t="s">
        <v>5663</v>
      </c>
      <c r="AP270" t="s">
        <v>5664</v>
      </c>
      <c r="AQ270" t="s">
        <v>74</v>
      </c>
      <c r="AR270" t="s">
        <v>5665</v>
      </c>
      <c r="AS270" t="s">
        <v>5666</v>
      </c>
      <c r="AT270" t="s">
        <v>3298</v>
      </c>
      <c r="AU270">
        <v>2018</v>
      </c>
      <c r="AV270">
        <v>85</v>
      </c>
      <c r="AW270" t="s">
        <v>74</v>
      </c>
      <c r="AX270" t="s">
        <v>74</v>
      </c>
      <c r="AY270" t="s">
        <v>74</v>
      </c>
      <c r="AZ270" t="s">
        <v>74</v>
      </c>
      <c r="BA270" t="s">
        <v>74</v>
      </c>
      <c r="BB270">
        <v>250</v>
      </c>
      <c r="BC270">
        <v>265</v>
      </c>
      <c r="BD270" t="s">
        <v>74</v>
      </c>
      <c r="BE270" t="s">
        <v>5667</v>
      </c>
      <c r="BF270" t="str">
        <f>HYPERLINK("http://dx.doi.org/10.1016/j.cretres.2018.01.004","http://dx.doi.org/10.1016/j.cretres.2018.01.004")</f>
        <v>http://dx.doi.org/10.1016/j.cretres.2018.01.004</v>
      </c>
      <c r="BG270" t="s">
        <v>74</v>
      </c>
      <c r="BH270" t="s">
        <v>74</v>
      </c>
      <c r="BI270">
        <v>16</v>
      </c>
      <c r="BJ270" t="s">
        <v>5668</v>
      </c>
      <c r="BK270" t="s">
        <v>101</v>
      </c>
      <c r="BL270" t="s">
        <v>5668</v>
      </c>
      <c r="BM270" t="s">
        <v>5669</v>
      </c>
      <c r="BN270" t="s">
        <v>74</v>
      </c>
      <c r="BO270" t="s">
        <v>980</v>
      </c>
      <c r="BP270" t="s">
        <v>74</v>
      </c>
      <c r="BQ270" t="s">
        <v>74</v>
      </c>
      <c r="BR270" t="s">
        <v>105</v>
      </c>
      <c r="BS270" t="s">
        <v>5670</v>
      </c>
      <c r="BT270" t="str">
        <f>HYPERLINK("https%3A%2F%2Fwww.webofscience.com%2Fwos%2Fwoscc%2Ffull-record%2FWOS:000429892000017","View Full Record in Web of Science")</f>
        <v>View Full Record in Web of Science</v>
      </c>
    </row>
    <row r="271" spans="1:72" x14ac:dyDescent="0.15">
      <c r="A271" t="s">
        <v>72</v>
      </c>
      <c r="B271" t="s">
        <v>5671</v>
      </c>
      <c r="C271" t="s">
        <v>74</v>
      </c>
      <c r="D271" t="s">
        <v>74</v>
      </c>
      <c r="E271" t="s">
        <v>74</v>
      </c>
      <c r="F271" t="s">
        <v>5672</v>
      </c>
      <c r="G271" t="s">
        <v>74</v>
      </c>
      <c r="H271" t="s">
        <v>74</v>
      </c>
      <c r="I271" t="s">
        <v>5673</v>
      </c>
      <c r="J271" t="s">
        <v>5674</v>
      </c>
      <c r="K271" t="s">
        <v>74</v>
      </c>
      <c r="L271" t="s">
        <v>74</v>
      </c>
      <c r="M271" t="s">
        <v>78</v>
      </c>
      <c r="N271" t="s">
        <v>79</v>
      </c>
      <c r="O271" t="s">
        <v>74</v>
      </c>
      <c r="P271" t="s">
        <v>74</v>
      </c>
      <c r="Q271" t="s">
        <v>74</v>
      </c>
      <c r="R271" t="s">
        <v>74</v>
      </c>
      <c r="S271" t="s">
        <v>74</v>
      </c>
      <c r="T271" t="s">
        <v>5675</v>
      </c>
      <c r="U271" t="s">
        <v>5676</v>
      </c>
      <c r="V271" t="s">
        <v>5677</v>
      </c>
      <c r="W271" t="s">
        <v>5678</v>
      </c>
      <c r="X271" t="s">
        <v>5679</v>
      </c>
      <c r="Y271" t="s">
        <v>5680</v>
      </c>
      <c r="Z271" t="s">
        <v>5681</v>
      </c>
      <c r="AA271" t="s">
        <v>74</v>
      </c>
      <c r="AB271" t="s">
        <v>5682</v>
      </c>
      <c r="AC271" t="s">
        <v>5683</v>
      </c>
      <c r="AD271" t="s">
        <v>5684</v>
      </c>
      <c r="AE271" t="s">
        <v>5685</v>
      </c>
      <c r="AF271" t="s">
        <v>74</v>
      </c>
      <c r="AG271">
        <v>24</v>
      </c>
      <c r="AH271">
        <v>7</v>
      </c>
      <c r="AI271">
        <v>8</v>
      </c>
      <c r="AJ271">
        <v>2</v>
      </c>
      <c r="AK271">
        <v>17</v>
      </c>
      <c r="AL271" t="s">
        <v>5686</v>
      </c>
      <c r="AM271" t="s">
        <v>5687</v>
      </c>
      <c r="AN271" t="s">
        <v>5688</v>
      </c>
      <c r="AO271" t="s">
        <v>5689</v>
      </c>
      <c r="AP271" t="s">
        <v>74</v>
      </c>
      <c r="AQ271" t="s">
        <v>74</v>
      </c>
      <c r="AR271" t="s">
        <v>5690</v>
      </c>
      <c r="AS271" t="s">
        <v>5691</v>
      </c>
      <c r="AT271" t="s">
        <v>3298</v>
      </c>
      <c r="AU271">
        <v>2018</v>
      </c>
      <c r="AV271">
        <v>9</v>
      </c>
      <c r="AW271">
        <v>3</v>
      </c>
      <c r="AX271" t="s">
        <v>74</v>
      </c>
      <c r="AY271" t="s">
        <v>74</v>
      </c>
      <c r="AZ271" t="s">
        <v>508</v>
      </c>
      <c r="BA271" t="s">
        <v>74</v>
      </c>
      <c r="BB271">
        <v>955</v>
      </c>
      <c r="BC271">
        <v>963</v>
      </c>
      <c r="BD271" t="s">
        <v>74</v>
      </c>
      <c r="BE271" t="s">
        <v>5692</v>
      </c>
      <c r="BF271" t="str">
        <f>HYPERLINK("http://dx.doi.org/10.1016/j.gsf.2017.09.007","http://dx.doi.org/10.1016/j.gsf.2017.09.007")</f>
        <v>http://dx.doi.org/10.1016/j.gsf.2017.09.007</v>
      </c>
      <c r="BG271" t="s">
        <v>74</v>
      </c>
      <c r="BH271" t="s">
        <v>74</v>
      </c>
      <c r="BI271">
        <v>9</v>
      </c>
      <c r="BJ271" t="s">
        <v>1243</v>
      </c>
      <c r="BK271" t="s">
        <v>101</v>
      </c>
      <c r="BL271" t="s">
        <v>1181</v>
      </c>
      <c r="BM271" t="s">
        <v>5693</v>
      </c>
      <c r="BN271" t="s">
        <v>74</v>
      </c>
      <c r="BO271" t="s">
        <v>133</v>
      </c>
      <c r="BP271" t="s">
        <v>74</v>
      </c>
      <c r="BQ271" t="s">
        <v>74</v>
      </c>
      <c r="BR271" t="s">
        <v>105</v>
      </c>
      <c r="BS271" t="s">
        <v>5694</v>
      </c>
      <c r="BT271" t="str">
        <f>HYPERLINK("https%3A%2F%2Fwww.webofscience.com%2Fwos%2Fwoscc%2Ffull-record%2FWOS:000430087400017","View Full Record in Web of Science")</f>
        <v>View Full Record in Web of Science</v>
      </c>
    </row>
    <row r="272" spans="1:72" x14ac:dyDescent="0.15">
      <c r="A272" t="s">
        <v>72</v>
      </c>
      <c r="B272" t="s">
        <v>5695</v>
      </c>
      <c r="C272" t="s">
        <v>74</v>
      </c>
      <c r="D272" t="s">
        <v>74</v>
      </c>
      <c r="E272" t="s">
        <v>74</v>
      </c>
      <c r="F272" t="s">
        <v>5696</v>
      </c>
      <c r="G272" t="s">
        <v>74</v>
      </c>
      <c r="H272" t="s">
        <v>74</v>
      </c>
      <c r="I272" t="s">
        <v>5697</v>
      </c>
      <c r="J272" t="s">
        <v>5698</v>
      </c>
      <c r="K272" t="s">
        <v>74</v>
      </c>
      <c r="L272" t="s">
        <v>74</v>
      </c>
      <c r="M272" t="s">
        <v>78</v>
      </c>
      <c r="N272" t="s">
        <v>79</v>
      </c>
      <c r="O272" t="s">
        <v>74</v>
      </c>
      <c r="P272" t="s">
        <v>74</v>
      </c>
      <c r="Q272" t="s">
        <v>74</v>
      </c>
      <c r="R272" t="s">
        <v>74</v>
      </c>
      <c r="S272" t="s">
        <v>74</v>
      </c>
      <c r="T272" t="s">
        <v>5699</v>
      </c>
      <c r="U272" t="s">
        <v>5700</v>
      </c>
      <c r="V272" t="s">
        <v>5701</v>
      </c>
      <c r="W272" t="s">
        <v>5702</v>
      </c>
      <c r="X272" t="s">
        <v>5703</v>
      </c>
      <c r="Y272" t="s">
        <v>5704</v>
      </c>
      <c r="Z272" t="s">
        <v>5705</v>
      </c>
      <c r="AA272" t="s">
        <v>5706</v>
      </c>
      <c r="AB272" t="s">
        <v>5707</v>
      </c>
      <c r="AC272" t="s">
        <v>5708</v>
      </c>
      <c r="AD272" t="s">
        <v>5709</v>
      </c>
      <c r="AE272" t="s">
        <v>5710</v>
      </c>
      <c r="AF272" t="s">
        <v>74</v>
      </c>
      <c r="AG272">
        <v>75</v>
      </c>
      <c r="AH272">
        <v>13</v>
      </c>
      <c r="AI272">
        <v>16</v>
      </c>
      <c r="AJ272">
        <v>1</v>
      </c>
      <c r="AK272">
        <v>30</v>
      </c>
      <c r="AL272" t="s">
        <v>179</v>
      </c>
      <c r="AM272" t="s">
        <v>180</v>
      </c>
      <c r="AN272" t="s">
        <v>181</v>
      </c>
      <c r="AO272" t="s">
        <v>5711</v>
      </c>
      <c r="AP272" t="s">
        <v>5712</v>
      </c>
      <c r="AQ272" t="s">
        <v>74</v>
      </c>
      <c r="AR272" t="s">
        <v>5713</v>
      </c>
      <c r="AS272" t="s">
        <v>5714</v>
      </c>
      <c r="AT272" t="s">
        <v>3298</v>
      </c>
      <c r="AU272">
        <v>2018</v>
      </c>
      <c r="AV272">
        <v>87</v>
      </c>
      <c r="AW272">
        <v>3</v>
      </c>
      <c r="AX272" t="s">
        <v>74</v>
      </c>
      <c r="AY272" t="s">
        <v>74</v>
      </c>
      <c r="AZ272" t="s">
        <v>74</v>
      </c>
      <c r="BA272" t="s">
        <v>74</v>
      </c>
      <c r="BB272">
        <v>682</v>
      </c>
      <c r="BC272">
        <v>690</v>
      </c>
      <c r="BD272" t="s">
        <v>74</v>
      </c>
      <c r="BE272" t="s">
        <v>5715</v>
      </c>
      <c r="BF272" t="str">
        <f>HYPERLINK("http://dx.doi.org/10.1111/1365-2656.12790","http://dx.doi.org/10.1111/1365-2656.12790")</f>
        <v>http://dx.doi.org/10.1111/1365-2656.12790</v>
      </c>
      <c r="BG272" t="s">
        <v>74</v>
      </c>
      <c r="BH272" t="s">
        <v>74</v>
      </c>
      <c r="BI272">
        <v>9</v>
      </c>
      <c r="BJ272" t="s">
        <v>5716</v>
      </c>
      <c r="BK272" t="s">
        <v>101</v>
      </c>
      <c r="BL272" t="s">
        <v>5717</v>
      </c>
      <c r="BM272" t="s">
        <v>5718</v>
      </c>
      <c r="BN272">
        <v>29277890</v>
      </c>
      <c r="BO272" t="s">
        <v>5719</v>
      </c>
      <c r="BP272" t="s">
        <v>74</v>
      </c>
      <c r="BQ272" t="s">
        <v>74</v>
      </c>
      <c r="BR272" t="s">
        <v>105</v>
      </c>
      <c r="BS272" t="s">
        <v>5720</v>
      </c>
      <c r="BT272" t="str">
        <f>HYPERLINK("https%3A%2F%2Fwww.webofscience.com%2Fwos%2Fwoscc%2Ffull-record%2FWOS:000430059900014","View Full Record in Web of Science")</f>
        <v>View Full Record in Web of Science</v>
      </c>
    </row>
    <row r="273" spans="1:72" x14ac:dyDescent="0.15">
      <c r="A273" t="s">
        <v>72</v>
      </c>
      <c r="B273" t="s">
        <v>5721</v>
      </c>
      <c r="C273" t="s">
        <v>74</v>
      </c>
      <c r="D273" t="s">
        <v>74</v>
      </c>
      <c r="E273" t="s">
        <v>74</v>
      </c>
      <c r="F273" t="s">
        <v>5722</v>
      </c>
      <c r="G273" t="s">
        <v>74</v>
      </c>
      <c r="H273" t="s">
        <v>74</v>
      </c>
      <c r="I273" t="s">
        <v>5723</v>
      </c>
      <c r="J273" t="s">
        <v>5724</v>
      </c>
      <c r="K273" t="s">
        <v>74</v>
      </c>
      <c r="L273" t="s">
        <v>74</v>
      </c>
      <c r="M273" t="s">
        <v>78</v>
      </c>
      <c r="N273" t="s">
        <v>79</v>
      </c>
      <c r="O273" t="s">
        <v>74</v>
      </c>
      <c r="P273" t="s">
        <v>74</v>
      </c>
      <c r="Q273" t="s">
        <v>74</v>
      </c>
      <c r="R273" t="s">
        <v>74</v>
      </c>
      <c r="S273" t="s">
        <v>74</v>
      </c>
      <c r="T273" t="s">
        <v>5725</v>
      </c>
      <c r="U273" t="s">
        <v>5726</v>
      </c>
      <c r="V273" t="s">
        <v>5727</v>
      </c>
      <c r="W273" t="s">
        <v>5728</v>
      </c>
      <c r="X273" t="s">
        <v>5729</v>
      </c>
      <c r="Y273" t="s">
        <v>5730</v>
      </c>
      <c r="Z273" t="s">
        <v>5731</v>
      </c>
      <c r="AA273" t="s">
        <v>5732</v>
      </c>
      <c r="AB273" t="s">
        <v>5733</v>
      </c>
      <c r="AC273" t="s">
        <v>5734</v>
      </c>
      <c r="AD273" t="s">
        <v>5735</v>
      </c>
      <c r="AE273" t="s">
        <v>5736</v>
      </c>
      <c r="AF273" t="s">
        <v>74</v>
      </c>
      <c r="AG273">
        <v>95</v>
      </c>
      <c r="AH273">
        <v>13</v>
      </c>
      <c r="AI273">
        <v>13</v>
      </c>
      <c r="AJ273">
        <v>1</v>
      </c>
      <c r="AK273">
        <v>12</v>
      </c>
      <c r="AL273" t="s">
        <v>914</v>
      </c>
      <c r="AM273" t="s">
        <v>452</v>
      </c>
      <c r="AN273" t="s">
        <v>915</v>
      </c>
      <c r="AO273" t="s">
        <v>5737</v>
      </c>
      <c r="AP273" t="s">
        <v>5738</v>
      </c>
      <c r="AQ273" t="s">
        <v>74</v>
      </c>
      <c r="AR273" t="s">
        <v>5739</v>
      </c>
      <c r="AS273" t="s">
        <v>5740</v>
      </c>
      <c r="AT273" t="s">
        <v>3556</v>
      </c>
      <c r="AU273">
        <v>2018</v>
      </c>
      <c r="AV273">
        <v>399</v>
      </c>
      <c r="AW273" t="s">
        <v>74</v>
      </c>
      <c r="AX273" t="s">
        <v>74</v>
      </c>
      <c r="AY273" t="s">
        <v>74</v>
      </c>
      <c r="AZ273" t="s">
        <v>74</v>
      </c>
      <c r="BA273" t="s">
        <v>74</v>
      </c>
      <c r="BB273">
        <v>158</v>
      </c>
      <c r="BC273">
        <v>169</v>
      </c>
      <c r="BD273" t="s">
        <v>74</v>
      </c>
      <c r="BE273" t="s">
        <v>5741</v>
      </c>
      <c r="BF273" t="str">
        <f>HYPERLINK("http://dx.doi.org/10.1016/j.margeo.2018.02.011","http://dx.doi.org/10.1016/j.margeo.2018.02.011")</f>
        <v>http://dx.doi.org/10.1016/j.margeo.2018.02.011</v>
      </c>
      <c r="BG273" t="s">
        <v>74</v>
      </c>
      <c r="BH273" t="s">
        <v>74</v>
      </c>
      <c r="BI273">
        <v>12</v>
      </c>
      <c r="BJ273" t="s">
        <v>5742</v>
      </c>
      <c r="BK273" t="s">
        <v>101</v>
      </c>
      <c r="BL273" t="s">
        <v>5743</v>
      </c>
      <c r="BM273" t="s">
        <v>5744</v>
      </c>
      <c r="BN273" t="s">
        <v>74</v>
      </c>
      <c r="BO273" t="s">
        <v>5745</v>
      </c>
      <c r="BP273" t="s">
        <v>74</v>
      </c>
      <c r="BQ273" t="s">
        <v>74</v>
      </c>
      <c r="BR273" t="s">
        <v>105</v>
      </c>
      <c r="BS273" t="s">
        <v>5746</v>
      </c>
      <c r="BT273" t="str">
        <f>HYPERLINK("https%3A%2F%2Fwww.webofscience.com%2Fwos%2Fwoscc%2Ffull-record%2FWOS:000430033300012","View Full Record in Web of Science")</f>
        <v>View Full Record in Web of Science</v>
      </c>
    </row>
    <row r="274" spans="1:72" x14ac:dyDescent="0.15">
      <c r="A274" t="s">
        <v>72</v>
      </c>
      <c r="B274" t="s">
        <v>5747</v>
      </c>
      <c r="C274" t="s">
        <v>74</v>
      </c>
      <c r="D274" t="s">
        <v>74</v>
      </c>
      <c r="E274" t="s">
        <v>74</v>
      </c>
      <c r="F274" t="s">
        <v>5748</v>
      </c>
      <c r="G274" t="s">
        <v>74</v>
      </c>
      <c r="H274" t="s">
        <v>74</v>
      </c>
      <c r="I274" t="s">
        <v>5749</v>
      </c>
      <c r="J274" t="s">
        <v>5724</v>
      </c>
      <c r="K274" t="s">
        <v>74</v>
      </c>
      <c r="L274" t="s">
        <v>74</v>
      </c>
      <c r="M274" t="s">
        <v>78</v>
      </c>
      <c r="N274" t="s">
        <v>79</v>
      </c>
      <c r="O274" t="s">
        <v>74</v>
      </c>
      <c r="P274" t="s">
        <v>74</v>
      </c>
      <c r="Q274" t="s">
        <v>74</v>
      </c>
      <c r="R274" t="s">
        <v>74</v>
      </c>
      <c r="S274" t="s">
        <v>74</v>
      </c>
      <c r="T274" t="s">
        <v>5750</v>
      </c>
      <c r="U274" t="s">
        <v>5751</v>
      </c>
      <c r="V274" t="s">
        <v>5752</v>
      </c>
      <c r="W274" t="s">
        <v>5753</v>
      </c>
      <c r="X274" t="s">
        <v>5754</v>
      </c>
      <c r="Y274" t="s">
        <v>5755</v>
      </c>
      <c r="Z274" t="s">
        <v>74</v>
      </c>
      <c r="AA274" t="s">
        <v>5756</v>
      </c>
      <c r="AB274" t="s">
        <v>5757</v>
      </c>
      <c r="AC274" t="s">
        <v>5758</v>
      </c>
      <c r="AD274" t="s">
        <v>5759</v>
      </c>
      <c r="AE274" t="s">
        <v>5760</v>
      </c>
      <c r="AF274" t="s">
        <v>74</v>
      </c>
      <c r="AG274">
        <v>81</v>
      </c>
      <c r="AH274">
        <v>13</v>
      </c>
      <c r="AI274">
        <v>16</v>
      </c>
      <c r="AJ274">
        <v>0</v>
      </c>
      <c r="AK274">
        <v>14</v>
      </c>
      <c r="AL274" t="s">
        <v>451</v>
      </c>
      <c r="AM274" t="s">
        <v>452</v>
      </c>
      <c r="AN274" t="s">
        <v>453</v>
      </c>
      <c r="AO274" t="s">
        <v>5737</v>
      </c>
      <c r="AP274" t="s">
        <v>5738</v>
      </c>
      <c r="AQ274" t="s">
        <v>74</v>
      </c>
      <c r="AR274" t="s">
        <v>5739</v>
      </c>
      <c r="AS274" t="s">
        <v>5740</v>
      </c>
      <c r="AT274" t="s">
        <v>3556</v>
      </c>
      <c r="AU274">
        <v>2018</v>
      </c>
      <c r="AV274">
        <v>399</v>
      </c>
      <c r="AW274" t="s">
        <v>74</v>
      </c>
      <c r="AX274" t="s">
        <v>74</v>
      </c>
      <c r="AY274" t="s">
        <v>74</v>
      </c>
      <c r="AZ274" t="s">
        <v>74</v>
      </c>
      <c r="BA274" t="s">
        <v>74</v>
      </c>
      <c r="BB274">
        <v>170</v>
      </c>
      <c r="BC274">
        <v>187</v>
      </c>
      <c r="BD274" t="s">
        <v>74</v>
      </c>
      <c r="BE274" t="s">
        <v>5761</v>
      </c>
      <c r="BF274" t="str">
        <f>HYPERLINK("http://dx.doi.org/10.1016/j.margeo.2018.02.010","http://dx.doi.org/10.1016/j.margeo.2018.02.010")</f>
        <v>http://dx.doi.org/10.1016/j.margeo.2018.02.010</v>
      </c>
      <c r="BG274" t="s">
        <v>74</v>
      </c>
      <c r="BH274" t="s">
        <v>74</v>
      </c>
      <c r="BI274">
        <v>18</v>
      </c>
      <c r="BJ274" t="s">
        <v>5742</v>
      </c>
      <c r="BK274" t="s">
        <v>101</v>
      </c>
      <c r="BL274" t="s">
        <v>5743</v>
      </c>
      <c r="BM274" t="s">
        <v>5744</v>
      </c>
      <c r="BN274" t="s">
        <v>74</v>
      </c>
      <c r="BO274" t="s">
        <v>74</v>
      </c>
      <c r="BP274" t="s">
        <v>74</v>
      </c>
      <c r="BQ274" t="s">
        <v>74</v>
      </c>
      <c r="BR274" t="s">
        <v>105</v>
      </c>
      <c r="BS274" t="s">
        <v>5762</v>
      </c>
      <c r="BT274" t="str">
        <f>HYPERLINK("https%3A%2F%2Fwww.webofscience.com%2Fwos%2Fwoscc%2Ffull-record%2FWOS:000430033300013","View Full Record in Web of Science")</f>
        <v>View Full Record in Web of Science</v>
      </c>
    </row>
    <row r="275" spans="1:72" x14ac:dyDescent="0.15">
      <c r="A275" t="s">
        <v>72</v>
      </c>
      <c r="B275" t="s">
        <v>5763</v>
      </c>
      <c r="C275" t="s">
        <v>74</v>
      </c>
      <c r="D275" t="s">
        <v>74</v>
      </c>
      <c r="E275" t="s">
        <v>74</v>
      </c>
      <c r="F275" t="s">
        <v>5764</v>
      </c>
      <c r="G275" t="s">
        <v>74</v>
      </c>
      <c r="H275" t="s">
        <v>74</v>
      </c>
      <c r="I275" t="s">
        <v>5765</v>
      </c>
      <c r="J275" t="s">
        <v>5766</v>
      </c>
      <c r="K275" t="s">
        <v>74</v>
      </c>
      <c r="L275" t="s">
        <v>74</v>
      </c>
      <c r="M275" t="s">
        <v>78</v>
      </c>
      <c r="N275" t="s">
        <v>79</v>
      </c>
      <c r="O275" t="s">
        <v>74</v>
      </c>
      <c r="P275" t="s">
        <v>74</v>
      </c>
      <c r="Q275" t="s">
        <v>74</v>
      </c>
      <c r="R275" t="s">
        <v>74</v>
      </c>
      <c r="S275" t="s">
        <v>74</v>
      </c>
      <c r="T275" t="s">
        <v>74</v>
      </c>
      <c r="U275" t="s">
        <v>5767</v>
      </c>
      <c r="V275" t="s">
        <v>5768</v>
      </c>
      <c r="W275" t="s">
        <v>5769</v>
      </c>
      <c r="X275" t="s">
        <v>5770</v>
      </c>
      <c r="Y275" t="s">
        <v>5771</v>
      </c>
      <c r="Z275" t="s">
        <v>5772</v>
      </c>
      <c r="AA275" t="s">
        <v>5773</v>
      </c>
      <c r="AB275" t="s">
        <v>5774</v>
      </c>
      <c r="AC275" t="s">
        <v>5775</v>
      </c>
      <c r="AD275" t="s">
        <v>5775</v>
      </c>
      <c r="AE275" t="s">
        <v>5776</v>
      </c>
      <c r="AF275" t="s">
        <v>74</v>
      </c>
      <c r="AG275">
        <v>100</v>
      </c>
      <c r="AH275">
        <v>34</v>
      </c>
      <c r="AI275">
        <v>36</v>
      </c>
      <c r="AJ275">
        <v>0</v>
      </c>
      <c r="AK275">
        <v>31</v>
      </c>
      <c r="AL275" t="s">
        <v>5777</v>
      </c>
      <c r="AM275" t="s">
        <v>1540</v>
      </c>
      <c r="AN275" t="s">
        <v>5778</v>
      </c>
      <c r="AO275" t="s">
        <v>5779</v>
      </c>
      <c r="AP275" t="s">
        <v>5780</v>
      </c>
      <c r="AQ275" t="s">
        <v>74</v>
      </c>
      <c r="AR275" t="s">
        <v>5766</v>
      </c>
      <c r="AS275" t="s">
        <v>5781</v>
      </c>
      <c r="AT275" t="s">
        <v>3298</v>
      </c>
      <c r="AU275">
        <v>2018</v>
      </c>
      <c r="AV275">
        <v>120</v>
      </c>
      <c r="AW275">
        <v>5</v>
      </c>
      <c r="AX275" t="s">
        <v>74</v>
      </c>
      <c r="AY275" t="s">
        <v>74</v>
      </c>
      <c r="AZ275" t="s">
        <v>74</v>
      </c>
      <c r="BA275" t="s">
        <v>74</v>
      </c>
      <c r="BB275">
        <v>407</v>
      </c>
      <c r="BC275">
        <v>421</v>
      </c>
      <c r="BD275" t="s">
        <v>74</v>
      </c>
      <c r="BE275" t="s">
        <v>5782</v>
      </c>
      <c r="BF275" t="str">
        <f>HYPERLINK("http://dx.doi.org/10.1038/s41437-017-0025-2","http://dx.doi.org/10.1038/s41437-017-0025-2")</f>
        <v>http://dx.doi.org/10.1038/s41437-017-0025-2</v>
      </c>
      <c r="BG275" t="s">
        <v>74</v>
      </c>
      <c r="BH275" t="s">
        <v>74</v>
      </c>
      <c r="BI275">
        <v>15</v>
      </c>
      <c r="BJ275" t="s">
        <v>5783</v>
      </c>
      <c r="BK275" t="s">
        <v>101</v>
      </c>
      <c r="BL275" t="s">
        <v>5784</v>
      </c>
      <c r="BM275" t="s">
        <v>5785</v>
      </c>
      <c r="BN275">
        <v>29321624</v>
      </c>
      <c r="BO275" t="s">
        <v>4167</v>
      </c>
      <c r="BP275" t="s">
        <v>74</v>
      </c>
      <c r="BQ275" t="s">
        <v>74</v>
      </c>
      <c r="BR275" t="s">
        <v>105</v>
      </c>
      <c r="BS275" t="s">
        <v>5786</v>
      </c>
      <c r="BT275" t="str">
        <f>HYPERLINK("https%3A%2F%2Fwww.webofscience.com%2Fwos%2Fwoscc%2Ffull-record%2FWOS:000429405100004","View Full Record in Web of Science")</f>
        <v>View Full Record in Web of Science</v>
      </c>
    </row>
    <row r="276" spans="1:72" x14ac:dyDescent="0.15">
      <c r="A276" t="s">
        <v>72</v>
      </c>
      <c r="B276" t="s">
        <v>5787</v>
      </c>
      <c r="C276" t="s">
        <v>74</v>
      </c>
      <c r="D276" t="s">
        <v>74</v>
      </c>
      <c r="E276" t="s">
        <v>74</v>
      </c>
      <c r="F276" t="s">
        <v>5788</v>
      </c>
      <c r="G276" t="s">
        <v>74</v>
      </c>
      <c r="H276" t="s">
        <v>74</v>
      </c>
      <c r="I276" t="s">
        <v>5789</v>
      </c>
      <c r="J276" t="s">
        <v>700</v>
      </c>
      <c r="K276" t="s">
        <v>74</v>
      </c>
      <c r="L276" t="s">
        <v>74</v>
      </c>
      <c r="M276" t="s">
        <v>78</v>
      </c>
      <c r="N276" t="s">
        <v>79</v>
      </c>
      <c r="O276" t="s">
        <v>74</v>
      </c>
      <c r="P276" t="s">
        <v>74</v>
      </c>
      <c r="Q276" t="s">
        <v>74</v>
      </c>
      <c r="R276" t="s">
        <v>74</v>
      </c>
      <c r="S276" t="s">
        <v>74</v>
      </c>
      <c r="T276" t="s">
        <v>74</v>
      </c>
      <c r="U276" t="s">
        <v>5790</v>
      </c>
      <c r="V276" t="s">
        <v>5791</v>
      </c>
      <c r="W276" t="s">
        <v>5792</v>
      </c>
      <c r="X276" t="s">
        <v>5793</v>
      </c>
      <c r="Y276" t="s">
        <v>5794</v>
      </c>
      <c r="Z276" t="s">
        <v>5795</v>
      </c>
      <c r="AA276" t="s">
        <v>5796</v>
      </c>
      <c r="AB276" t="s">
        <v>5797</v>
      </c>
      <c r="AC276" t="s">
        <v>5798</v>
      </c>
      <c r="AD276" t="s">
        <v>5799</v>
      </c>
      <c r="AE276" t="s">
        <v>5800</v>
      </c>
      <c r="AF276" t="s">
        <v>74</v>
      </c>
      <c r="AG276">
        <v>62</v>
      </c>
      <c r="AH276">
        <v>1</v>
      </c>
      <c r="AI276">
        <v>1</v>
      </c>
      <c r="AJ276">
        <v>0</v>
      </c>
      <c r="AK276">
        <v>19</v>
      </c>
      <c r="AL276" t="s">
        <v>425</v>
      </c>
      <c r="AM276" t="s">
        <v>278</v>
      </c>
      <c r="AN276" t="s">
        <v>426</v>
      </c>
      <c r="AO276" t="s">
        <v>713</v>
      </c>
      <c r="AP276" t="s">
        <v>714</v>
      </c>
      <c r="AQ276" t="s">
        <v>74</v>
      </c>
      <c r="AR276" t="s">
        <v>715</v>
      </c>
      <c r="AS276" t="s">
        <v>716</v>
      </c>
      <c r="AT276" t="s">
        <v>3298</v>
      </c>
      <c r="AU276">
        <v>2018</v>
      </c>
      <c r="AV276">
        <v>91</v>
      </c>
      <c r="AW276" t="s">
        <v>74</v>
      </c>
      <c r="AX276" t="s">
        <v>74</v>
      </c>
      <c r="AY276" t="s">
        <v>74</v>
      </c>
      <c r="AZ276" t="s">
        <v>74</v>
      </c>
      <c r="BA276" t="s">
        <v>74</v>
      </c>
      <c r="BB276">
        <v>22</v>
      </c>
      <c r="BC276">
        <v>33</v>
      </c>
      <c r="BD276" t="s">
        <v>74</v>
      </c>
      <c r="BE276" t="s">
        <v>5801</v>
      </c>
      <c r="BF276" t="str">
        <f>HYPERLINK("http://dx.doi.org/10.1016/j.marpol.2018.01.032","http://dx.doi.org/10.1016/j.marpol.2018.01.032")</f>
        <v>http://dx.doi.org/10.1016/j.marpol.2018.01.032</v>
      </c>
      <c r="BG276" t="s">
        <v>74</v>
      </c>
      <c r="BH276" t="s">
        <v>74</v>
      </c>
      <c r="BI276">
        <v>12</v>
      </c>
      <c r="BJ276" t="s">
        <v>718</v>
      </c>
      <c r="BK276" t="s">
        <v>719</v>
      </c>
      <c r="BL276" t="s">
        <v>720</v>
      </c>
      <c r="BM276" t="s">
        <v>5802</v>
      </c>
      <c r="BN276" t="s">
        <v>74</v>
      </c>
      <c r="BO276" t="s">
        <v>1085</v>
      </c>
      <c r="BP276" t="s">
        <v>74</v>
      </c>
      <c r="BQ276" t="s">
        <v>74</v>
      </c>
      <c r="BR276" t="s">
        <v>105</v>
      </c>
      <c r="BS276" t="s">
        <v>5803</v>
      </c>
      <c r="BT276" t="str">
        <f>HYPERLINK("https%3A%2F%2Fwww.webofscience.com%2Fwos%2Fwoscc%2Ffull-record%2FWOS:000429393500004","View Full Record in Web of Science")</f>
        <v>View Full Record in Web of Science</v>
      </c>
    </row>
    <row r="277" spans="1:72" x14ac:dyDescent="0.15">
      <c r="A277" t="s">
        <v>72</v>
      </c>
      <c r="B277" t="s">
        <v>5804</v>
      </c>
      <c r="C277" t="s">
        <v>74</v>
      </c>
      <c r="D277" t="s">
        <v>74</v>
      </c>
      <c r="E277" t="s">
        <v>74</v>
      </c>
      <c r="F277" t="s">
        <v>5805</v>
      </c>
      <c r="G277" t="s">
        <v>74</v>
      </c>
      <c r="H277" t="s">
        <v>74</v>
      </c>
      <c r="I277" t="s">
        <v>5806</v>
      </c>
      <c r="J277" t="s">
        <v>516</v>
      </c>
      <c r="K277" t="s">
        <v>74</v>
      </c>
      <c r="L277" t="s">
        <v>74</v>
      </c>
      <c r="M277" t="s">
        <v>78</v>
      </c>
      <c r="N277" t="s">
        <v>79</v>
      </c>
      <c r="O277" t="s">
        <v>74</v>
      </c>
      <c r="P277" t="s">
        <v>74</v>
      </c>
      <c r="Q277" t="s">
        <v>74</v>
      </c>
      <c r="R277" t="s">
        <v>74</v>
      </c>
      <c r="S277" t="s">
        <v>74</v>
      </c>
      <c r="T277" t="s">
        <v>5807</v>
      </c>
      <c r="U277" t="s">
        <v>5808</v>
      </c>
      <c r="V277" t="s">
        <v>5809</v>
      </c>
      <c r="W277" t="s">
        <v>5810</v>
      </c>
      <c r="X277" t="s">
        <v>5811</v>
      </c>
      <c r="Y277" t="s">
        <v>5812</v>
      </c>
      <c r="Z277" t="s">
        <v>5813</v>
      </c>
      <c r="AA277" t="s">
        <v>5814</v>
      </c>
      <c r="AB277" t="s">
        <v>5815</v>
      </c>
      <c r="AC277" t="s">
        <v>5816</v>
      </c>
      <c r="AD277" t="s">
        <v>5817</v>
      </c>
      <c r="AE277" t="s">
        <v>5818</v>
      </c>
      <c r="AF277" t="s">
        <v>74</v>
      </c>
      <c r="AG277">
        <v>140</v>
      </c>
      <c r="AH277">
        <v>17</v>
      </c>
      <c r="AI277">
        <v>17</v>
      </c>
      <c r="AJ277">
        <v>1</v>
      </c>
      <c r="AK277">
        <v>32</v>
      </c>
      <c r="AL277" t="s">
        <v>179</v>
      </c>
      <c r="AM277" t="s">
        <v>180</v>
      </c>
      <c r="AN277" t="s">
        <v>181</v>
      </c>
      <c r="AO277" t="s">
        <v>529</v>
      </c>
      <c r="AP277" t="s">
        <v>530</v>
      </c>
      <c r="AQ277" t="s">
        <v>74</v>
      </c>
      <c r="AR277" t="s">
        <v>531</v>
      </c>
      <c r="AS277" t="s">
        <v>532</v>
      </c>
      <c r="AT277" t="s">
        <v>3298</v>
      </c>
      <c r="AU277">
        <v>2018</v>
      </c>
      <c r="AV277">
        <v>24</v>
      </c>
      <c r="AW277">
        <v>5</v>
      </c>
      <c r="AX277" t="s">
        <v>74</v>
      </c>
      <c r="AY277" t="s">
        <v>74</v>
      </c>
      <c r="AZ277" t="s">
        <v>74</v>
      </c>
      <c r="BA277" t="s">
        <v>74</v>
      </c>
      <c r="BB277">
        <v>2182</v>
      </c>
      <c r="BC277">
        <v>2197</v>
      </c>
      <c r="BD277" t="s">
        <v>74</v>
      </c>
      <c r="BE277" t="s">
        <v>5819</v>
      </c>
      <c r="BF277" t="str">
        <f>HYPERLINK("http://dx.doi.org/10.1111/gcb.14042","http://dx.doi.org/10.1111/gcb.14042")</f>
        <v>http://dx.doi.org/10.1111/gcb.14042</v>
      </c>
      <c r="BG277" t="s">
        <v>74</v>
      </c>
      <c r="BH277" t="s">
        <v>74</v>
      </c>
      <c r="BI277">
        <v>16</v>
      </c>
      <c r="BJ277" t="s">
        <v>534</v>
      </c>
      <c r="BK277" t="s">
        <v>101</v>
      </c>
      <c r="BL277" t="s">
        <v>102</v>
      </c>
      <c r="BM277" t="s">
        <v>5820</v>
      </c>
      <c r="BN277">
        <v>29322639</v>
      </c>
      <c r="BO277" t="s">
        <v>5821</v>
      </c>
      <c r="BP277" t="s">
        <v>74</v>
      </c>
      <c r="BQ277" t="s">
        <v>74</v>
      </c>
      <c r="BR277" t="s">
        <v>105</v>
      </c>
      <c r="BS277" t="s">
        <v>5822</v>
      </c>
      <c r="BT277" t="str">
        <f>HYPERLINK("https%3A%2F%2Fwww.webofscience.com%2Fwos%2Fwoscc%2Ffull-record%2FWOS:000428879800028","View Full Record in Web of Science")</f>
        <v>View Full Record in Web of Science</v>
      </c>
    </row>
    <row r="278" spans="1:72" x14ac:dyDescent="0.15">
      <c r="A278" t="s">
        <v>72</v>
      </c>
      <c r="B278" t="s">
        <v>5823</v>
      </c>
      <c r="C278" t="s">
        <v>74</v>
      </c>
      <c r="D278" t="s">
        <v>74</v>
      </c>
      <c r="E278" t="s">
        <v>74</v>
      </c>
      <c r="F278" t="s">
        <v>5824</v>
      </c>
      <c r="G278" t="s">
        <v>74</v>
      </c>
      <c r="H278" t="s">
        <v>74</v>
      </c>
      <c r="I278" t="s">
        <v>5825</v>
      </c>
      <c r="J278" t="s">
        <v>1297</v>
      </c>
      <c r="K278" t="s">
        <v>74</v>
      </c>
      <c r="L278" t="s">
        <v>74</v>
      </c>
      <c r="M278" t="s">
        <v>78</v>
      </c>
      <c r="N278" t="s">
        <v>79</v>
      </c>
      <c r="O278" t="s">
        <v>74</v>
      </c>
      <c r="P278" t="s">
        <v>74</v>
      </c>
      <c r="Q278" t="s">
        <v>74</v>
      </c>
      <c r="R278" t="s">
        <v>74</v>
      </c>
      <c r="S278" t="s">
        <v>74</v>
      </c>
      <c r="T278" t="s">
        <v>5826</v>
      </c>
      <c r="U278" t="s">
        <v>5827</v>
      </c>
      <c r="V278" t="s">
        <v>5828</v>
      </c>
      <c r="W278" t="s">
        <v>5829</v>
      </c>
      <c r="X278" t="s">
        <v>5830</v>
      </c>
      <c r="Y278" t="s">
        <v>5831</v>
      </c>
      <c r="Z278" t="s">
        <v>5832</v>
      </c>
      <c r="AA278" t="s">
        <v>5833</v>
      </c>
      <c r="AB278" t="s">
        <v>5834</v>
      </c>
      <c r="AC278" t="s">
        <v>5835</v>
      </c>
      <c r="AD278" t="s">
        <v>5836</v>
      </c>
      <c r="AE278" t="s">
        <v>5837</v>
      </c>
      <c r="AF278" t="s">
        <v>74</v>
      </c>
      <c r="AG278">
        <v>42</v>
      </c>
      <c r="AH278">
        <v>14</v>
      </c>
      <c r="AI278">
        <v>14</v>
      </c>
      <c r="AJ278">
        <v>0</v>
      </c>
      <c r="AK278">
        <v>3</v>
      </c>
      <c r="AL278" t="s">
        <v>277</v>
      </c>
      <c r="AM278" t="s">
        <v>278</v>
      </c>
      <c r="AN278" t="s">
        <v>279</v>
      </c>
      <c r="AO278" t="s">
        <v>1310</v>
      </c>
      <c r="AP278" t="s">
        <v>1311</v>
      </c>
      <c r="AQ278" t="s">
        <v>74</v>
      </c>
      <c r="AR278" t="s">
        <v>1312</v>
      </c>
      <c r="AS278" t="s">
        <v>1313</v>
      </c>
      <c r="AT278" t="s">
        <v>3556</v>
      </c>
      <c r="AU278">
        <v>2018</v>
      </c>
      <c r="AV278">
        <v>228</v>
      </c>
      <c r="AW278" t="s">
        <v>74</v>
      </c>
      <c r="AX278" t="s">
        <v>74</v>
      </c>
      <c r="AY278" t="s">
        <v>74</v>
      </c>
      <c r="AZ278" t="s">
        <v>74</v>
      </c>
      <c r="BA278" t="s">
        <v>74</v>
      </c>
      <c r="BB278">
        <v>81</v>
      </c>
      <c r="BC278">
        <v>94</v>
      </c>
      <c r="BD278" t="s">
        <v>74</v>
      </c>
      <c r="BE278" t="s">
        <v>5838</v>
      </c>
      <c r="BF278" t="str">
        <f>HYPERLINK("http://dx.doi.org/10.1016/j.gca.2018.02.041","http://dx.doi.org/10.1016/j.gca.2018.02.041")</f>
        <v>http://dx.doi.org/10.1016/j.gca.2018.02.041</v>
      </c>
      <c r="BG278" t="s">
        <v>74</v>
      </c>
      <c r="BH278" t="s">
        <v>74</v>
      </c>
      <c r="BI278">
        <v>14</v>
      </c>
      <c r="BJ278" t="s">
        <v>260</v>
      </c>
      <c r="BK278" t="s">
        <v>101</v>
      </c>
      <c r="BL278" t="s">
        <v>260</v>
      </c>
      <c r="BM278" t="s">
        <v>5839</v>
      </c>
      <c r="BN278" t="s">
        <v>74</v>
      </c>
      <c r="BO278" t="s">
        <v>3371</v>
      </c>
      <c r="BP278" t="s">
        <v>74</v>
      </c>
      <c r="BQ278" t="s">
        <v>74</v>
      </c>
      <c r="BR278" t="s">
        <v>105</v>
      </c>
      <c r="BS278" t="s">
        <v>5840</v>
      </c>
      <c r="BT278" t="str">
        <f>HYPERLINK("https%3A%2F%2Fwww.webofscience.com%2Fwos%2Fwoscc%2Ffull-record%2FWOS:000428790200005","View Full Record in Web of Science")</f>
        <v>View Full Record in Web of Science</v>
      </c>
    </row>
    <row r="279" spans="1:72" x14ac:dyDescent="0.15">
      <c r="A279" t="s">
        <v>72</v>
      </c>
      <c r="B279" t="s">
        <v>5841</v>
      </c>
      <c r="C279" t="s">
        <v>74</v>
      </c>
      <c r="D279" t="s">
        <v>74</v>
      </c>
      <c r="E279" t="s">
        <v>74</v>
      </c>
      <c r="F279" t="s">
        <v>5842</v>
      </c>
      <c r="G279" t="s">
        <v>74</v>
      </c>
      <c r="H279" t="s">
        <v>74</v>
      </c>
      <c r="I279" t="s">
        <v>5843</v>
      </c>
      <c r="J279" t="s">
        <v>5204</v>
      </c>
      <c r="K279" t="s">
        <v>74</v>
      </c>
      <c r="L279" t="s">
        <v>74</v>
      </c>
      <c r="M279" t="s">
        <v>78</v>
      </c>
      <c r="N279" t="s">
        <v>79</v>
      </c>
      <c r="O279" t="s">
        <v>74</v>
      </c>
      <c r="P279" t="s">
        <v>74</v>
      </c>
      <c r="Q279" t="s">
        <v>74</v>
      </c>
      <c r="R279" t="s">
        <v>74</v>
      </c>
      <c r="S279" t="s">
        <v>74</v>
      </c>
      <c r="T279" t="s">
        <v>5844</v>
      </c>
      <c r="U279" t="s">
        <v>5845</v>
      </c>
      <c r="V279" t="s">
        <v>5846</v>
      </c>
      <c r="W279" t="s">
        <v>5847</v>
      </c>
      <c r="X279" t="s">
        <v>5848</v>
      </c>
      <c r="Y279" t="s">
        <v>5849</v>
      </c>
      <c r="Z279" t="s">
        <v>5850</v>
      </c>
      <c r="AA279" t="s">
        <v>5851</v>
      </c>
      <c r="AB279" t="s">
        <v>5852</v>
      </c>
      <c r="AC279" t="s">
        <v>5853</v>
      </c>
      <c r="AD279" t="s">
        <v>5854</v>
      </c>
      <c r="AE279" t="s">
        <v>5855</v>
      </c>
      <c r="AF279" t="s">
        <v>74</v>
      </c>
      <c r="AG279">
        <v>119</v>
      </c>
      <c r="AH279">
        <v>14</v>
      </c>
      <c r="AI279">
        <v>15</v>
      </c>
      <c r="AJ279">
        <v>1</v>
      </c>
      <c r="AK279">
        <v>42</v>
      </c>
      <c r="AL279" t="s">
        <v>5217</v>
      </c>
      <c r="AM279" t="s">
        <v>5218</v>
      </c>
      <c r="AN279" t="s">
        <v>5219</v>
      </c>
      <c r="AO279" t="s">
        <v>5220</v>
      </c>
      <c r="AP279" t="s">
        <v>5221</v>
      </c>
      <c r="AQ279" t="s">
        <v>74</v>
      </c>
      <c r="AR279" t="s">
        <v>5204</v>
      </c>
      <c r="AS279" t="s">
        <v>5222</v>
      </c>
      <c r="AT279" t="s">
        <v>3298</v>
      </c>
      <c r="AU279">
        <v>2018</v>
      </c>
      <c r="AV279">
        <v>22</v>
      </c>
      <c r="AW279">
        <v>3</v>
      </c>
      <c r="AX279" t="s">
        <v>74</v>
      </c>
      <c r="AY279" t="s">
        <v>74</v>
      </c>
      <c r="AZ279" t="s">
        <v>74</v>
      </c>
      <c r="BA279" t="s">
        <v>74</v>
      </c>
      <c r="BB279">
        <v>537</v>
      </c>
      <c r="BC279">
        <v>552</v>
      </c>
      <c r="BD279" t="s">
        <v>74</v>
      </c>
      <c r="BE279" t="s">
        <v>5856</v>
      </c>
      <c r="BF279" t="str">
        <f>HYPERLINK("http://dx.doi.org/10.1007/s00792-018-1015-x","http://dx.doi.org/10.1007/s00792-018-1015-x")</f>
        <v>http://dx.doi.org/10.1007/s00792-018-1015-x</v>
      </c>
      <c r="BG279" t="s">
        <v>74</v>
      </c>
      <c r="BH279" t="s">
        <v>74</v>
      </c>
      <c r="BI279">
        <v>16</v>
      </c>
      <c r="BJ279" t="s">
        <v>5224</v>
      </c>
      <c r="BK279" t="s">
        <v>101</v>
      </c>
      <c r="BL279" t="s">
        <v>5224</v>
      </c>
      <c r="BM279" t="s">
        <v>5225</v>
      </c>
      <c r="BN279">
        <v>29492666</v>
      </c>
      <c r="BO279" t="s">
        <v>74</v>
      </c>
      <c r="BP279" t="s">
        <v>74</v>
      </c>
      <c r="BQ279" t="s">
        <v>74</v>
      </c>
      <c r="BR279" t="s">
        <v>105</v>
      </c>
      <c r="BS279" t="s">
        <v>5857</v>
      </c>
      <c r="BT279" t="str">
        <f>HYPERLINK("https%3A%2F%2Fwww.webofscience.com%2Fwos%2Fwoscc%2Ffull-record%2FWOS:000428048800016","View Full Record in Web of Science")</f>
        <v>View Full Record in Web of Science</v>
      </c>
    </row>
    <row r="280" spans="1:72" x14ac:dyDescent="0.15">
      <c r="A280" t="s">
        <v>72</v>
      </c>
      <c r="B280" t="s">
        <v>5858</v>
      </c>
      <c r="C280" t="s">
        <v>74</v>
      </c>
      <c r="D280" t="s">
        <v>74</v>
      </c>
      <c r="E280" t="s">
        <v>74</v>
      </c>
      <c r="F280" t="s">
        <v>5859</v>
      </c>
      <c r="G280" t="s">
        <v>74</v>
      </c>
      <c r="H280" t="s">
        <v>74</v>
      </c>
      <c r="I280" t="s">
        <v>5860</v>
      </c>
      <c r="J280" t="s">
        <v>5861</v>
      </c>
      <c r="K280" t="s">
        <v>74</v>
      </c>
      <c r="L280" t="s">
        <v>74</v>
      </c>
      <c r="M280" t="s">
        <v>78</v>
      </c>
      <c r="N280" t="s">
        <v>79</v>
      </c>
      <c r="O280" t="s">
        <v>74</v>
      </c>
      <c r="P280" t="s">
        <v>74</v>
      </c>
      <c r="Q280" t="s">
        <v>74</v>
      </c>
      <c r="R280" t="s">
        <v>74</v>
      </c>
      <c r="S280" t="s">
        <v>74</v>
      </c>
      <c r="T280" t="s">
        <v>5862</v>
      </c>
      <c r="U280" t="s">
        <v>5863</v>
      </c>
      <c r="V280" t="s">
        <v>5864</v>
      </c>
      <c r="W280" t="s">
        <v>5865</v>
      </c>
      <c r="X280" t="s">
        <v>74</v>
      </c>
      <c r="Y280" t="s">
        <v>5866</v>
      </c>
      <c r="Z280" t="s">
        <v>5867</v>
      </c>
      <c r="AA280" t="s">
        <v>74</v>
      </c>
      <c r="AB280" t="s">
        <v>74</v>
      </c>
      <c r="AC280" t="s">
        <v>74</v>
      </c>
      <c r="AD280" t="s">
        <v>74</v>
      </c>
      <c r="AE280" t="s">
        <v>74</v>
      </c>
      <c r="AF280" t="s">
        <v>74</v>
      </c>
      <c r="AG280">
        <v>60</v>
      </c>
      <c r="AH280">
        <v>1</v>
      </c>
      <c r="AI280">
        <v>1</v>
      </c>
      <c r="AJ280">
        <v>0</v>
      </c>
      <c r="AK280">
        <v>21</v>
      </c>
      <c r="AL280" t="s">
        <v>451</v>
      </c>
      <c r="AM280" t="s">
        <v>452</v>
      </c>
      <c r="AN280" t="s">
        <v>453</v>
      </c>
      <c r="AO280" t="s">
        <v>5868</v>
      </c>
      <c r="AP280" t="s">
        <v>5869</v>
      </c>
      <c r="AQ280" t="s">
        <v>74</v>
      </c>
      <c r="AR280" t="s">
        <v>5870</v>
      </c>
      <c r="AS280" t="s">
        <v>5871</v>
      </c>
      <c r="AT280" t="s">
        <v>3298</v>
      </c>
      <c r="AU280">
        <v>2018</v>
      </c>
      <c r="AV280">
        <v>201</v>
      </c>
      <c r="AW280" t="s">
        <v>74</v>
      </c>
      <c r="AX280" t="s">
        <v>74</v>
      </c>
      <c r="AY280" t="s">
        <v>74</v>
      </c>
      <c r="AZ280" t="s">
        <v>74</v>
      </c>
      <c r="BA280" t="s">
        <v>74</v>
      </c>
      <c r="BB280">
        <v>79</v>
      </c>
      <c r="BC280">
        <v>87</v>
      </c>
      <c r="BD280" t="s">
        <v>74</v>
      </c>
      <c r="BE280" t="s">
        <v>5872</v>
      </c>
      <c r="BF280" t="str">
        <f>HYPERLINK("http://dx.doi.org/10.1016/j.fishres.2018.01.009","http://dx.doi.org/10.1016/j.fishres.2018.01.009")</f>
        <v>http://dx.doi.org/10.1016/j.fishres.2018.01.009</v>
      </c>
      <c r="BG280" t="s">
        <v>74</v>
      </c>
      <c r="BH280" t="s">
        <v>74</v>
      </c>
      <c r="BI280">
        <v>9</v>
      </c>
      <c r="BJ280" t="s">
        <v>5873</v>
      </c>
      <c r="BK280" t="s">
        <v>101</v>
      </c>
      <c r="BL280" t="s">
        <v>5873</v>
      </c>
      <c r="BM280" t="s">
        <v>5874</v>
      </c>
      <c r="BN280" t="s">
        <v>74</v>
      </c>
      <c r="BO280" t="s">
        <v>74</v>
      </c>
      <c r="BP280" t="s">
        <v>74</v>
      </c>
      <c r="BQ280" t="s">
        <v>74</v>
      </c>
      <c r="BR280" t="s">
        <v>105</v>
      </c>
      <c r="BS280" t="s">
        <v>5875</v>
      </c>
      <c r="BT280" t="str">
        <f>HYPERLINK("https%3A%2F%2Fwww.webofscience.com%2Fwos%2Fwoscc%2Ffull-record%2FWOS:000427668900010","View Full Record in Web of Science")</f>
        <v>View Full Record in Web of Science</v>
      </c>
    </row>
    <row r="281" spans="1:72" x14ac:dyDescent="0.15">
      <c r="A281" t="s">
        <v>72</v>
      </c>
      <c r="B281" t="s">
        <v>5876</v>
      </c>
      <c r="C281" t="s">
        <v>74</v>
      </c>
      <c r="D281" t="s">
        <v>74</v>
      </c>
      <c r="E281" t="s">
        <v>74</v>
      </c>
      <c r="F281" t="s">
        <v>5877</v>
      </c>
      <c r="G281" t="s">
        <v>74</v>
      </c>
      <c r="H281" t="s">
        <v>74</v>
      </c>
      <c r="I281" t="s">
        <v>5878</v>
      </c>
      <c r="J281" t="s">
        <v>5879</v>
      </c>
      <c r="K281" t="s">
        <v>74</v>
      </c>
      <c r="L281" t="s">
        <v>74</v>
      </c>
      <c r="M281" t="s">
        <v>78</v>
      </c>
      <c r="N281" t="s">
        <v>466</v>
      </c>
      <c r="O281" t="s">
        <v>74</v>
      </c>
      <c r="P281" t="s">
        <v>74</v>
      </c>
      <c r="Q281" t="s">
        <v>74</v>
      </c>
      <c r="R281" t="s">
        <v>74</v>
      </c>
      <c r="S281" t="s">
        <v>74</v>
      </c>
      <c r="T281" t="s">
        <v>5880</v>
      </c>
      <c r="U281" t="s">
        <v>5881</v>
      </c>
      <c r="V281" t="s">
        <v>5882</v>
      </c>
      <c r="W281" t="s">
        <v>5883</v>
      </c>
      <c r="X281" t="s">
        <v>5884</v>
      </c>
      <c r="Y281" t="s">
        <v>5885</v>
      </c>
      <c r="Z281" t="s">
        <v>5886</v>
      </c>
      <c r="AA281" t="s">
        <v>5887</v>
      </c>
      <c r="AB281" t="s">
        <v>5888</v>
      </c>
      <c r="AC281" t="s">
        <v>5889</v>
      </c>
      <c r="AD281" t="s">
        <v>5890</v>
      </c>
      <c r="AE281" t="s">
        <v>5891</v>
      </c>
      <c r="AF281" t="s">
        <v>74</v>
      </c>
      <c r="AG281">
        <v>102</v>
      </c>
      <c r="AH281">
        <v>7</v>
      </c>
      <c r="AI281">
        <v>7</v>
      </c>
      <c r="AJ281">
        <v>0</v>
      </c>
      <c r="AK281">
        <v>19</v>
      </c>
      <c r="AL281" t="s">
        <v>372</v>
      </c>
      <c r="AM281" t="s">
        <v>92</v>
      </c>
      <c r="AN281" t="s">
        <v>373</v>
      </c>
      <c r="AO281" t="s">
        <v>5892</v>
      </c>
      <c r="AP281" t="s">
        <v>5893</v>
      </c>
      <c r="AQ281" t="s">
        <v>74</v>
      </c>
      <c r="AR281" t="s">
        <v>5894</v>
      </c>
      <c r="AS281" t="s">
        <v>5895</v>
      </c>
      <c r="AT281" t="s">
        <v>3298</v>
      </c>
      <c r="AU281">
        <v>2018</v>
      </c>
      <c r="AV281">
        <v>155</v>
      </c>
      <c r="AW281">
        <v>4</v>
      </c>
      <c r="AX281" t="s">
        <v>74</v>
      </c>
      <c r="AY281" t="s">
        <v>74</v>
      </c>
      <c r="AZ281" t="s">
        <v>74</v>
      </c>
      <c r="BA281" t="s">
        <v>74</v>
      </c>
      <c r="BB281">
        <v>841</v>
      </c>
      <c r="BC281">
        <v>864</v>
      </c>
      <c r="BD281" t="s">
        <v>74</v>
      </c>
      <c r="BE281" t="s">
        <v>5896</v>
      </c>
      <c r="BF281" t="str">
        <f>HYPERLINK("http://dx.doi.org/10.1017/S0016756816001011","http://dx.doi.org/10.1017/S0016756816001011")</f>
        <v>http://dx.doi.org/10.1017/S0016756816001011</v>
      </c>
      <c r="BG281" t="s">
        <v>74</v>
      </c>
      <c r="BH281" t="s">
        <v>74</v>
      </c>
      <c r="BI281">
        <v>24</v>
      </c>
      <c r="BJ281" t="s">
        <v>1243</v>
      </c>
      <c r="BK281" t="s">
        <v>101</v>
      </c>
      <c r="BL281" t="s">
        <v>1181</v>
      </c>
      <c r="BM281" t="s">
        <v>5897</v>
      </c>
      <c r="BN281" t="s">
        <v>74</v>
      </c>
      <c r="BO281" t="s">
        <v>74</v>
      </c>
      <c r="BP281" t="s">
        <v>74</v>
      </c>
      <c r="BQ281" t="s">
        <v>74</v>
      </c>
      <c r="BR281" t="s">
        <v>105</v>
      </c>
      <c r="BS281" t="s">
        <v>5898</v>
      </c>
      <c r="BT281" t="str">
        <f>HYPERLINK("https%3A%2F%2Fwww.webofscience.com%2Fwos%2Fwoscc%2Ffull-record%2FWOS:000426671600004","View Full Record in Web of Science")</f>
        <v>View Full Record in Web of Science</v>
      </c>
    </row>
    <row r="282" spans="1:72" x14ac:dyDescent="0.15">
      <c r="A282" t="s">
        <v>72</v>
      </c>
      <c r="B282" t="s">
        <v>5899</v>
      </c>
      <c r="C282" t="s">
        <v>74</v>
      </c>
      <c r="D282" t="s">
        <v>74</v>
      </c>
      <c r="E282" t="s">
        <v>74</v>
      </c>
      <c r="F282" t="s">
        <v>5900</v>
      </c>
      <c r="G282" t="s">
        <v>74</v>
      </c>
      <c r="H282" t="s">
        <v>74</v>
      </c>
      <c r="I282" t="s">
        <v>5901</v>
      </c>
      <c r="J282" t="s">
        <v>901</v>
      </c>
      <c r="K282" t="s">
        <v>74</v>
      </c>
      <c r="L282" t="s">
        <v>74</v>
      </c>
      <c r="M282" t="s">
        <v>78</v>
      </c>
      <c r="N282" t="s">
        <v>79</v>
      </c>
      <c r="O282" t="s">
        <v>74</v>
      </c>
      <c r="P282" t="s">
        <v>74</v>
      </c>
      <c r="Q282" t="s">
        <v>74</v>
      </c>
      <c r="R282" t="s">
        <v>74</v>
      </c>
      <c r="S282" t="s">
        <v>74</v>
      </c>
      <c r="T282" t="s">
        <v>5902</v>
      </c>
      <c r="U282" t="s">
        <v>5903</v>
      </c>
      <c r="V282" t="s">
        <v>5904</v>
      </c>
      <c r="W282" t="s">
        <v>5905</v>
      </c>
      <c r="X282" t="s">
        <v>5906</v>
      </c>
      <c r="Y282" t="s">
        <v>5907</v>
      </c>
      <c r="Z282" t="s">
        <v>5908</v>
      </c>
      <c r="AA282" t="s">
        <v>5909</v>
      </c>
      <c r="AB282" t="s">
        <v>5910</v>
      </c>
      <c r="AC282" t="s">
        <v>74</v>
      </c>
      <c r="AD282" t="s">
        <v>74</v>
      </c>
      <c r="AE282" t="s">
        <v>74</v>
      </c>
      <c r="AF282" t="s">
        <v>74</v>
      </c>
      <c r="AG282">
        <v>65</v>
      </c>
      <c r="AH282">
        <v>20</v>
      </c>
      <c r="AI282">
        <v>21</v>
      </c>
      <c r="AJ282">
        <v>0</v>
      </c>
      <c r="AK282">
        <v>49</v>
      </c>
      <c r="AL282" t="s">
        <v>914</v>
      </c>
      <c r="AM282" t="s">
        <v>452</v>
      </c>
      <c r="AN282" t="s">
        <v>915</v>
      </c>
      <c r="AO282" t="s">
        <v>916</v>
      </c>
      <c r="AP282" t="s">
        <v>917</v>
      </c>
      <c r="AQ282" t="s">
        <v>74</v>
      </c>
      <c r="AR282" t="s">
        <v>918</v>
      </c>
      <c r="AS282" t="s">
        <v>919</v>
      </c>
      <c r="AT282" t="s">
        <v>3556</v>
      </c>
      <c r="AU282">
        <v>2018</v>
      </c>
      <c r="AV282">
        <v>622</v>
      </c>
      <c r="AW282" t="s">
        <v>74</v>
      </c>
      <c r="AX282" t="s">
        <v>74</v>
      </c>
      <c r="AY282" t="s">
        <v>74</v>
      </c>
      <c r="AZ282" t="s">
        <v>74</v>
      </c>
      <c r="BA282" t="s">
        <v>74</v>
      </c>
      <c r="BB282">
        <v>203</v>
      </c>
      <c r="BC282">
        <v>213</v>
      </c>
      <c r="BD282" t="s">
        <v>74</v>
      </c>
      <c r="BE282" t="s">
        <v>5911</v>
      </c>
      <c r="BF282" t="str">
        <f>HYPERLINK("http://dx.doi.org/10.1016/j.scitotenv.2017.11.288","http://dx.doi.org/10.1016/j.scitotenv.2017.11.288")</f>
        <v>http://dx.doi.org/10.1016/j.scitotenv.2017.11.288</v>
      </c>
      <c r="BG282" t="s">
        <v>74</v>
      </c>
      <c r="BH282" t="s">
        <v>74</v>
      </c>
      <c r="BI282">
        <v>11</v>
      </c>
      <c r="BJ282" t="s">
        <v>921</v>
      </c>
      <c r="BK282" t="s">
        <v>101</v>
      </c>
      <c r="BL282" t="s">
        <v>315</v>
      </c>
      <c r="BM282" t="s">
        <v>5912</v>
      </c>
      <c r="BN282">
        <v>29216463</v>
      </c>
      <c r="BO282" t="s">
        <v>74</v>
      </c>
      <c r="BP282" t="s">
        <v>74</v>
      </c>
      <c r="BQ282" t="s">
        <v>74</v>
      </c>
      <c r="BR282" t="s">
        <v>105</v>
      </c>
      <c r="BS282" t="s">
        <v>5913</v>
      </c>
      <c r="BT282" t="str">
        <f>HYPERLINK("https%3A%2F%2Fwww.webofscience.com%2Fwos%2Fwoscc%2Ffull-record%2FWOS:000426349000023","View Full Record in Web of Science")</f>
        <v>View Full Record in Web of Science</v>
      </c>
    </row>
    <row r="283" spans="1:72" x14ac:dyDescent="0.15">
      <c r="A283" t="s">
        <v>72</v>
      </c>
      <c r="B283" t="s">
        <v>5914</v>
      </c>
      <c r="C283" t="s">
        <v>74</v>
      </c>
      <c r="D283" t="s">
        <v>74</v>
      </c>
      <c r="E283" t="s">
        <v>74</v>
      </c>
      <c r="F283" t="s">
        <v>5915</v>
      </c>
      <c r="G283" t="s">
        <v>74</v>
      </c>
      <c r="H283" t="s">
        <v>74</v>
      </c>
      <c r="I283" t="s">
        <v>5916</v>
      </c>
      <c r="J283" t="s">
        <v>5917</v>
      </c>
      <c r="K283" t="s">
        <v>74</v>
      </c>
      <c r="L283" t="s">
        <v>74</v>
      </c>
      <c r="M283" t="s">
        <v>78</v>
      </c>
      <c r="N283" t="s">
        <v>79</v>
      </c>
      <c r="O283" t="s">
        <v>74</v>
      </c>
      <c r="P283" t="s">
        <v>74</v>
      </c>
      <c r="Q283" t="s">
        <v>74</v>
      </c>
      <c r="R283" t="s">
        <v>74</v>
      </c>
      <c r="S283" t="s">
        <v>74</v>
      </c>
      <c r="T283" t="s">
        <v>5918</v>
      </c>
      <c r="U283" t="s">
        <v>5919</v>
      </c>
      <c r="V283" t="s">
        <v>5920</v>
      </c>
      <c r="W283" t="s">
        <v>5921</v>
      </c>
      <c r="X283" t="s">
        <v>5922</v>
      </c>
      <c r="Y283" t="s">
        <v>5923</v>
      </c>
      <c r="Z283" t="s">
        <v>5924</v>
      </c>
      <c r="AA283" t="s">
        <v>74</v>
      </c>
      <c r="AB283" t="s">
        <v>74</v>
      </c>
      <c r="AC283" t="s">
        <v>5925</v>
      </c>
      <c r="AD283" t="s">
        <v>5926</v>
      </c>
      <c r="AE283" t="s">
        <v>5927</v>
      </c>
      <c r="AF283" t="s">
        <v>74</v>
      </c>
      <c r="AG283">
        <v>124</v>
      </c>
      <c r="AH283">
        <v>27</v>
      </c>
      <c r="AI283">
        <v>29</v>
      </c>
      <c r="AJ283">
        <v>0</v>
      </c>
      <c r="AK283">
        <v>5</v>
      </c>
      <c r="AL283" t="s">
        <v>2908</v>
      </c>
      <c r="AM283" t="s">
        <v>2909</v>
      </c>
      <c r="AN283" t="s">
        <v>2910</v>
      </c>
      <c r="AO283" t="s">
        <v>5928</v>
      </c>
      <c r="AP283" t="s">
        <v>5929</v>
      </c>
      <c r="AQ283" t="s">
        <v>74</v>
      </c>
      <c r="AR283" t="s">
        <v>5917</v>
      </c>
      <c r="AS283" t="s">
        <v>5930</v>
      </c>
      <c r="AT283" t="s">
        <v>5931</v>
      </c>
      <c r="AU283">
        <v>2018</v>
      </c>
      <c r="AV283">
        <v>4415</v>
      </c>
      <c r="AW283">
        <v>2</v>
      </c>
      <c r="AX283" t="s">
        <v>74</v>
      </c>
      <c r="AY283" t="s">
        <v>74</v>
      </c>
      <c r="AZ283" t="s">
        <v>74</v>
      </c>
      <c r="BA283" t="s">
        <v>74</v>
      </c>
      <c r="BB283">
        <v>201</v>
      </c>
      <c r="BC283">
        <v>242</v>
      </c>
      <c r="BD283" t="s">
        <v>74</v>
      </c>
      <c r="BE283" t="s">
        <v>5932</v>
      </c>
      <c r="BF283" t="str">
        <f>HYPERLINK("http://dx.doi.org/10.11646/zootaxa.4415.2.1","http://dx.doi.org/10.11646/zootaxa.4415.2.1")</f>
        <v>http://dx.doi.org/10.11646/zootaxa.4415.2.1</v>
      </c>
      <c r="BG283" t="s">
        <v>74</v>
      </c>
      <c r="BH283" t="s">
        <v>74</v>
      </c>
      <c r="BI283">
        <v>42</v>
      </c>
      <c r="BJ283" t="s">
        <v>2624</v>
      </c>
      <c r="BK283" t="s">
        <v>101</v>
      </c>
      <c r="BL283" t="s">
        <v>2624</v>
      </c>
      <c r="BM283" t="s">
        <v>5933</v>
      </c>
      <c r="BN283">
        <v>30313620</v>
      </c>
      <c r="BO283" t="s">
        <v>74</v>
      </c>
      <c r="BP283" t="s">
        <v>74</v>
      </c>
      <c r="BQ283" t="s">
        <v>74</v>
      </c>
      <c r="BR283" t="s">
        <v>105</v>
      </c>
      <c r="BS283" t="s">
        <v>5934</v>
      </c>
      <c r="BT283" t="str">
        <f>HYPERLINK("https%3A%2F%2Fwww.webofscience.com%2Fwos%2Fwoscc%2Ffull-record%2FWOS:000431358500001","View Full Record in Web of Science")</f>
        <v>View Full Record in Web of Science</v>
      </c>
    </row>
    <row r="284" spans="1:72" x14ac:dyDescent="0.15">
      <c r="A284" t="s">
        <v>72</v>
      </c>
      <c r="B284" t="s">
        <v>5935</v>
      </c>
      <c r="C284" t="s">
        <v>74</v>
      </c>
      <c r="D284" t="s">
        <v>74</v>
      </c>
      <c r="E284" t="s">
        <v>74</v>
      </c>
      <c r="F284" t="s">
        <v>5936</v>
      </c>
      <c r="G284" t="s">
        <v>74</v>
      </c>
      <c r="H284" t="s">
        <v>74</v>
      </c>
      <c r="I284" t="s">
        <v>5937</v>
      </c>
      <c r="J284" t="s">
        <v>1598</v>
      </c>
      <c r="K284" t="s">
        <v>74</v>
      </c>
      <c r="L284" t="s">
        <v>74</v>
      </c>
      <c r="M284" t="s">
        <v>78</v>
      </c>
      <c r="N284" t="s">
        <v>79</v>
      </c>
      <c r="O284" t="s">
        <v>74</v>
      </c>
      <c r="P284" t="s">
        <v>74</v>
      </c>
      <c r="Q284" t="s">
        <v>74</v>
      </c>
      <c r="R284" t="s">
        <v>74</v>
      </c>
      <c r="S284" t="s">
        <v>74</v>
      </c>
      <c r="T284" t="s">
        <v>5938</v>
      </c>
      <c r="U284" t="s">
        <v>5939</v>
      </c>
      <c r="V284" t="s">
        <v>5940</v>
      </c>
      <c r="W284" t="s">
        <v>5941</v>
      </c>
      <c r="X284" t="s">
        <v>5942</v>
      </c>
      <c r="Y284" t="s">
        <v>5943</v>
      </c>
      <c r="Z284" t="s">
        <v>5944</v>
      </c>
      <c r="AA284" t="s">
        <v>74</v>
      </c>
      <c r="AB284" t="s">
        <v>74</v>
      </c>
      <c r="AC284" t="s">
        <v>74</v>
      </c>
      <c r="AD284" t="s">
        <v>74</v>
      </c>
      <c r="AE284" t="s">
        <v>74</v>
      </c>
      <c r="AF284" t="s">
        <v>74</v>
      </c>
      <c r="AG284">
        <v>50</v>
      </c>
      <c r="AH284">
        <v>13</v>
      </c>
      <c r="AI284">
        <v>14</v>
      </c>
      <c r="AJ284">
        <v>1</v>
      </c>
      <c r="AK284">
        <v>31</v>
      </c>
      <c r="AL284" t="s">
        <v>123</v>
      </c>
      <c r="AM284" t="s">
        <v>124</v>
      </c>
      <c r="AN284" t="s">
        <v>125</v>
      </c>
      <c r="AO284" t="s">
        <v>1609</v>
      </c>
      <c r="AP284" t="s">
        <v>1610</v>
      </c>
      <c r="AQ284" t="s">
        <v>74</v>
      </c>
      <c r="AR284" t="s">
        <v>1611</v>
      </c>
      <c r="AS284" t="s">
        <v>1612</v>
      </c>
      <c r="AT284" t="s">
        <v>5931</v>
      </c>
      <c r="AU284">
        <v>2018</v>
      </c>
      <c r="AV284">
        <v>50</v>
      </c>
      <c r="AW284">
        <v>1</v>
      </c>
      <c r="AX284" t="s">
        <v>74</v>
      </c>
      <c r="AY284" t="s">
        <v>74</v>
      </c>
      <c r="AZ284" t="s">
        <v>74</v>
      </c>
      <c r="BA284" t="s">
        <v>74</v>
      </c>
      <c r="BB284" t="s">
        <v>74</v>
      </c>
      <c r="BC284" t="s">
        <v>74</v>
      </c>
      <c r="BD284" t="s">
        <v>5945</v>
      </c>
      <c r="BE284" t="s">
        <v>5946</v>
      </c>
      <c r="BF284" t="str">
        <f>HYPERLINK("http://dx.doi.org/10.1080/15230430.2018.1436296","http://dx.doi.org/10.1080/15230430.2018.1436296")</f>
        <v>http://dx.doi.org/10.1080/15230430.2018.1436296</v>
      </c>
      <c r="BG284" t="s">
        <v>74</v>
      </c>
      <c r="BH284" t="s">
        <v>74</v>
      </c>
      <c r="BI284">
        <v>19</v>
      </c>
      <c r="BJ284" t="s">
        <v>1616</v>
      </c>
      <c r="BK284" t="s">
        <v>101</v>
      </c>
      <c r="BL284" t="s">
        <v>1617</v>
      </c>
      <c r="BM284" t="s">
        <v>5947</v>
      </c>
      <c r="BN284" t="s">
        <v>74</v>
      </c>
      <c r="BO284" t="s">
        <v>133</v>
      </c>
      <c r="BP284" t="s">
        <v>74</v>
      </c>
      <c r="BQ284" t="s">
        <v>74</v>
      </c>
      <c r="BR284" t="s">
        <v>105</v>
      </c>
      <c r="BS284" t="s">
        <v>5948</v>
      </c>
      <c r="BT284" t="str">
        <f>HYPERLINK("https%3A%2F%2Fwww.webofscience.com%2Fwos%2Fwoscc%2Ffull-record%2FWOS:000438730300001","View Full Record in Web of Science")</f>
        <v>View Full Record in Web of Science</v>
      </c>
    </row>
    <row r="285" spans="1:72" x14ac:dyDescent="0.15">
      <c r="A285" t="s">
        <v>72</v>
      </c>
      <c r="B285" t="s">
        <v>5949</v>
      </c>
      <c r="C285" t="s">
        <v>74</v>
      </c>
      <c r="D285" t="s">
        <v>74</v>
      </c>
      <c r="E285" t="s">
        <v>74</v>
      </c>
      <c r="F285" t="s">
        <v>5950</v>
      </c>
      <c r="G285" t="s">
        <v>74</v>
      </c>
      <c r="H285" t="s">
        <v>74</v>
      </c>
      <c r="I285" t="s">
        <v>5951</v>
      </c>
      <c r="J285" t="s">
        <v>1749</v>
      </c>
      <c r="K285" t="s">
        <v>74</v>
      </c>
      <c r="L285" t="s">
        <v>74</v>
      </c>
      <c r="M285" t="s">
        <v>78</v>
      </c>
      <c r="N285" t="s">
        <v>79</v>
      </c>
      <c r="O285" t="s">
        <v>74</v>
      </c>
      <c r="P285" t="s">
        <v>74</v>
      </c>
      <c r="Q285" t="s">
        <v>74</v>
      </c>
      <c r="R285" t="s">
        <v>74</v>
      </c>
      <c r="S285" t="s">
        <v>74</v>
      </c>
      <c r="T285" t="s">
        <v>74</v>
      </c>
      <c r="U285" t="s">
        <v>5952</v>
      </c>
      <c r="V285" t="s">
        <v>5953</v>
      </c>
      <c r="W285" t="s">
        <v>5954</v>
      </c>
      <c r="X285" t="s">
        <v>5955</v>
      </c>
      <c r="Y285" t="s">
        <v>5956</v>
      </c>
      <c r="Z285" t="s">
        <v>5957</v>
      </c>
      <c r="AA285" t="s">
        <v>5958</v>
      </c>
      <c r="AB285" t="s">
        <v>5959</v>
      </c>
      <c r="AC285" t="s">
        <v>5960</v>
      </c>
      <c r="AD285" t="s">
        <v>5961</v>
      </c>
      <c r="AE285" t="s">
        <v>5962</v>
      </c>
      <c r="AF285" t="s">
        <v>74</v>
      </c>
      <c r="AG285">
        <v>38</v>
      </c>
      <c r="AH285">
        <v>14</v>
      </c>
      <c r="AI285">
        <v>15</v>
      </c>
      <c r="AJ285">
        <v>1</v>
      </c>
      <c r="AK285">
        <v>6</v>
      </c>
      <c r="AL285" t="s">
        <v>574</v>
      </c>
      <c r="AM285" t="s">
        <v>575</v>
      </c>
      <c r="AN285" t="s">
        <v>576</v>
      </c>
      <c r="AO285" t="s">
        <v>1761</v>
      </c>
      <c r="AP285" t="s">
        <v>1762</v>
      </c>
      <c r="AQ285" t="s">
        <v>74</v>
      </c>
      <c r="AR285" t="s">
        <v>1763</v>
      </c>
      <c r="AS285" t="s">
        <v>1764</v>
      </c>
      <c r="AT285" t="s">
        <v>5963</v>
      </c>
      <c r="AU285">
        <v>2018</v>
      </c>
      <c r="AV285">
        <v>45</v>
      </c>
      <c r="AW285">
        <v>8</v>
      </c>
      <c r="AX285" t="s">
        <v>74</v>
      </c>
      <c r="AY285" t="s">
        <v>74</v>
      </c>
      <c r="AZ285" t="s">
        <v>74</v>
      </c>
      <c r="BA285" t="s">
        <v>74</v>
      </c>
      <c r="BB285">
        <v>3577</v>
      </c>
      <c r="BC285">
        <v>3585</v>
      </c>
      <c r="BD285" t="s">
        <v>74</v>
      </c>
      <c r="BE285" t="s">
        <v>5964</v>
      </c>
      <c r="BF285" t="str">
        <f>HYPERLINK("http://dx.doi.org/10.1002/2017GL076320","http://dx.doi.org/10.1002/2017GL076320")</f>
        <v>http://dx.doi.org/10.1002/2017GL076320</v>
      </c>
      <c r="BG285" t="s">
        <v>74</v>
      </c>
      <c r="BH285" t="s">
        <v>74</v>
      </c>
      <c r="BI285">
        <v>9</v>
      </c>
      <c r="BJ285" t="s">
        <v>1243</v>
      </c>
      <c r="BK285" t="s">
        <v>101</v>
      </c>
      <c r="BL285" t="s">
        <v>1181</v>
      </c>
      <c r="BM285" t="s">
        <v>5965</v>
      </c>
      <c r="BN285">
        <v>30034049</v>
      </c>
      <c r="BO285" t="s">
        <v>2416</v>
      </c>
      <c r="BP285" t="s">
        <v>74</v>
      </c>
      <c r="BQ285" t="s">
        <v>74</v>
      </c>
      <c r="BR285" t="s">
        <v>105</v>
      </c>
      <c r="BS285" t="s">
        <v>5966</v>
      </c>
      <c r="BT285" t="str">
        <f>HYPERLINK("https%3A%2F%2Fwww.webofscience.com%2Fwos%2Fwoscc%2Ffull-record%2FWOS:000435745500030","View Full Record in Web of Science")</f>
        <v>View Full Record in Web of Science</v>
      </c>
    </row>
    <row r="286" spans="1:72" x14ac:dyDescent="0.15">
      <c r="A286" t="s">
        <v>72</v>
      </c>
      <c r="B286" t="s">
        <v>5967</v>
      </c>
      <c r="C286" t="s">
        <v>74</v>
      </c>
      <c r="D286" t="s">
        <v>74</v>
      </c>
      <c r="E286" t="s">
        <v>74</v>
      </c>
      <c r="F286" t="s">
        <v>5968</v>
      </c>
      <c r="G286" t="s">
        <v>74</v>
      </c>
      <c r="H286" t="s">
        <v>74</v>
      </c>
      <c r="I286" t="s">
        <v>5969</v>
      </c>
      <c r="J286" t="s">
        <v>5970</v>
      </c>
      <c r="K286" t="s">
        <v>74</v>
      </c>
      <c r="L286" t="s">
        <v>74</v>
      </c>
      <c r="M286" t="s">
        <v>78</v>
      </c>
      <c r="N286" t="s">
        <v>79</v>
      </c>
      <c r="O286" t="s">
        <v>74</v>
      </c>
      <c r="P286" t="s">
        <v>74</v>
      </c>
      <c r="Q286" t="s">
        <v>74</v>
      </c>
      <c r="R286" t="s">
        <v>74</v>
      </c>
      <c r="S286" t="s">
        <v>74</v>
      </c>
      <c r="T286" t="s">
        <v>74</v>
      </c>
      <c r="U286" t="s">
        <v>5971</v>
      </c>
      <c r="V286" t="s">
        <v>5972</v>
      </c>
      <c r="W286" t="s">
        <v>5973</v>
      </c>
      <c r="X286" t="s">
        <v>5974</v>
      </c>
      <c r="Y286" t="s">
        <v>5975</v>
      </c>
      <c r="Z286" t="s">
        <v>5976</v>
      </c>
      <c r="AA286" t="s">
        <v>74</v>
      </c>
      <c r="AB286" t="s">
        <v>74</v>
      </c>
      <c r="AC286" t="s">
        <v>5977</v>
      </c>
      <c r="AD286" t="s">
        <v>5978</v>
      </c>
      <c r="AE286" t="s">
        <v>5979</v>
      </c>
      <c r="AF286" t="s">
        <v>74</v>
      </c>
      <c r="AG286">
        <v>84</v>
      </c>
      <c r="AH286">
        <v>14</v>
      </c>
      <c r="AI286">
        <v>16</v>
      </c>
      <c r="AJ286">
        <v>2</v>
      </c>
      <c r="AK286">
        <v>22</v>
      </c>
      <c r="AL286" t="s">
        <v>5980</v>
      </c>
      <c r="AM286" t="s">
        <v>4100</v>
      </c>
      <c r="AN286" t="s">
        <v>5981</v>
      </c>
      <c r="AO286" t="s">
        <v>5982</v>
      </c>
      <c r="AP286" t="s">
        <v>5983</v>
      </c>
      <c r="AQ286" t="s">
        <v>74</v>
      </c>
      <c r="AR286" t="s">
        <v>5984</v>
      </c>
      <c r="AS286" t="s">
        <v>5985</v>
      </c>
      <c r="AT286" t="s">
        <v>5963</v>
      </c>
      <c r="AU286">
        <v>2018</v>
      </c>
      <c r="AV286">
        <v>20</v>
      </c>
      <c r="AW286">
        <v>16</v>
      </c>
      <c r="AX286" t="s">
        <v>74</v>
      </c>
      <c r="AY286" t="s">
        <v>74</v>
      </c>
      <c r="AZ286" t="s">
        <v>74</v>
      </c>
      <c r="BA286" t="s">
        <v>74</v>
      </c>
      <c r="BB286">
        <v>10569</v>
      </c>
      <c r="BC286">
        <v>10587</v>
      </c>
      <c r="BD286" t="s">
        <v>74</v>
      </c>
      <c r="BE286" t="s">
        <v>5986</v>
      </c>
      <c r="BF286" t="str">
        <f>HYPERLINK("http://dx.doi.org/10.1039/c7cp08331a","http://dx.doi.org/10.1039/c7cp08331a")</f>
        <v>http://dx.doi.org/10.1039/c7cp08331a</v>
      </c>
      <c r="BG286" t="s">
        <v>74</v>
      </c>
      <c r="BH286" t="s">
        <v>74</v>
      </c>
      <c r="BI286">
        <v>19</v>
      </c>
      <c r="BJ286" t="s">
        <v>5987</v>
      </c>
      <c r="BK286" t="s">
        <v>101</v>
      </c>
      <c r="BL286" t="s">
        <v>5988</v>
      </c>
      <c r="BM286" t="s">
        <v>5989</v>
      </c>
      <c r="BN286">
        <v>29638230</v>
      </c>
      <c r="BO286" t="s">
        <v>341</v>
      </c>
      <c r="BP286" t="s">
        <v>74</v>
      </c>
      <c r="BQ286" t="s">
        <v>74</v>
      </c>
      <c r="BR286" t="s">
        <v>105</v>
      </c>
      <c r="BS286" t="s">
        <v>5990</v>
      </c>
      <c r="BT286" t="str">
        <f>HYPERLINK("https%3A%2F%2Fwww.webofscience.com%2Fwos%2Fwoscc%2Ffull-record%2FWOS:000431821800002","View Full Record in Web of Science")</f>
        <v>View Full Record in Web of Science</v>
      </c>
    </row>
    <row r="287" spans="1:72" x14ac:dyDescent="0.15">
      <c r="A287" t="s">
        <v>72</v>
      </c>
      <c r="B287" t="s">
        <v>5991</v>
      </c>
      <c r="C287" t="s">
        <v>74</v>
      </c>
      <c r="D287" t="s">
        <v>74</v>
      </c>
      <c r="E287" t="s">
        <v>74</v>
      </c>
      <c r="F287" t="s">
        <v>5992</v>
      </c>
      <c r="G287" t="s">
        <v>74</v>
      </c>
      <c r="H287" t="s">
        <v>74</v>
      </c>
      <c r="I287" t="s">
        <v>5993</v>
      </c>
      <c r="J287" t="s">
        <v>1938</v>
      </c>
      <c r="K287" t="s">
        <v>74</v>
      </c>
      <c r="L287" t="s">
        <v>74</v>
      </c>
      <c r="M287" t="s">
        <v>78</v>
      </c>
      <c r="N287" t="s">
        <v>79</v>
      </c>
      <c r="O287" t="s">
        <v>74</v>
      </c>
      <c r="P287" t="s">
        <v>74</v>
      </c>
      <c r="Q287" t="s">
        <v>74</v>
      </c>
      <c r="R287" t="s">
        <v>74</v>
      </c>
      <c r="S287" t="s">
        <v>74</v>
      </c>
      <c r="T287" t="s">
        <v>5994</v>
      </c>
      <c r="U287" t="s">
        <v>5995</v>
      </c>
      <c r="V287" t="s">
        <v>5996</v>
      </c>
      <c r="W287" t="s">
        <v>5997</v>
      </c>
      <c r="X287" t="s">
        <v>5998</v>
      </c>
      <c r="Y287" t="s">
        <v>5999</v>
      </c>
      <c r="Z287" t="s">
        <v>6000</v>
      </c>
      <c r="AA287" t="s">
        <v>6001</v>
      </c>
      <c r="AB287" t="s">
        <v>6002</v>
      </c>
      <c r="AC287" t="s">
        <v>6003</v>
      </c>
      <c r="AD287" t="s">
        <v>6004</v>
      </c>
      <c r="AE287" t="s">
        <v>6005</v>
      </c>
      <c r="AF287" t="s">
        <v>74</v>
      </c>
      <c r="AG287">
        <v>66</v>
      </c>
      <c r="AH287">
        <v>72</v>
      </c>
      <c r="AI287">
        <v>76</v>
      </c>
      <c r="AJ287">
        <v>5</v>
      </c>
      <c r="AK287">
        <v>28</v>
      </c>
      <c r="AL287" t="s">
        <v>574</v>
      </c>
      <c r="AM287" t="s">
        <v>575</v>
      </c>
      <c r="AN287" t="s">
        <v>576</v>
      </c>
      <c r="AO287" t="s">
        <v>1951</v>
      </c>
      <c r="AP287" t="s">
        <v>1952</v>
      </c>
      <c r="AQ287" t="s">
        <v>74</v>
      </c>
      <c r="AR287" t="s">
        <v>1953</v>
      </c>
      <c r="AS287" t="s">
        <v>1954</v>
      </c>
      <c r="AT287" t="s">
        <v>6006</v>
      </c>
      <c r="AU287">
        <v>2018</v>
      </c>
      <c r="AV287">
        <v>123</v>
      </c>
      <c r="AW287">
        <v>8</v>
      </c>
      <c r="AX287" t="s">
        <v>74</v>
      </c>
      <c r="AY287" t="s">
        <v>74</v>
      </c>
      <c r="AZ287" t="s">
        <v>74</v>
      </c>
      <c r="BA287" t="s">
        <v>74</v>
      </c>
      <c r="BB287">
        <v>3871</v>
      </c>
      <c r="BC287">
        <v>3892</v>
      </c>
      <c r="BD287" t="s">
        <v>74</v>
      </c>
      <c r="BE287" t="s">
        <v>6007</v>
      </c>
      <c r="BF287" t="str">
        <f>HYPERLINK("http://dx.doi.org/10.1002/2017JD027796","http://dx.doi.org/10.1002/2017JD027796")</f>
        <v>http://dx.doi.org/10.1002/2017JD027796</v>
      </c>
      <c r="BG287" t="s">
        <v>74</v>
      </c>
      <c r="BH287" t="s">
        <v>74</v>
      </c>
      <c r="BI287">
        <v>22</v>
      </c>
      <c r="BJ287" t="s">
        <v>131</v>
      </c>
      <c r="BK287" t="s">
        <v>101</v>
      </c>
      <c r="BL287" t="s">
        <v>131</v>
      </c>
      <c r="BM287" t="s">
        <v>6008</v>
      </c>
      <c r="BN287" t="s">
        <v>74</v>
      </c>
      <c r="BO287" t="s">
        <v>74</v>
      </c>
      <c r="BP287" t="s">
        <v>74</v>
      </c>
      <c r="BQ287" t="s">
        <v>74</v>
      </c>
      <c r="BR287" t="s">
        <v>105</v>
      </c>
      <c r="BS287" t="s">
        <v>6009</v>
      </c>
      <c r="BT287" t="str">
        <f>HYPERLINK("https%3A%2F%2Fwww.webofscience.com%2Fwos%2Fwoscc%2Ffull-record%2FWOS:000433071200003","View Full Record in Web of Science")</f>
        <v>View Full Record in Web of Science</v>
      </c>
    </row>
    <row r="288" spans="1:72" x14ac:dyDescent="0.15">
      <c r="A288" t="s">
        <v>72</v>
      </c>
      <c r="B288" t="s">
        <v>6010</v>
      </c>
      <c r="C288" t="s">
        <v>74</v>
      </c>
      <c r="D288" t="s">
        <v>74</v>
      </c>
      <c r="E288" t="s">
        <v>74</v>
      </c>
      <c r="F288" t="s">
        <v>6011</v>
      </c>
      <c r="G288" t="s">
        <v>74</v>
      </c>
      <c r="H288" t="s">
        <v>74</v>
      </c>
      <c r="I288" t="s">
        <v>6012</v>
      </c>
      <c r="J288" t="s">
        <v>5917</v>
      </c>
      <c r="K288" t="s">
        <v>74</v>
      </c>
      <c r="L288" t="s">
        <v>74</v>
      </c>
      <c r="M288" t="s">
        <v>78</v>
      </c>
      <c r="N288" t="s">
        <v>79</v>
      </c>
      <c r="O288" t="s">
        <v>74</v>
      </c>
      <c r="P288" t="s">
        <v>74</v>
      </c>
      <c r="Q288" t="s">
        <v>74</v>
      </c>
      <c r="R288" t="s">
        <v>74</v>
      </c>
      <c r="S288" t="s">
        <v>74</v>
      </c>
      <c r="T288" t="s">
        <v>6013</v>
      </c>
      <c r="U288" t="s">
        <v>6014</v>
      </c>
      <c r="V288" t="s">
        <v>6015</v>
      </c>
      <c r="W288" t="s">
        <v>6016</v>
      </c>
      <c r="X288" t="s">
        <v>6017</v>
      </c>
      <c r="Y288" t="s">
        <v>6018</v>
      </c>
      <c r="Z288" t="s">
        <v>6019</v>
      </c>
      <c r="AA288" t="s">
        <v>6020</v>
      </c>
      <c r="AB288" t="s">
        <v>6021</v>
      </c>
      <c r="AC288" t="s">
        <v>6022</v>
      </c>
      <c r="AD288" t="s">
        <v>6023</v>
      </c>
      <c r="AE288" t="s">
        <v>6024</v>
      </c>
      <c r="AF288" t="s">
        <v>74</v>
      </c>
      <c r="AG288">
        <v>136</v>
      </c>
      <c r="AH288">
        <v>95</v>
      </c>
      <c r="AI288">
        <v>101</v>
      </c>
      <c r="AJ288">
        <v>3</v>
      </c>
      <c r="AK288">
        <v>19</v>
      </c>
      <c r="AL288" t="s">
        <v>2908</v>
      </c>
      <c r="AM288" t="s">
        <v>2909</v>
      </c>
      <c r="AN288" t="s">
        <v>2910</v>
      </c>
      <c r="AO288" t="s">
        <v>5928</v>
      </c>
      <c r="AP288" t="s">
        <v>5929</v>
      </c>
      <c r="AQ288" t="s">
        <v>74</v>
      </c>
      <c r="AR288" t="s">
        <v>5917</v>
      </c>
      <c r="AS288" t="s">
        <v>5930</v>
      </c>
      <c r="AT288" t="s">
        <v>6006</v>
      </c>
      <c r="AU288">
        <v>2018</v>
      </c>
      <c r="AV288">
        <v>4415</v>
      </c>
      <c r="AW288">
        <v>1</v>
      </c>
      <c r="AX288" t="s">
        <v>74</v>
      </c>
      <c r="AY288" t="s">
        <v>74</v>
      </c>
      <c r="AZ288" t="s">
        <v>74</v>
      </c>
      <c r="BA288" t="s">
        <v>74</v>
      </c>
      <c r="BB288">
        <v>45</v>
      </c>
      <c r="BC288">
        <v>75</v>
      </c>
      <c r="BD288" t="s">
        <v>74</v>
      </c>
      <c r="BE288" t="s">
        <v>6025</v>
      </c>
      <c r="BF288" t="str">
        <f>HYPERLINK("http://dx.doi.org/10.11646/zootaxa.4415.1.2","http://dx.doi.org/10.11646/zootaxa.4415.1.2")</f>
        <v>http://dx.doi.org/10.11646/zootaxa.4415.1.2</v>
      </c>
      <c r="BG288" t="s">
        <v>74</v>
      </c>
      <c r="BH288" t="s">
        <v>74</v>
      </c>
      <c r="BI288">
        <v>31</v>
      </c>
      <c r="BJ288" t="s">
        <v>2624</v>
      </c>
      <c r="BK288" t="s">
        <v>101</v>
      </c>
      <c r="BL288" t="s">
        <v>2624</v>
      </c>
      <c r="BM288" t="s">
        <v>6026</v>
      </c>
      <c r="BN288">
        <v>30313631</v>
      </c>
      <c r="BO288" t="s">
        <v>74</v>
      </c>
      <c r="BP288" t="s">
        <v>74</v>
      </c>
      <c r="BQ288" t="s">
        <v>74</v>
      </c>
      <c r="BR288" t="s">
        <v>105</v>
      </c>
      <c r="BS288" t="s">
        <v>6027</v>
      </c>
      <c r="BT288" t="str">
        <f>HYPERLINK("https%3A%2F%2Fwww.webofscience.com%2Fwos%2Fwoscc%2Ffull-record%2FWOS:000431357600002","View Full Record in Web of Science")</f>
        <v>View Full Record in Web of Science</v>
      </c>
    </row>
    <row r="289" spans="1:72" x14ac:dyDescent="0.15">
      <c r="A289" t="s">
        <v>72</v>
      </c>
      <c r="B289" t="s">
        <v>6028</v>
      </c>
      <c r="C289" t="s">
        <v>74</v>
      </c>
      <c r="D289" t="s">
        <v>74</v>
      </c>
      <c r="E289" t="s">
        <v>74</v>
      </c>
      <c r="F289" t="s">
        <v>6029</v>
      </c>
      <c r="G289" t="s">
        <v>74</v>
      </c>
      <c r="H289" t="s">
        <v>74</v>
      </c>
      <c r="I289" t="s">
        <v>6030</v>
      </c>
      <c r="J289" t="s">
        <v>1938</v>
      </c>
      <c r="K289" t="s">
        <v>74</v>
      </c>
      <c r="L289" t="s">
        <v>74</v>
      </c>
      <c r="M289" t="s">
        <v>78</v>
      </c>
      <c r="N289" t="s">
        <v>79</v>
      </c>
      <c r="O289" t="s">
        <v>74</v>
      </c>
      <c r="P289" t="s">
        <v>74</v>
      </c>
      <c r="Q289" t="s">
        <v>74</v>
      </c>
      <c r="R289" t="s">
        <v>74</v>
      </c>
      <c r="S289" t="s">
        <v>74</v>
      </c>
      <c r="T289" t="s">
        <v>6031</v>
      </c>
      <c r="U289" t="s">
        <v>6032</v>
      </c>
      <c r="V289" t="s">
        <v>6033</v>
      </c>
      <c r="W289" t="s">
        <v>6034</v>
      </c>
      <c r="X289" t="s">
        <v>6035</v>
      </c>
      <c r="Y289" t="s">
        <v>6036</v>
      </c>
      <c r="Z289" t="s">
        <v>6037</v>
      </c>
      <c r="AA289" t="s">
        <v>6038</v>
      </c>
      <c r="AB289" t="s">
        <v>6039</v>
      </c>
      <c r="AC289" t="s">
        <v>6040</v>
      </c>
      <c r="AD289" t="s">
        <v>6041</v>
      </c>
      <c r="AE289" t="s">
        <v>6042</v>
      </c>
      <c r="AF289" t="s">
        <v>74</v>
      </c>
      <c r="AG289">
        <v>60</v>
      </c>
      <c r="AH289">
        <v>12</v>
      </c>
      <c r="AI289">
        <v>12</v>
      </c>
      <c r="AJ289">
        <v>0</v>
      </c>
      <c r="AK289">
        <v>9</v>
      </c>
      <c r="AL289" t="s">
        <v>574</v>
      </c>
      <c r="AM289" t="s">
        <v>575</v>
      </c>
      <c r="AN289" t="s">
        <v>576</v>
      </c>
      <c r="AO289" t="s">
        <v>1951</v>
      </c>
      <c r="AP289" t="s">
        <v>1952</v>
      </c>
      <c r="AQ289" t="s">
        <v>74</v>
      </c>
      <c r="AR289" t="s">
        <v>1953</v>
      </c>
      <c r="AS289" t="s">
        <v>1954</v>
      </c>
      <c r="AT289" t="s">
        <v>6006</v>
      </c>
      <c r="AU289">
        <v>2018</v>
      </c>
      <c r="AV289">
        <v>123</v>
      </c>
      <c r="AW289">
        <v>8</v>
      </c>
      <c r="AX289" t="s">
        <v>74</v>
      </c>
      <c r="AY289" t="s">
        <v>74</v>
      </c>
      <c r="AZ289" t="s">
        <v>74</v>
      </c>
      <c r="BA289" t="s">
        <v>74</v>
      </c>
      <c r="BB289">
        <v>3914</v>
      </c>
      <c r="BC289">
        <v>3932</v>
      </c>
      <c r="BD289" t="s">
        <v>74</v>
      </c>
      <c r="BE289" t="s">
        <v>6043</v>
      </c>
      <c r="BF289" t="str">
        <f>HYPERLINK("http://dx.doi.org/10.1002/2017JD027994","http://dx.doi.org/10.1002/2017JD027994")</f>
        <v>http://dx.doi.org/10.1002/2017JD027994</v>
      </c>
      <c r="BG289" t="s">
        <v>74</v>
      </c>
      <c r="BH289" t="s">
        <v>74</v>
      </c>
      <c r="BI289">
        <v>19</v>
      </c>
      <c r="BJ289" t="s">
        <v>131</v>
      </c>
      <c r="BK289" t="s">
        <v>101</v>
      </c>
      <c r="BL289" t="s">
        <v>131</v>
      </c>
      <c r="BM289" t="s">
        <v>6008</v>
      </c>
      <c r="BN289" t="s">
        <v>74</v>
      </c>
      <c r="BO289" t="s">
        <v>74</v>
      </c>
      <c r="BP289" t="s">
        <v>74</v>
      </c>
      <c r="BQ289" t="s">
        <v>74</v>
      </c>
      <c r="BR289" t="s">
        <v>105</v>
      </c>
      <c r="BS289" t="s">
        <v>6044</v>
      </c>
      <c r="BT289" t="str">
        <f>HYPERLINK("https%3A%2F%2Fwww.webofscience.com%2Fwos%2Fwoscc%2Ffull-record%2FWOS:000433071200005","View Full Record in Web of Science")</f>
        <v>View Full Record in Web of Science</v>
      </c>
    </row>
    <row r="290" spans="1:72" x14ac:dyDescent="0.15">
      <c r="A290" t="s">
        <v>72</v>
      </c>
      <c r="B290" t="s">
        <v>6045</v>
      </c>
      <c r="C290" t="s">
        <v>74</v>
      </c>
      <c r="D290" t="s">
        <v>74</v>
      </c>
      <c r="E290" t="s">
        <v>74</v>
      </c>
      <c r="F290" t="s">
        <v>6046</v>
      </c>
      <c r="G290" t="s">
        <v>74</v>
      </c>
      <c r="H290" t="s">
        <v>74</v>
      </c>
      <c r="I290" t="s">
        <v>6047</v>
      </c>
      <c r="J290" t="s">
        <v>6048</v>
      </c>
      <c r="K290" t="s">
        <v>74</v>
      </c>
      <c r="L290" t="s">
        <v>74</v>
      </c>
      <c r="M290" t="s">
        <v>78</v>
      </c>
      <c r="N290" t="s">
        <v>79</v>
      </c>
      <c r="O290" t="s">
        <v>74</v>
      </c>
      <c r="P290" t="s">
        <v>74</v>
      </c>
      <c r="Q290" t="s">
        <v>74</v>
      </c>
      <c r="R290" t="s">
        <v>74</v>
      </c>
      <c r="S290" t="s">
        <v>74</v>
      </c>
      <c r="T290" t="s">
        <v>74</v>
      </c>
      <c r="U290" t="s">
        <v>6049</v>
      </c>
      <c r="V290" t="s">
        <v>6050</v>
      </c>
      <c r="W290" t="s">
        <v>6051</v>
      </c>
      <c r="X290" t="s">
        <v>6052</v>
      </c>
      <c r="Y290" t="s">
        <v>6053</v>
      </c>
      <c r="Z290" t="s">
        <v>6054</v>
      </c>
      <c r="AA290" t="s">
        <v>6055</v>
      </c>
      <c r="AB290" t="s">
        <v>6056</v>
      </c>
      <c r="AC290" t="s">
        <v>6057</v>
      </c>
      <c r="AD290" t="s">
        <v>6058</v>
      </c>
      <c r="AE290" t="s">
        <v>6059</v>
      </c>
      <c r="AF290" t="s">
        <v>74</v>
      </c>
      <c r="AG290">
        <v>42</v>
      </c>
      <c r="AH290">
        <v>9</v>
      </c>
      <c r="AI290">
        <v>9</v>
      </c>
      <c r="AJ290">
        <v>0</v>
      </c>
      <c r="AK290">
        <v>11</v>
      </c>
      <c r="AL290" t="s">
        <v>1563</v>
      </c>
      <c r="AM290" t="s">
        <v>1564</v>
      </c>
      <c r="AN290" t="s">
        <v>1565</v>
      </c>
      <c r="AO290" t="s">
        <v>6060</v>
      </c>
      <c r="AP290" t="s">
        <v>6061</v>
      </c>
      <c r="AQ290" t="s">
        <v>74</v>
      </c>
      <c r="AR290" t="s">
        <v>6062</v>
      </c>
      <c r="AS290" t="s">
        <v>6063</v>
      </c>
      <c r="AT290" t="s">
        <v>6064</v>
      </c>
      <c r="AU290">
        <v>2018</v>
      </c>
      <c r="AV290">
        <v>11</v>
      </c>
      <c r="AW290">
        <v>4</v>
      </c>
      <c r="AX290" t="s">
        <v>74</v>
      </c>
      <c r="AY290" t="s">
        <v>74</v>
      </c>
      <c r="AZ290" t="s">
        <v>74</v>
      </c>
      <c r="BA290" t="s">
        <v>74</v>
      </c>
      <c r="BB290">
        <v>2427</v>
      </c>
      <c r="BC290">
        <v>2440</v>
      </c>
      <c r="BD290" t="s">
        <v>74</v>
      </c>
      <c r="BE290" t="s">
        <v>6065</v>
      </c>
      <c r="BF290" t="str">
        <f>HYPERLINK("http://dx.doi.org/10.5194/amt-11-2427-2018","http://dx.doi.org/10.5194/amt-11-2427-2018")</f>
        <v>http://dx.doi.org/10.5194/amt-11-2427-2018</v>
      </c>
      <c r="BG290" t="s">
        <v>74</v>
      </c>
      <c r="BH290" t="s">
        <v>74</v>
      </c>
      <c r="BI290">
        <v>14</v>
      </c>
      <c r="BJ290" t="s">
        <v>131</v>
      </c>
      <c r="BK290" t="s">
        <v>101</v>
      </c>
      <c r="BL290" t="s">
        <v>131</v>
      </c>
      <c r="BM290" t="s">
        <v>6066</v>
      </c>
      <c r="BN290" t="s">
        <v>74</v>
      </c>
      <c r="BO290" t="s">
        <v>133</v>
      </c>
      <c r="BP290" t="s">
        <v>74</v>
      </c>
      <c r="BQ290" t="s">
        <v>74</v>
      </c>
      <c r="BR290" t="s">
        <v>105</v>
      </c>
      <c r="BS290" t="s">
        <v>6067</v>
      </c>
      <c r="BT290" t="str">
        <f>HYPERLINK("https%3A%2F%2Fwww.webofscience.com%2Fwos%2Fwoscc%2Ffull-record%2FWOS:000431006100003","View Full Record in Web of Science")</f>
        <v>View Full Record in Web of Science</v>
      </c>
    </row>
    <row r="291" spans="1:72" x14ac:dyDescent="0.15">
      <c r="A291" t="s">
        <v>72</v>
      </c>
      <c r="B291" t="s">
        <v>6068</v>
      </c>
      <c r="C291" t="s">
        <v>74</v>
      </c>
      <c r="D291" t="s">
        <v>74</v>
      </c>
      <c r="E291" t="s">
        <v>74</v>
      </c>
      <c r="F291" t="s">
        <v>6069</v>
      </c>
      <c r="G291" t="s">
        <v>74</v>
      </c>
      <c r="H291" t="s">
        <v>74</v>
      </c>
      <c r="I291" t="s">
        <v>6070</v>
      </c>
      <c r="J291" t="s">
        <v>6071</v>
      </c>
      <c r="K291" t="s">
        <v>74</v>
      </c>
      <c r="L291" t="s">
        <v>74</v>
      </c>
      <c r="M291" t="s">
        <v>78</v>
      </c>
      <c r="N291" t="s">
        <v>79</v>
      </c>
      <c r="O291" t="s">
        <v>74</v>
      </c>
      <c r="P291" t="s">
        <v>74</v>
      </c>
      <c r="Q291" t="s">
        <v>74</v>
      </c>
      <c r="R291" t="s">
        <v>74</v>
      </c>
      <c r="S291" t="s">
        <v>74</v>
      </c>
      <c r="T291" t="s">
        <v>6072</v>
      </c>
      <c r="U291" t="s">
        <v>6073</v>
      </c>
      <c r="V291" t="s">
        <v>6074</v>
      </c>
      <c r="W291" t="s">
        <v>6075</v>
      </c>
      <c r="X291" t="s">
        <v>6076</v>
      </c>
      <c r="Y291" t="s">
        <v>6077</v>
      </c>
      <c r="Z291" t="s">
        <v>6078</v>
      </c>
      <c r="AA291" t="s">
        <v>6079</v>
      </c>
      <c r="AB291" t="s">
        <v>6080</v>
      </c>
      <c r="AC291" t="s">
        <v>6081</v>
      </c>
      <c r="AD291" t="s">
        <v>6082</v>
      </c>
      <c r="AE291" t="s">
        <v>6083</v>
      </c>
      <c r="AF291" t="s">
        <v>74</v>
      </c>
      <c r="AG291">
        <v>75</v>
      </c>
      <c r="AH291">
        <v>10</v>
      </c>
      <c r="AI291">
        <v>10</v>
      </c>
      <c r="AJ291">
        <v>2</v>
      </c>
      <c r="AK291">
        <v>7</v>
      </c>
      <c r="AL291" t="s">
        <v>372</v>
      </c>
      <c r="AM291" t="s">
        <v>92</v>
      </c>
      <c r="AN291" t="s">
        <v>373</v>
      </c>
      <c r="AO291" t="s">
        <v>6084</v>
      </c>
      <c r="AP291" t="s">
        <v>6085</v>
      </c>
      <c r="AQ291" t="s">
        <v>74</v>
      </c>
      <c r="AR291" t="s">
        <v>6086</v>
      </c>
      <c r="AS291" t="s">
        <v>6087</v>
      </c>
      <c r="AT291" t="s">
        <v>6064</v>
      </c>
      <c r="AU291">
        <v>2018</v>
      </c>
      <c r="AV291">
        <v>845</v>
      </c>
      <c r="AW291" t="s">
        <v>74</v>
      </c>
      <c r="AX291" t="s">
        <v>74</v>
      </c>
      <c r="AY291" t="s">
        <v>74</v>
      </c>
      <c r="AZ291" t="s">
        <v>74</v>
      </c>
      <c r="BA291" t="s">
        <v>74</v>
      </c>
      <c r="BB291">
        <v>392</v>
      </c>
      <c r="BC291">
        <v>416</v>
      </c>
      <c r="BD291" t="s">
        <v>74</v>
      </c>
      <c r="BE291" t="s">
        <v>6088</v>
      </c>
      <c r="BF291" t="str">
        <f>HYPERLINK("http://dx.doi.org/10.1017/jfm.2018.260","http://dx.doi.org/10.1017/jfm.2018.260")</f>
        <v>http://dx.doi.org/10.1017/jfm.2018.260</v>
      </c>
      <c r="BG291" t="s">
        <v>74</v>
      </c>
      <c r="BH291" t="s">
        <v>74</v>
      </c>
      <c r="BI291">
        <v>25</v>
      </c>
      <c r="BJ291" t="s">
        <v>6089</v>
      </c>
      <c r="BK291" t="s">
        <v>101</v>
      </c>
      <c r="BL291" t="s">
        <v>6090</v>
      </c>
      <c r="BM291" t="s">
        <v>6091</v>
      </c>
      <c r="BN291" t="s">
        <v>74</v>
      </c>
      <c r="BO291" t="s">
        <v>74</v>
      </c>
      <c r="BP291" t="s">
        <v>74</v>
      </c>
      <c r="BQ291" t="s">
        <v>74</v>
      </c>
      <c r="BR291" t="s">
        <v>105</v>
      </c>
      <c r="BS291" t="s">
        <v>6092</v>
      </c>
      <c r="BT291" t="str">
        <f>HYPERLINK("https%3A%2F%2Fwww.webofscience.com%2Fwos%2Fwoscc%2Ffull-record%2FWOS:000431015100002","View Full Record in Web of Science")</f>
        <v>View Full Record in Web of Science</v>
      </c>
    </row>
    <row r="292" spans="1:72" x14ac:dyDescent="0.15">
      <c r="A292" t="s">
        <v>72</v>
      </c>
      <c r="B292" t="s">
        <v>6093</v>
      </c>
      <c r="C292" t="s">
        <v>74</v>
      </c>
      <c r="D292" t="s">
        <v>74</v>
      </c>
      <c r="E292" t="s">
        <v>74</v>
      </c>
      <c r="F292" t="s">
        <v>6094</v>
      </c>
      <c r="G292" t="s">
        <v>74</v>
      </c>
      <c r="H292" t="s">
        <v>74</v>
      </c>
      <c r="I292" t="s">
        <v>6095</v>
      </c>
      <c r="J292" t="s">
        <v>1807</v>
      </c>
      <c r="K292" t="s">
        <v>74</v>
      </c>
      <c r="L292" t="s">
        <v>74</v>
      </c>
      <c r="M292" t="s">
        <v>78</v>
      </c>
      <c r="N292" t="s">
        <v>79</v>
      </c>
      <c r="O292" t="s">
        <v>74</v>
      </c>
      <c r="P292" t="s">
        <v>74</v>
      </c>
      <c r="Q292" t="s">
        <v>74</v>
      </c>
      <c r="R292" t="s">
        <v>74</v>
      </c>
      <c r="S292" t="s">
        <v>74</v>
      </c>
      <c r="T292" t="s">
        <v>6096</v>
      </c>
      <c r="U292" t="s">
        <v>6097</v>
      </c>
      <c r="V292" t="s">
        <v>6098</v>
      </c>
      <c r="W292" t="s">
        <v>6099</v>
      </c>
      <c r="X292" t="s">
        <v>6100</v>
      </c>
      <c r="Y292" t="s">
        <v>6101</v>
      </c>
      <c r="Z292" t="s">
        <v>6102</v>
      </c>
      <c r="AA292" t="s">
        <v>74</v>
      </c>
      <c r="AB292" t="s">
        <v>74</v>
      </c>
      <c r="AC292" t="s">
        <v>6103</v>
      </c>
      <c r="AD292" t="s">
        <v>6104</v>
      </c>
      <c r="AE292" t="s">
        <v>6105</v>
      </c>
      <c r="AF292" t="s">
        <v>74</v>
      </c>
      <c r="AG292">
        <v>81</v>
      </c>
      <c r="AH292">
        <v>10</v>
      </c>
      <c r="AI292">
        <v>10</v>
      </c>
      <c r="AJ292">
        <v>1</v>
      </c>
      <c r="AK292">
        <v>23</v>
      </c>
      <c r="AL292" t="s">
        <v>1820</v>
      </c>
      <c r="AM292" t="s">
        <v>1821</v>
      </c>
      <c r="AN292" t="s">
        <v>1822</v>
      </c>
      <c r="AO292" t="s">
        <v>1823</v>
      </c>
      <c r="AP292" t="s">
        <v>1824</v>
      </c>
      <c r="AQ292" t="s">
        <v>74</v>
      </c>
      <c r="AR292" t="s">
        <v>1825</v>
      </c>
      <c r="AS292" t="s">
        <v>1826</v>
      </c>
      <c r="AT292" t="s">
        <v>6064</v>
      </c>
      <c r="AU292">
        <v>2018</v>
      </c>
      <c r="AV292">
        <v>594</v>
      </c>
      <c r="AW292" t="s">
        <v>74</v>
      </c>
      <c r="AX292" t="s">
        <v>74</v>
      </c>
      <c r="AY292" t="s">
        <v>74</v>
      </c>
      <c r="AZ292" t="s">
        <v>74</v>
      </c>
      <c r="BA292" t="s">
        <v>74</v>
      </c>
      <c r="BB292">
        <v>149</v>
      </c>
      <c r="BC292">
        <v>164</v>
      </c>
      <c r="BD292" t="s">
        <v>74</v>
      </c>
      <c r="BE292" t="s">
        <v>6106</v>
      </c>
      <c r="BF292" t="str">
        <f>HYPERLINK("http://dx.doi.org/10.3354/meps12538","http://dx.doi.org/10.3354/meps12538")</f>
        <v>http://dx.doi.org/10.3354/meps12538</v>
      </c>
      <c r="BG292" t="s">
        <v>74</v>
      </c>
      <c r="BH292" t="s">
        <v>74</v>
      </c>
      <c r="BI292">
        <v>16</v>
      </c>
      <c r="BJ292" t="s">
        <v>1828</v>
      </c>
      <c r="BK292" t="s">
        <v>101</v>
      </c>
      <c r="BL292" t="s">
        <v>1829</v>
      </c>
      <c r="BM292" t="s">
        <v>6107</v>
      </c>
      <c r="BN292" t="s">
        <v>74</v>
      </c>
      <c r="BO292" t="s">
        <v>288</v>
      </c>
      <c r="BP292" t="s">
        <v>74</v>
      </c>
      <c r="BQ292" t="s">
        <v>74</v>
      </c>
      <c r="BR292" t="s">
        <v>105</v>
      </c>
      <c r="BS292" t="s">
        <v>6108</v>
      </c>
      <c r="BT292" t="str">
        <f>HYPERLINK("https%3A%2F%2Fwww.webofscience.com%2Fwos%2Fwoscc%2Ffull-record%2FWOS:000431203900011","View Full Record in Web of Science")</f>
        <v>View Full Record in Web of Science</v>
      </c>
    </row>
    <row r="293" spans="1:72" x14ac:dyDescent="0.15">
      <c r="A293" t="s">
        <v>72</v>
      </c>
      <c r="B293" t="s">
        <v>6109</v>
      </c>
      <c r="C293" t="s">
        <v>74</v>
      </c>
      <c r="D293" t="s">
        <v>74</v>
      </c>
      <c r="E293" t="s">
        <v>74</v>
      </c>
      <c r="F293" t="s">
        <v>6110</v>
      </c>
      <c r="G293" t="s">
        <v>74</v>
      </c>
      <c r="H293" t="s">
        <v>74</v>
      </c>
      <c r="I293" t="s">
        <v>6111</v>
      </c>
      <c r="J293" t="s">
        <v>1651</v>
      </c>
      <c r="K293" t="s">
        <v>74</v>
      </c>
      <c r="L293" t="s">
        <v>74</v>
      </c>
      <c r="M293" t="s">
        <v>78</v>
      </c>
      <c r="N293" t="s">
        <v>79</v>
      </c>
      <c r="O293" t="s">
        <v>74</v>
      </c>
      <c r="P293" t="s">
        <v>74</v>
      </c>
      <c r="Q293" t="s">
        <v>74</v>
      </c>
      <c r="R293" t="s">
        <v>74</v>
      </c>
      <c r="S293" t="s">
        <v>74</v>
      </c>
      <c r="T293" t="s">
        <v>74</v>
      </c>
      <c r="U293" t="s">
        <v>6112</v>
      </c>
      <c r="V293" t="s">
        <v>6113</v>
      </c>
      <c r="W293" t="s">
        <v>6114</v>
      </c>
      <c r="X293" t="s">
        <v>6115</v>
      </c>
      <c r="Y293" t="s">
        <v>6116</v>
      </c>
      <c r="Z293" t="s">
        <v>6117</v>
      </c>
      <c r="AA293" t="s">
        <v>6118</v>
      </c>
      <c r="AB293" t="s">
        <v>6119</v>
      </c>
      <c r="AC293" t="s">
        <v>6120</v>
      </c>
      <c r="AD293" t="s">
        <v>6121</v>
      </c>
      <c r="AE293" t="s">
        <v>6122</v>
      </c>
      <c r="AF293" t="s">
        <v>74</v>
      </c>
      <c r="AG293">
        <v>72</v>
      </c>
      <c r="AH293">
        <v>18</v>
      </c>
      <c r="AI293">
        <v>20</v>
      </c>
      <c r="AJ293">
        <v>1</v>
      </c>
      <c r="AK293">
        <v>15</v>
      </c>
      <c r="AL293" t="s">
        <v>1663</v>
      </c>
      <c r="AM293" t="s">
        <v>1664</v>
      </c>
      <c r="AN293" t="s">
        <v>1665</v>
      </c>
      <c r="AO293" t="s">
        <v>1666</v>
      </c>
      <c r="AP293" t="s">
        <v>74</v>
      </c>
      <c r="AQ293" t="s">
        <v>74</v>
      </c>
      <c r="AR293" t="s">
        <v>1667</v>
      </c>
      <c r="AS293" t="s">
        <v>1668</v>
      </c>
      <c r="AT293" t="s">
        <v>6064</v>
      </c>
      <c r="AU293">
        <v>2018</v>
      </c>
      <c r="AV293">
        <v>8</v>
      </c>
      <c r="AW293" t="s">
        <v>74</v>
      </c>
      <c r="AX293" t="s">
        <v>74</v>
      </c>
      <c r="AY293" t="s">
        <v>74</v>
      </c>
      <c r="AZ293" t="s">
        <v>74</v>
      </c>
      <c r="BA293" t="s">
        <v>74</v>
      </c>
      <c r="BB293" t="s">
        <v>74</v>
      </c>
      <c r="BC293" t="s">
        <v>74</v>
      </c>
      <c r="BD293">
        <v>6582</v>
      </c>
      <c r="BE293" t="s">
        <v>6123</v>
      </c>
      <c r="BF293" t="str">
        <f>HYPERLINK("http://dx.doi.org/10.1038/s41598-018-25079-3","http://dx.doi.org/10.1038/s41598-018-25079-3")</f>
        <v>http://dx.doi.org/10.1038/s41598-018-25079-3</v>
      </c>
      <c r="BG293" t="s">
        <v>74</v>
      </c>
      <c r="BH293" t="s">
        <v>74</v>
      </c>
      <c r="BI293">
        <v>9</v>
      </c>
      <c r="BJ293" t="s">
        <v>1670</v>
      </c>
      <c r="BK293" t="s">
        <v>101</v>
      </c>
      <c r="BL293" t="s">
        <v>1671</v>
      </c>
      <c r="BM293" t="s">
        <v>6124</v>
      </c>
      <c r="BN293">
        <v>29700429</v>
      </c>
      <c r="BO293" t="s">
        <v>3105</v>
      </c>
      <c r="BP293" t="s">
        <v>74</v>
      </c>
      <c r="BQ293" t="s">
        <v>74</v>
      </c>
      <c r="BR293" t="s">
        <v>105</v>
      </c>
      <c r="BS293" t="s">
        <v>6125</v>
      </c>
      <c r="BT293" t="str">
        <f>HYPERLINK("https%3A%2F%2Fwww.webofscience.com%2Fwos%2Fwoscc%2Ffull-record%2FWOS:000430919900031","View Full Record in Web of Science")</f>
        <v>View Full Record in Web of Science</v>
      </c>
    </row>
    <row r="294" spans="1:72" x14ac:dyDescent="0.15">
      <c r="A294" t="s">
        <v>72</v>
      </c>
      <c r="B294" t="s">
        <v>6126</v>
      </c>
      <c r="C294" t="s">
        <v>74</v>
      </c>
      <c r="D294" t="s">
        <v>74</v>
      </c>
      <c r="E294" t="s">
        <v>74</v>
      </c>
      <c r="F294" t="s">
        <v>6127</v>
      </c>
      <c r="G294" t="s">
        <v>74</v>
      </c>
      <c r="H294" t="s">
        <v>74</v>
      </c>
      <c r="I294" t="s">
        <v>6128</v>
      </c>
      <c r="J294" t="s">
        <v>2139</v>
      </c>
      <c r="K294" t="s">
        <v>74</v>
      </c>
      <c r="L294" t="s">
        <v>74</v>
      </c>
      <c r="M294" t="s">
        <v>78</v>
      </c>
      <c r="N294" t="s">
        <v>466</v>
      </c>
      <c r="O294" t="s">
        <v>74</v>
      </c>
      <c r="P294" t="s">
        <v>74</v>
      </c>
      <c r="Q294" t="s">
        <v>74</v>
      </c>
      <c r="R294" t="s">
        <v>74</v>
      </c>
      <c r="S294" t="s">
        <v>74</v>
      </c>
      <c r="T294" t="s">
        <v>6129</v>
      </c>
      <c r="U294" t="s">
        <v>6130</v>
      </c>
      <c r="V294" t="s">
        <v>6131</v>
      </c>
      <c r="W294" t="s">
        <v>6132</v>
      </c>
      <c r="X294" t="s">
        <v>6133</v>
      </c>
      <c r="Y294" t="s">
        <v>6134</v>
      </c>
      <c r="Z294" t="s">
        <v>6135</v>
      </c>
      <c r="AA294" t="s">
        <v>6136</v>
      </c>
      <c r="AB294" t="s">
        <v>6137</v>
      </c>
      <c r="AC294" t="s">
        <v>6138</v>
      </c>
      <c r="AD294" t="s">
        <v>6138</v>
      </c>
      <c r="AE294" t="s">
        <v>6139</v>
      </c>
      <c r="AF294" t="s">
        <v>74</v>
      </c>
      <c r="AG294">
        <v>108</v>
      </c>
      <c r="AH294">
        <v>10</v>
      </c>
      <c r="AI294">
        <v>10</v>
      </c>
      <c r="AJ294">
        <v>0</v>
      </c>
      <c r="AK294">
        <v>10</v>
      </c>
      <c r="AL294" t="s">
        <v>2152</v>
      </c>
      <c r="AM294" t="s">
        <v>2153</v>
      </c>
      <c r="AN294" t="s">
        <v>2154</v>
      </c>
      <c r="AO294" t="s">
        <v>74</v>
      </c>
      <c r="AP294" t="s">
        <v>2155</v>
      </c>
      <c r="AQ294" t="s">
        <v>74</v>
      </c>
      <c r="AR294" t="s">
        <v>2156</v>
      </c>
      <c r="AS294" t="s">
        <v>2157</v>
      </c>
      <c r="AT294" t="s">
        <v>6140</v>
      </c>
      <c r="AU294">
        <v>2018</v>
      </c>
      <c r="AV294">
        <v>5</v>
      </c>
      <c r="AW294" t="s">
        <v>74</v>
      </c>
      <c r="AX294" t="s">
        <v>74</v>
      </c>
      <c r="AY294" t="s">
        <v>74</v>
      </c>
      <c r="AZ294" t="s">
        <v>74</v>
      </c>
      <c r="BA294" t="s">
        <v>74</v>
      </c>
      <c r="BB294" t="s">
        <v>74</v>
      </c>
      <c r="BC294" t="s">
        <v>74</v>
      </c>
      <c r="BD294">
        <v>145</v>
      </c>
      <c r="BE294" t="s">
        <v>6141</v>
      </c>
      <c r="BF294" t="str">
        <f>HYPERLINK("http://dx.doi.org/10.3389/fmars.2018.00145","http://dx.doi.org/10.3389/fmars.2018.00145")</f>
        <v>http://dx.doi.org/10.3389/fmars.2018.00145</v>
      </c>
      <c r="BG294" t="s">
        <v>74</v>
      </c>
      <c r="BH294" t="s">
        <v>74</v>
      </c>
      <c r="BI294">
        <v>15</v>
      </c>
      <c r="BJ294" t="s">
        <v>2159</v>
      </c>
      <c r="BK294" t="s">
        <v>484</v>
      </c>
      <c r="BL294" t="s">
        <v>1268</v>
      </c>
      <c r="BM294" t="s">
        <v>6142</v>
      </c>
      <c r="BN294" t="s">
        <v>74</v>
      </c>
      <c r="BO294" t="s">
        <v>781</v>
      </c>
      <c r="BP294" t="s">
        <v>74</v>
      </c>
      <c r="BQ294" t="s">
        <v>74</v>
      </c>
      <c r="BR294" t="s">
        <v>105</v>
      </c>
      <c r="BS294" t="s">
        <v>6143</v>
      </c>
      <c r="BT294" t="str">
        <f>HYPERLINK("https%3A%2F%2Fwww.webofscience.com%2Fwos%2Fwoscc%2Ffull-record%2FWOS:000457086100001","View Full Record in Web of Science")</f>
        <v>View Full Record in Web of Science</v>
      </c>
    </row>
    <row r="295" spans="1:72" x14ac:dyDescent="0.15">
      <c r="A295" t="s">
        <v>72</v>
      </c>
      <c r="B295" t="s">
        <v>6144</v>
      </c>
      <c r="C295" t="s">
        <v>74</v>
      </c>
      <c r="D295" t="s">
        <v>74</v>
      </c>
      <c r="E295" t="s">
        <v>74</v>
      </c>
      <c r="F295" t="s">
        <v>6145</v>
      </c>
      <c r="G295" t="s">
        <v>74</v>
      </c>
      <c r="H295" t="s">
        <v>74</v>
      </c>
      <c r="I295" t="s">
        <v>6146</v>
      </c>
      <c r="J295" t="s">
        <v>1498</v>
      </c>
      <c r="K295" t="s">
        <v>74</v>
      </c>
      <c r="L295" t="s">
        <v>74</v>
      </c>
      <c r="M295" t="s">
        <v>78</v>
      </c>
      <c r="N295" t="s">
        <v>79</v>
      </c>
      <c r="O295" t="s">
        <v>74</v>
      </c>
      <c r="P295" t="s">
        <v>74</v>
      </c>
      <c r="Q295" t="s">
        <v>74</v>
      </c>
      <c r="R295" t="s">
        <v>74</v>
      </c>
      <c r="S295" t="s">
        <v>74</v>
      </c>
      <c r="T295" t="s">
        <v>6147</v>
      </c>
      <c r="U295" t="s">
        <v>74</v>
      </c>
      <c r="V295" t="s">
        <v>6148</v>
      </c>
      <c r="W295" t="s">
        <v>6149</v>
      </c>
      <c r="X295" t="s">
        <v>6150</v>
      </c>
      <c r="Y295" t="s">
        <v>6151</v>
      </c>
      <c r="Z295" t="s">
        <v>6152</v>
      </c>
      <c r="AA295" t="s">
        <v>6153</v>
      </c>
      <c r="AB295" t="s">
        <v>6154</v>
      </c>
      <c r="AC295" t="s">
        <v>6155</v>
      </c>
      <c r="AD295" t="s">
        <v>6156</v>
      </c>
      <c r="AE295" t="s">
        <v>6157</v>
      </c>
      <c r="AF295" t="s">
        <v>74</v>
      </c>
      <c r="AG295">
        <v>25</v>
      </c>
      <c r="AH295">
        <v>8</v>
      </c>
      <c r="AI295">
        <v>9</v>
      </c>
      <c r="AJ295">
        <v>1</v>
      </c>
      <c r="AK295">
        <v>20</v>
      </c>
      <c r="AL295" t="s">
        <v>6158</v>
      </c>
      <c r="AM295" t="s">
        <v>1512</v>
      </c>
      <c r="AN295" t="s">
        <v>1513</v>
      </c>
      <c r="AO295" t="s">
        <v>1514</v>
      </c>
      <c r="AP295" t="s">
        <v>1515</v>
      </c>
      <c r="AQ295" t="s">
        <v>74</v>
      </c>
      <c r="AR295" t="s">
        <v>1516</v>
      </c>
      <c r="AS295" t="s">
        <v>1517</v>
      </c>
      <c r="AT295" t="s">
        <v>6140</v>
      </c>
      <c r="AU295">
        <v>2018</v>
      </c>
      <c r="AV295">
        <v>51</v>
      </c>
      <c r="AW295">
        <v>16</v>
      </c>
      <c r="AX295" t="s">
        <v>74</v>
      </c>
      <c r="AY295" t="s">
        <v>74</v>
      </c>
      <c r="AZ295" t="s">
        <v>74</v>
      </c>
      <c r="BA295" t="s">
        <v>74</v>
      </c>
      <c r="BB295" t="s">
        <v>74</v>
      </c>
      <c r="BC295" t="s">
        <v>74</v>
      </c>
      <c r="BD295">
        <v>164004</v>
      </c>
      <c r="BE295" t="s">
        <v>6159</v>
      </c>
      <c r="BF295" t="str">
        <f>HYPERLINK("http://dx.doi.org/10.1088/1361-6463/aab46b","http://dx.doi.org/10.1088/1361-6463/aab46b")</f>
        <v>http://dx.doi.org/10.1088/1361-6463/aab46b</v>
      </c>
      <c r="BG295" t="s">
        <v>74</v>
      </c>
      <c r="BH295" t="s">
        <v>74</v>
      </c>
      <c r="BI295">
        <v>8</v>
      </c>
      <c r="BJ295" t="s">
        <v>1520</v>
      </c>
      <c r="BK295" t="s">
        <v>101</v>
      </c>
      <c r="BL295" t="s">
        <v>1521</v>
      </c>
      <c r="BM295" t="s">
        <v>6160</v>
      </c>
      <c r="BN295">
        <v>30319146</v>
      </c>
      <c r="BO295" t="s">
        <v>1085</v>
      </c>
      <c r="BP295" t="s">
        <v>74</v>
      </c>
      <c r="BQ295" t="s">
        <v>74</v>
      </c>
      <c r="BR295" t="s">
        <v>105</v>
      </c>
      <c r="BS295" t="s">
        <v>6161</v>
      </c>
      <c r="BT295" t="str">
        <f>HYPERLINK("https%3A%2F%2Fwww.webofscience.com%2Fwos%2Fwoscc%2Ffull-record%2FWOS:000429230600001","View Full Record in Web of Science")</f>
        <v>View Full Record in Web of Science</v>
      </c>
    </row>
    <row r="296" spans="1:72" x14ac:dyDescent="0.15">
      <c r="A296" t="s">
        <v>72</v>
      </c>
      <c r="B296" t="s">
        <v>6162</v>
      </c>
      <c r="C296" t="s">
        <v>74</v>
      </c>
      <c r="D296" t="s">
        <v>74</v>
      </c>
      <c r="E296" t="s">
        <v>74</v>
      </c>
      <c r="F296" t="s">
        <v>6163</v>
      </c>
      <c r="G296" t="s">
        <v>74</v>
      </c>
      <c r="H296" t="s">
        <v>74</v>
      </c>
      <c r="I296" t="s">
        <v>6164</v>
      </c>
      <c r="J296" t="s">
        <v>6165</v>
      </c>
      <c r="K296" t="s">
        <v>74</v>
      </c>
      <c r="L296" t="s">
        <v>74</v>
      </c>
      <c r="M296" t="s">
        <v>78</v>
      </c>
      <c r="N296" t="s">
        <v>79</v>
      </c>
      <c r="O296" t="s">
        <v>74</v>
      </c>
      <c r="P296" t="s">
        <v>74</v>
      </c>
      <c r="Q296" t="s">
        <v>74</v>
      </c>
      <c r="R296" t="s">
        <v>74</v>
      </c>
      <c r="S296" t="s">
        <v>74</v>
      </c>
      <c r="T296" t="s">
        <v>74</v>
      </c>
      <c r="U296" t="s">
        <v>6166</v>
      </c>
      <c r="V296" t="s">
        <v>6167</v>
      </c>
      <c r="W296" t="s">
        <v>6168</v>
      </c>
      <c r="X296" t="s">
        <v>6169</v>
      </c>
      <c r="Y296" t="s">
        <v>6170</v>
      </c>
      <c r="Z296" t="s">
        <v>6171</v>
      </c>
      <c r="AA296" t="s">
        <v>6172</v>
      </c>
      <c r="AB296" t="s">
        <v>6173</v>
      </c>
      <c r="AC296" t="s">
        <v>6174</v>
      </c>
      <c r="AD296" t="s">
        <v>6175</v>
      </c>
      <c r="AE296" t="s">
        <v>6176</v>
      </c>
      <c r="AF296" t="s">
        <v>74</v>
      </c>
      <c r="AG296">
        <v>71</v>
      </c>
      <c r="AH296">
        <v>47</v>
      </c>
      <c r="AI296">
        <v>50</v>
      </c>
      <c r="AJ296">
        <v>3</v>
      </c>
      <c r="AK296">
        <v>29</v>
      </c>
      <c r="AL296" t="s">
        <v>1563</v>
      </c>
      <c r="AM296" t="s">
        <v>1564</v>
      </c>
      <c r="AN296" t="s">
        <v>1565</v>
      </c>
      <c r="AO296" t="s">
        <v>6177</v>
      </c>
      <c r="AP296" t="s">
        <v>6178</v>
      </c>
      <c r="AQ296" t="s">
        <v>74</v>
      </c>
      <c r="AR296" t="s">
        <v>6179</v>
      </c>
      <c r="AS296" t="s">
        <v>6180</v>
      </c>
      <c r="AT296" t="s">
        <v>6181</v>
      </c>
      <c r="AU296">
        <v>2018</v>
      </c>
      <c r="AV296">
        <v>11</v>
      </c>
      <c r="AW296">
        <v>4</v>
      </c>
      <c r="AX296" t="s">
        <v>74</v>
      </c>
      <c r="AY296" t="s">
        <v>74</v>
      </c>
      <c r="AZ296" t="s">
        <v>74</v>
      </c>
      <c r="BA296" t="s">
        <v>74</v>
      </c>
      <c r="BB296">
        <v>1607</v>
      </c>
      <c r="BC296">
        <v>1626</v>
      </c>
      <c r="BD296" t="s">
        <v>74</v>
      </c>
      <c r="BE296" t="s">
        <v>6182</v>
      </c>
      <c r="BF296" t="str">
        <f>HYPERLINK("http://dx.doi.org/10.5194/gmd-11-1607-2018","http://dx.doi.org/10.5194/gmd-11-1607-2018")</f>
        <v>http://dx.doi.org/10.5194/gmd-11-1607-2018</v>
      </c>
      <c r="BG296" t="s">
        <v>74</v>
      </c>
      <c r="BH296" t="s">
        <v>74</v>
      </c>
      <c r="BI296">
        <v>20</v>
      </c>
      <c r="BJ296" t="s">
        <v>1243</v>
      </c>
      <c r="BK296" t="s">
        <v>101</v>
      </c>
      <c r="BL296" t="s">
        <v>1181</v>
      </c>
      <c r="BM296" t="s">
        <v>6183</v>
      </c>
      <c r="BN296" t="s">
        <v>74</v>
      </c>
      <c r="BO296" t="s">
        <v>830</v>
      </c>
      <c r="BP296" t="s">
        <v>74</v>
      </c>
      <c r="BQ296" t="s">
        <v>74</v>
      </c>
      <c r="BR296" t="s">
        <v>105</v>
      </c>
      <c r="BS296" t="s">
        <v>6184</v>
      </c>
      <c r="BT296" t="str">
        <f>HYPERLINK("https%3A%2F%2Fwww.webofscience.com%2Fwos%2Fwoscc%2Ffull-record%2FWOS:000430798000001","View Full Record in Web of Science")</f>
        <v>View Full Record in Web of Science</v>
      </c>
    </row>
    <row r="297" spans="1:72" x14ac:dyDescent="0.15">
      <c r="A297" t="s">
        <v>72</v>
      </c>
      <c r="B297" t="s">
        <v>6185</v>
      </c>
      <c r="C297" t="s">
        <v>74</v>
      </c>
      <c r="D297" t="s">
        <v>74</v>
      </c>
      <c r="E297" t="s">
        <v>74</v>
      </c>
      <c r="F297" t="s">
        <v>6186</v>
      </c>
      <c r="G297" t="s">
        <v>74</v>
      </c>
      <c r="H297" t="s">
        <v>74</v>
      </c>
      <c r="I297" t="s">
        <v>6187</v>
      </c>
      <c r="J297" t="s">
        <v>2298</v>
      </c>
      <c r="K297" t="s">
        <v>74</v>
      </c>
      <c r="L297" t="s">
        <v>74</v>
      </c>
      <c r="M297" t="s">
        <v>78</v>
      </c>
      <c r="N297" t="s">
        <v>79</v>
      </c>
      <c r="O297" t="s">
        <v>74</v>
      </c>
      <c r="P297" t="s">
        <v>74</v>
      </c>
      <c r="Q297" t="s">
        <v>74</v>
      </c>
      <c r="R297" t="s">
        <v>74</v>
      </c>
      <c r="S297" t="s">
        <v>74</v>
      </c>
      <c r="T297" t="s">
        <v>74</v>
      </c>
      <c r="U297" t="s">
        <v>6188</v>
      </c>
      <c r="V297" t="s">
        <v>6189</v>
      </c>
      <c r="W297" t="s">
        <v>6190</v>
      </c>
      <c r="X297" t="s">
        <v>6191</v>
      </c>
      <c r="Y297" t="s">
        <v>6192</v>
      </c>
      <c r="Z297" t="s">
        <v>6193</v>
      </c>
      <c r="AA297" t="s">
        <v>6194</v>
      </c>
      <c r="AB297" t="s">
        <v>6195</v>
      </c>
      <c r="AC297" t="s">
        <v>6196</v>
      </c>
      <c r="AD297" t="s">
        <v>6197</v>
      </c>
      <c r="AE297" t="s">
        <v>6198</v>
      </c>
      <c r="AF297" t="s">
        <v>74</v>
      </c>
      <c r="AG297">
        <v>74</v>
      </c>
      <c r="AH297">
        <v>13</v>
      </c>
      <c r="AI297">
        <v>13</v>
      </c>
      <c r="AJ297">
        <v>0</v>
      </c>
      <c r="AK297">
        <v>15</v>
      </c>
      <c r="AL297" t="s">
        <v>2310</v>
      </c>
      <c r="AM297" t="s">
        <v>2311</v>
      </c>
      <c r="AN297" t="s">
        <v>2312</v>
      </c>
      <c r="AO297" t="s">
        <v>2313</v>
      </c>
      <c r="AP297" t="s">
        <v>74</v>
      </c>
      <c r="AQ297" t="s">
        <v>74</v>
      </c>
      <c r="AR297" t="s">
        <v>2298</v>
      </c>
      <c r="AS297" t="s">
        <v>2314</v>
      </c>
      <c r="AT297" t="s">
        <v>6199</v>
      </c>
      <c r="AU297">
        <v>2018</v>
      </c>
      <c r="AV297">
        <v>13</v>
      </c>
      <c r="AW297">
        <v>4</v>
      </c>
      <c r="AX297" t="s">
        <v>74</v>
      </c>
      <c r="AY297" t="s">
        <v>74</v>
      </c>
      <c r="AZ297" t="s">
        <v>74</v>
      </c>
      <c r="BA297" t="s">
        <v>74</v>
      </c>
      <c r="BB297" t="s">
        <v>74</v>
      </c>
      <c r="BC297" t="s">
        <v>74</v>
      </c>
      <c r="BD297" t="s">
        <v>6200</v>
      </c>
      <c r="BE297" t="s">
        <v>6201</v>
      </c>
      <c r="BF297" t="str">
        <f>HYPERLINK("http://dx.doi.org/10.1371/journal.pone.0196054","http://dx.doi.org/10.1371/journal.pone.0196054")</f>
        <v>http://dx.doi.org/10.1371/journal.pone.0196054</v>
      </c>
      <c r="BG297" t="s">
        <v>74</v>
      </c>
      <c r="BH297" t="s">
        <v>74</v>
      </c>
      <c r="BI297">
        <v>20</v>
      </c>
      <c r="BJ297" t="s">
        <v>1670</v>
      </c>
      <c r="BK297" t="s">
        <v>101</v>
      </c>
      <c r="BL297" t="s">
        <v>1671</v>
      </c>
      <c r="BM297" t="s">
        <v>6202</v>
      </c>
      <c r="BN297">
        <v>29684071</v>
      </c>
      <c r="BO297" t="s">
        <v>672</v>
      </c>
      <c r="BP297" t="s">
        <v>74</v>
      </c>
      <c r="BQ297" t="s">
        <v>74</v>
      </c>
      <c r="BR297" t="s">
        <v>105</v>
      </c>
      <c r="BS297" t="s">
        <v>6203</v>
      </c>
      <c r="BT297" t="str">
        <f>HYPERLINK("https%3A%2F%2Fwww.webofscience.com%2Fwos%2Fwoscc%2Ffull-record%2FWOS:000430660600035","View Full Record in Web of Science")</f>
        <v>View Full Record in Web of Science</v>
      </c>
    </row>
    <row r="298" spans="1:72" x14ac:dyDescent="0.15">
      <c r="A298" t="s">
        <v>72</v>
      </c>
      <c r="B298" t="s">
        <v>6204</v>
      </c>
      <c r="C298" t="s">
        <v>74</v>
      </c>
      <c r="D298" t="s">
        <v>74</v>
      </c>
      <c r="E298" t="s">
        <v>74</v>
      </c>
      <c r="F298" t="s">
        <v>6205</v>
      </c>
      <c r="G298" t="s">
        <v>74</v>
      </c>
      <c r="H298" t="s">
        <v>74</v>
      </c>
      <c r="I298" t="s">
        <v>6206</v>
      </c>
      <c r="J298" t="s">
        <v>1598</v>
      </c>
      <c r="K298" t="s">
        <v>74</v>
      </c>
      <c r="L298" t="s">
        <v>74</v>
      </c>
      <c r="M298" t="s">
        <v>78</v>
      </c>
      <c r="N298" t="s">
        <v>79</v>
      </c>
      <c r="O298" t="s">
        <v>74</v>
      </c>
      <c r="P298" t="s">
        <v>74</v>
      </c>
      <c r="Q298" t="s">
        <v>74</v>
      </c>
      <c r="R298" t="s">
        <v>74</v>
      </c>
      <c r="S298" t="s">
        <v>74</v>
      </c>
      <c r="T298" t="s">
        <v>6207</v>
      </c>
      <c r="U298" t="s">
        <v>6208</v>
      </c>
      <c r="V298" t="s">
        <v>6209</v>
      </c>
      <c r="W298" t="s">
        <v>6210</v>
      </c>
      <c r="X298" t="s">
        <v>6211</v>
      </c>
      <c r="Y298" t="s">
        <v>6212</v>
      </c>
      <c r="Z298" t="s">
        <v>6213</v>
      </c>
      <c r="AA298" t="s">
        <v>6214</v>
      </c>
      <c r="AB298" t="s">
        <v>6215</v>
      </c>
      <c r="AC298" t="s">
        <v>6216</v>
      </c>
      <c r="AD298" t="s">
        <v>6216</v>
      </c>
      <c r="AE298" t="s">
        <v>6217</v>
      </c>
      <c r="AF298" t="s">
        <v>74</v>
      </c>
      <c r="AG298">
        <v>65</v>
      </c>
      <c r="AH298">
        <v>46</v>
      </c>
      <c r="AI298">
        <v>49</v>
      </c>
      <c r="AJ298">
        <v>3</v>
      </c>
      <c r="AK298">
        <v>13</v>
      </c>
      <c r="AL298" t="s">
        <v>123</v>
      </c>
      <c r="AM298" t="s">
        <v>124</v>
      </c>
      <c r="AN298" t="s">
        <v>125</v>
      </c>
      <c r="AO298" t="s">
        <v>1609</v>
      </c>
      <c r="AP298" t="s">
        <v>1610</v>
      </c>
      <c r="AQ298" t="s">
        <v>74</v>
      </c>
      <c r="AR298" t="s">
        <v>1611</v>
      </c>
      <c r="AS298" t="s">
        <v>1612</v>
      </c>
      <c r="AT298" t="s">
        <v>6218</v>
      </c>
      <c r="AU298">
        <v>2018</v>
      </c>
      <c r="AV298">
        <v>50</v>
      </c>
      <c r="AW298">
        <v>1</v>
      </c>
      <c r="AX298" t="s">
        <v>74</v>
      </c>
      <c r="AY298" t="s">
        <v>74</v>
      </c>
      <c r="AZ298" t="s">
        <v>74</v>
      </c>
      <c r="BA298" t="s">
        <v>74</v>
      </c>
      <c r="BB298" t="s">
        <v>74</v>
      </c>
      <c r="BC298" t="s">
        <v>74</v>
      </c>
      <c r="BD298" t="s">
        <v>6219</v>
      </c>
      <c r="BE298" t="s">
        <v>6220</v>
      </c>
      <c r="BF298" t="str">
        <f>HYPERLINK("http://dx.doi.org/10.1080/15230430.2017.1420954","http://dx.doi.org/10.1080/15230430.2017.1420954")</f>
        <v>http://dx.doi.org/10.1080/15230430.2017.1420954</v>
      </c>
      <c r="BG298" t="s">
        <v>74</v>
      </c>
      <c r="BH298" t="s">
        <v>74</v>
      </c>
      <c r="BI298">
        <v>16</v>
      </c>
      <c r="BJ298" t="s">
        <v>1616</v>
      </c>
      <c r="BK298" t="s">
        <v>101</v>
      </c>
      <c r="BL298" t="s">
        <v>1617</v>
      </c>
      <c r="BM298" t="s">
        <v>6221</v>
      </c>
      <c r="BN298" t="s">
        <v>74</v>
      </c>
      <c r="BO298" t="s">
        <v>2998</v>
      </c>
      <c r="BP298" t="s">
        <v>74</v>
      </c>
      <c r="BQ298" t="s">
        <v>74</v>
      </c>
      <c r="BR298" t="s">
        <v>105</v>
      </c>
      <c r="BS298" t="s">
        <v>6222</v>
      </c>
      <c r="BT298" t="str">
        <f>HYPERLINK("https%3A%2F%2Fwww.webofscience.com%2Fwos%2Fwoscc%2Ffull-record%2FWOS:000438742700001","View Full Record in Web of Science")</f>
        <v>View Full Record in Web of Science</v>
      </c>
    </row>
    <row r="299" spans="1:72" x14ac:dyDescent="0.15">
      <c r="A299" t="s">
        <v>72</v>
      </c>
      <c r="B299" t="s">
        <v>6223</v>
      </c>
      <c r="C299" t="s">
        <v>74</v>
      </c>
      <c r="D299" t="s">
        <v>74</v>
      </c>
      <c r="E299" t="s">
        <v>74</v>
      </c>
      <c r="F299" t="s">
        <v>6224</v>
      </c>
      <c r="G299" t="s">
        <v>74</v>
      </c>
      <c r="H299" t="s">
        <v>74</v>
      </c>
      <c r="I299" t="s">
        <v>6225</v>
      </c>
      <c r="J299" t="s">
        <v>1598</v>
      </c>
      <c r="K299" t="s">
        <v>74</v>
      </c>
      <c r="L299" t="s">
        <v>74</v>
      </c>
      <c r="M299" t="s">
        <v>78</v>
      </c>
      <c r="N299" t="s">
        <v>79</v>
      </c>
      <c r="O299" t="s">
        <v>74</v>
      </c>
      <c r="P299" t="s">
        <v>74</v>
      </c>
      <c r="Q299" t="s">
        <v>74</v>
      </c>
      <c r="R299" t="s">
        <v>74</v>
      </c>
      <c r="S299" t="s">
        <v>74</v>
      </c>
      <c r="T299" t="s">
        <v>6226</v>
      </c>
      <c r="U299" t="s">
        <v>6227</v>
      </c>
      <c r="V299" t="s">
        <v>6228</v>
      </c>
      <c r="W299" t="s">
        <v>6229</v>
      </c>
      <c r="X299" t="s">
        <v>6230</v>
      </c>
      <c r="Y299" t="s">
        <v>6231</v>
      </c>
      <c r="Z299" t="s">
        <v>6232</v>
      </c>
      <c r="AA299" t="s">
        <v>6233</v>
      </c>
      <c r="AB299" t="s">
        <v>6234</v>
      </c>
      <c r="AC299" t="s">
        <v>6235</v>
      </c>
      <c r="AD299" t="s">
        <v>6236</v>
      </c>
      <c r="AE299" t="s">
        <v>6237</v>
      </c>
      <c r="AF299" t="s">
        <v>74</v>
      </c>
      <c r="AG299">
        <v>72</v>
      </c>
      <c r="AH299">
        <v>5</v>
      </c>
      <c r="AI299">
        <v>5</v>
      </c>
      <c r="AJ299">
        <v>2</v>
      </c>
      <c r="AK299">
        <v>25</v>
      </c>
      <c r="AL299" t="s">
        <v>123</v>
      </c>
      <c r="AM299" t="s">
        <v>124</v>
      </c>
      <c r="AN299" t="s">
        <v>125</v>
      </c>
      <c r="AO299" t="s">
        <v>1609</v>
      </c>
      <c r="AP299" t="s">
        <v>1610</v>
      </c>
      <c r="AQ299" t="s">
        <v>74</v>
      </c>
      <c r="AR299" t="s">
        <v>1611</v>
      </c>
      <c r="AS299" t="s">
        <v>1612</v>
      </c>
      <c r="AT299" t="s">
        <v>6218</v>
      </c>
      <c r="AU299">
        <v>2018</v>
      </c>
      <c r="AV299">
        <v>50</v>
      </c>
      <c r="AW299">
        <v>1</v>
      </c>
      <c r="AX299" t="s">
        <v>74</v>
      </c>
      <c r="AY299" t="s">
        <v>74</v>
      </c>
      <c r="AZ299" t="s">
        <v>74</v>
      </c>
      <c r="BA299" t="s">
        <v>74</v>
      </c>
      <c r="BB299" t="s">
        <v>74</v>
      </c>
      <c r="BC299" t="s">
        <v>74</v>
      </c>
      <c r="BD299" t="s">
        <v>6238</v>
      </c>
      <c r="BE299" t="s">
        <v>6239</v>
      </c>
      <c r="BF299" t="str">
        <f>HYPERLINK("http://dx.doi.org/10.1080/15230430.2017.1420282","http://dx.doi.org/10.1080/15230430.2017.1420282")</f>
        <v>http://dx.doi.org/10.1080/15230430.2017.1420282</v>
      </c>
      <c r="BG299" t="s">
        <v>74</v>
      </c>
      <c r="BH299" t="s">
        <v>74</v>
      </c>
      <c r="BI299">
        <v>12</v>
      </c>
      <c r="BJ299" t="s">
        <v>1616</v>
      </c>
      <c r="BK299" t="s">
        <v>101</v>
      </c>
      <c r="BL299" t="s">
        <v>1617</v>
      </c>
      <c r="BM299" t="s">
        <v>6240</v>
      </c>
      <c r="BN299" t="s">
        <v>74</v>
      </c>
      <c r="BO299" t="s">
        <v>2998</v>
      </c>
      <c r="BP299" t="s">
        <v>74</v>
      </c>
      <c r="BQ299" t="s">
        <v>74</v>
      </c>
      <c r="BR299" t="s">
        <v>105</v>
      </c>
      <c r="BS299" t="s">
        <v>6241</v>
      </c>
      <c r="BT299" t="str">
        <f>HYPERLINK("https%3A%2F%2Fwww.webofscience.com%2Fwos%2Fwoscc%2Ffull-record%2FWOS:000438746400001","View Full Record in Web of Science")</f>
        <v>View Full Record in Web of Science</v>
      </c>
    </row>
    <row r="300" spans="1:72" x14ac:dyDescent="0.15">
      <c r="A300" t="s">
        <v>72</v>
      </c>
      <c r="B300" t="s">
        <v>6242</v>
      </c>
      <c r="C300" t="s">
        <v>74</v>
      </c>
      <c r="D300" t="s">
        <v>74</v>
      </c>
      <c r="E300" t="s">
        <v>74</v>
      </c>
      <c r="F300" t="s">
        <v>6243</v>
      </c>
      <c r="G300" t="s">
        <v>74</v>
      </c>
      <c r="H300" t="s">
        <v>74</v>
      </c>
      <c r="I300" t="s">
        <v>6244</v>
      </c>
      <c r="J300" t="s">
        <v>1598</v>
      </c>
      <c r="K300" t="s">
        <v>74</v>
      </c>
      <c r="L300" t="s">
        <v>74</v>
      </c>
      <c r="M300" t="s">
        <v>78</v>
      </c>
      <c r="N300" t="s">
        <v>79</v>
      </c>
      <c r="O300" t="s">
        <v>74</v>
      </c>
      <c r="P300" t="s">
        <v>74</v>
      </c>
      <c r="Q300" t="s">
        <v>74</v>
      </c>
      <c r="R300" t="s">
        <v>74</v>
      </c>
      <c r="S300" t="s">
        <v>74</v>
      </c>
      <c r="T300" t="s">
        <v>6245</v>
      </c>
      <c r="U300" t="s">
        <v>6246</v>
      </c>
      <c r="V300" t="s">
        <v>6247</v>
      </c>
      <c r="W300" t="s">
        <v>6248</v>
      </c>
      <c r="X300" t="s">
        <v>6249</v>
      </c>
      <c r="Y300" t="s">
        <v>6250</v>
      </c>
      <c r="Z300" t="s">
        <v>6251</v>
      </c>
      <c r="AA300" t="s">
        <v>74</v>
      </c>
      <c r="AB300" t="s">
        <v>74</v>
      </c>
      <c r="AC300" t="s">
        <v>6252</v>
      </c>
      <c r="AD300" t="s">
        <v>3057</v>
      </c>
      <c r="AE300" t="s">
        <v>6253</v>
      </c>
      <c r="AF300" t="s">
        <v>74</v>
      </c>
      <c r="AG300">
        <v>69</v>
      </c>
      <c r="AH300">
        <v>11</v>
      </c>
      <c r="AI300">
        <v>12</v>
      </c>
      <c r="AJ300">
        <v>3</v>
      </c>
      <c r="AK300">
        <v>38</v>
      </c>
      <c r="AL300" t="s">
        <v>123</v>
      </c>
      <c r="AM300" t="s">
        <v>124</v>
      </c>
      <c r="AN300" t="s">
        <v>125</v>
      </c>
      <c r="AO300" t="s">
        <v>1609</v>
      </c>
      <c r="AP300" t="s">
        <v>1610</v>
      </c>
      <c r="AQ300" t="s">
        <v>74</v>
      </c>
      <c r="AR300" t="s">
        <v>1611</v>
      </c>
      <c r="AS300" t="s">
        <v>1612</v>
      </c>
      <c r="AT300" t="s">
        <v>6218</v>
      </c>
      <c r="AU300">
        <v>2018</v>
      </c>
      <c r="AV300">
        <v>50</v>
      </c>
      <c r="AW300">
        <v>1</v>
      </c>
      <c r="AX300" t="s">
        <v>74</v>
      </c>
      <c r="AY300" t="s">
        <v>74</v>
      </c>
      <c r="AZ300" t="s">
        <v>74</v>
      </c>
      <c r="BA300" t="s">
        <v>74</v>
      </c>
      <c r="BB300" t="s">
        <v>74</v>
      </c>
      <c r="BC300" t="s">
        <v>74</v>
      </c>
      <c r="BD300" t="s">
        <v>6254</v>
      </c>
      <c r="BE300" t="s">
        <v>6255</v>
      </c>
      <c r="BF300" t="str">
        <f>HYPERLINK("http://dx.doi.org/10.1080/15230430.2017.1420953","http://dx.doi.org/10.1080/15230430.2017.1420953")</f>
        <v>http://dx.doi.org/10.1080/15230430.2017.1420953</v>
      </c>
      <c r="BG300" t="s">
        <v>74</v>
      </c>
      <c r="BH300" t="s">
        <v>74</v>
      </c>
      <c r="BI300">
        <v>15</v>
      </c>
      <c r="BJ300" t="s">
        <v>1616</v>
      </c>
      <c r="BK300" t="s">
        <v>101</v>
      </c>
      <c r="BL300" t="s">
        <v>1617</v>
      </c>
      <c r="BM300" t="s">
        <v>6256</v>
      </c>
      <c r="BN300" t="s">
        <v>74</v>
      </c>
      <c r="BO300" t="s">
        <v>133</v>
      </c>
      <c r="BP300" t="s">
        <v>74</v>
      </c>
      <c r="BQ300" t="s">
        <v>74</v>
      </c>
      <c r="BR300" t="s">
        <v>105</v>
      </c>
      <c r="BS300" t="s">
        <v>6257</v>
      </c>
      <c r="BT300" t="str">
        <f>HYPERLINK("https%3A%2F%2Fwww.webofscience.com%2Fwos%2Fwoscc%2Ffull-record%2FWOS:000438747900001","View Full Record in Web of Science")</f>
        <v>View Full Record in Web of Science</v>
      </c>
    </row>
    <row r="301" spans="1:72" x14ac:dyDescent="0.15">
      <c r="A301" t="s">
        <v>72</v>
      </c>
      <c r="B301" t="s">
        <v>6258</v>
      </c>
      <c r="C301" t="s">
        <v>74</v>
      </c>
      <c r="D301" t="s">
        <v>74</v>
      </c>
      <c r="E301" t="s">
        <v>74</v>
      </c>
      <c r="F301" t="s">
        <v>6259</v>
      </c>
      <c r="G301" t="s">
        <v>74</v>
      </c>
      <c r="H301" t="s">
        <v>74</v>
      </c>
      <c r="I301" t="s">
        <v>6260</v>
      </c>
      <c r="J301" t="s">
        <v>1598</v>
      </c>
      <c r="K301" t="s">
        <v>74</v>
      </c>
      <c r="L301" t="s">
        <v>74</v>
      </c>
      <c r="M301" t="s">
        <v>78</v>
      </c>
      <c r="N301" t="s">
        <v>79</v>
      </c>
      <c r="O301" t="s">
        <v>74</v>
      </c>
      <c r="P301" t="s">
        <v>74</v>
      </c>
      <c r="Q301" t="s">
        <v>74</v>
      </c>
      <c r="R301" t="s">
        <v>74</v>
      </c>
      <c r="S301" t="s">
        <v>74</v>
      </c>
      <c r="T301" t="s">
        <v>6261</v>
      </c>
      <c r="U301" t="s">
        <v>6262</v>
      </c>
      <c r="V301" t="s">
        <v>6263</v>
      </c>
      <c r="W301" t="s">
        <v>6264</v>
      </c>
      <c r="X301" t="s">
        <v>6265</v>
      </c>
      <c r="Y301" t="s">
        <v>6266</v>
      </c>
      <c r="Z301" t="s">
        <v>6267</v>
      </c>
      <c r="AA301" t="s">
        <v>6268</v>
      </c>
      <c r="AB301" t="s">
        <v>6269</v>
      </c>
      <c r="AC301" t="s">
        <v>6270</v>
      </c>
      <c r="AD301" t="s">
        <v>6271</v>
      </c>
      <c r="AE301" t="s">
        <v>6272</v>
      </c>
      <c r="AF301" t="s">
        <v>74</v>
      </c>
      <c r="AG301">
        <v>55</v>
      </c>
      <c r="AH301">
        <v>17</v>
      </c>
      <c r="AI301">
        <v>18</v>
      </c>
      <c r="AJ301">
        <v>1</v>
      </c>
      <c r="AK301">
        <v>15</v>
      </c>
      <c r="AL301" t="s">
        <v>123</v>
      </c>
      <c r="AM301" t="s">
        <v>124</v>
      </c>
      <c r="AN301" t="s">
        <v>125</v>
      </c>
      <c r="AO301" t="s">
        <v>1609</v>
      </c>
      <c r="AP301" t="s">
        <v>1610</v>
      </c>
      <c r="AQ301" t="s">
        <v>74</v>
      </c>
      <c r="AR301" t="s">
        <v>1611</v>
      </c>
      <c r="AS301" t="s">
        <v>1612</v>
      </c>
      <c r="AT301" t="s">
        <v>6218</v>
      </c>
      <c r="AU301">
        <v>2018</v>
      </c>
      <c r="AV301">
        <v>50</v>
      </c>
      <c r="AW301">
        <v>1</v>
      </c>
      <c r="AX301" t="s">
        <v>74</v>
      </c>
      <c r="AY301" t="s">
        <v>74</v>
      </c>
      <c r="AZ301" t="s">
        <v>74</v>
      </c>
      <c r="BA301" t="s">
        <v>74</v>
      </c>
      <c r="BB301" t="s">
        <v>74</v>
      </c>
      <c r="BC301" t="s">
        <v>74</v>
      </c>
      <c r="BD301" t="s">
        <v>6273</v>
      </c>
      <c r="BE301" t="s">
        <v>6274</v>
      </c>
      <c r="BF301" t="str">
        <f>HYPERLINK("http://dx.doi.org/10.1080/15230430.2018.1433789","http://dx.doi.org/10.1080/15230430.2018.1433789")</f>
        <v>http://dx.doi.org/10.1080/15230430.2018.1433789</v>
      </c>
      <c r="BG301" t="s">
        <v>74</v>
      </c>
      <c r="BH301" t="s">
        <v>74</v>
      </c>
      <c r="BI301">
        <v>13</v>
      </c>
      <c r="BJ301" t="s">
        <v>1616</v>
      </c>
      <c r="BK301" t="s">
        <v>101</v>
      </c>
      <c r="BL301" t="s">
        <v>1617</v>
      </c>
      <c r="BM301" t="s">
        <v>6275</v>
      </c>
      <c r="BN301" t="s">
        <v>74</v>
      </c>
      <c r="BO301" t="s">
        <v>2998</v>
      </c>
      <c r="BP301" t="s">
        <v>74</v>
      </c>
      <c r="BQ301" t="s">
        <v>74</v>
      </c>
      <c r="BR301" t="s">
        <v>105</v>
      </c>
      <c r="BS301" t="s">
        <v>6276</v>
      </c>
      <c r="BT301" t="str">
        <f>HYPERLINK("https%3A%2F%2Fwww.webofscience.com%2Fwos%2Fwoscc%2Ffull-record%2FWOS:000438744700001","View Full Record in Web of Science")</f>
        <v>View Full Record in Web of Science</v>
      </c>
    </row>
    <row r="302" spans="1:72" x14ac:dyDescent="0.15">
      <c r="A302" t="s">
        <v>72</v>
      </c>
      <c r="B302" t="s">
        <v>6277</v>
      </c>
      <c r="C302" t="s">
        <v>74</v>
      </c>
      <c r="D302" t="s">
        <v>74</v>
      </c>
      <c r="E302" t="s">
        <v>74</v>
      </c>
      <c r="F302" t="s">
        <v>6278</v>
      </c>
      <c r="G302" t="s">
        <v>74</v>
      </c>
      <c r="H302" t="s">
        <v>74</v>
      </c>
      <c r="I302" t="s">
        <v>6279</v>
      </c>
      <c r="J302" t="s">
        <v>6280</v>
      </c>
      <c r="K302" t="s">
        <v>74</v>
      </c>
      <c r="L302" t="s">
        <v>74</v>
      </c>
      <c r="M302" t="s">
        <v>78</v>
      </c>
      <c r="N302" t="s">
        <v>1427</v>
      </c>
      <c r="O302" t="s">
        <v>6281</v>
      </c>
      <c r="P302" t="s">
        <v>6282</v>
      </c>
      <c r="Q302" t="s">
        <v>6283</v>
      </c>
      <c r="R302" t="s">
        <v>74</v>
      </c>
      <c r="S302" t="s">
        <v>74</v>
      </c>
      <c r="T302" t="s">
        <v>6284</v>
      </c>
      <c r="U302" t="s">
        <v>6285</v>
      </c>
      <c r="V302" t="s">
        <v>6286</v>
      </c>
      <c r="W302" t="s">
        <v>6287</v>
      </c>
      <c r="X302" t="s">
        <v>6288</v>
      </c>
      <c r="Y302" t="s">
        <v>6289</v>
      </c>
      <c r="Z302" t="s">
        <v>6290</v>
      </c>
      <c r="AA302" t="s">
        <v>74</v>
      </c>
      <c r="AB302" t="s">
        <v>6291</v>
      </c>
      <c r="AC302" t="s">
        <v>6292</v>
      </c>
      <c r="AD302" t="s">
        <v>6293</v>
      </c>
      <c r="AE302" t="s">
        <v>6294</v>
      </c>
      <c r="AF302" t="s">
        <v>74</v>
      </c>
      <c r="AG302">
        <v>106</v>
      </c>
      <c r="AH302">
        <v>33</v>
      </c>
      <c r="AI302">
        <v>39</v>
      </c>
      <c r="AJ302">
        <v>3</v>
      </c>
      <c r="AK302">
        <v>43</v>
      </c>
      <c r="AL302" t="s">
        <v>914</v>
      </c>
      <c r="AM302" t="s">
        <v>452</v>
      </c>
      <c r="AN302" t="s">
        <v>915</v>
      </c>
      <c r="AO302" t="s">
        <v>6295</v>
      </c>
      <c r="AP302" t="s">
        <v>6296</v>
      </c>
      <c r="AQ302" t="s">
        <v>74</v>
      </c>
      <c r="AR302" t="s">
        <v>6297</v>
      </c>
      <c r="AS302" t="s">
        <v>6298</v>
      </c>
      <c r="AT302" t="s">
        <v>6218</v>
      </c>
      <c r="AU302">
        <v>2018</v>
      </c>
      <c r="AV302">
        <v>201</v>
      </c>
      <c r="AW302" t="s">
        <v>74</v>
      </c>
      <c r="AX302" t="s">
        <v>74</v>
      </c>
      <c r="AY302" t="s">
        <v>74</v>
      </c>
      <c r="AZ302" t="s">
        <v>74</v>
      </c>
      <c r="BA302" t="s">
        <v>74</v>
      </c>
      <c r="BB302">
        <v>6</v>
      </c>
      <c r="BC302">
        <v>19</v>
      </c>
      <c r="BD302" t="s">
        <v>74</v>
      </c>
      <c r="BE302" t="s">
        <v>6299</v>
      </c>
      <c r="BF302" t="str">
        <f>HYPERLINK("http://dx.doi.org/10.1016/j.marchem.2017.09.007","http://dx.doi.org/10.1016/j.marchem.2017.09.007")</f>
        <v>http://dx.doi.org/10.1016/j.marchem.2017.09.007</v>
      </c>
      <c r="BG302" t="s">
        <v>74</v>
      </c>
      <c r="BH302" t="s">
        <v>74</v>
      </c>
      <c r="BI302">
        <v>14</v>
      </c>
      <c r="BJ302" t="s">
        <v>6300</v>
      </c>
      <c r="BK302" t="s">
        <v>1449</v>
      </c>
      <c r="BL302" t="s">
        <v>6301</v>
      </c>
      <c r="BM302" t="s">
        <v>6302</v>
      </c>
      <c r="BN302" t="s">
        <v>74</v>
      </c>
      <c r="BO302" t="s">
        <v>74</v>
      </c>
      <c r="BP302" t="s">
        <v>74</v>
      </c>
      <c r="BQ302" t="s">
        <v>74</v>
      </c>
      <c r="BR302" t="s">
        <v>105</v>
      </c>
      <c r="BS302" t="s">
        <v>6303</v>
      </c>
      <c r="BT302" t="str">
        <f>HYPERLINK("https%3A%2F%2Fwww.webofscience.com%2Fwos%2Fwoscc%2Ffull-record%2FWOS:000430901500002","View Full Record in Web of Science")</f>
        <v>View Full Record in Web of Science</v>
      </c>
    </row>
    <row r="303" spans="1:72" x14ac:dyDescent="0.15">
      <c r="A303" t="s">
        <v>72</v>
      </c>
      <c r="B303" t="s">
        <v>6304</v>
      </c>
      <c r="C303" t="s">
        <v>74</v>
      </c>
      <c r="D303" t="s">
        <v>74</v>
      </c>
      <c r="E303" t="s">
        <v>74</v>
      </c>
      <c r="F303" t="s">
        <v>6305</v>
      </c>
      <c r="G303" t="s">
        <v>74</v>
      </c>
      <c r="H303" t="s">
        <v>74</v>
      </c>
      <c r="I303" t="s">
        <v>6306</v>
      </c>
      <c r="J303" t="s">
        <v>2322</v>
      </c>
      <c r="K303" t="s">
        <v>74</v>
      </c>
      <c r="L303" t="s">
        <v>74</v>
      </c>
      <c r="M303" t="s">
        <v>78</v>
      </c>
      <c r="N303" t="s">
        <v>79</v>
      </c>
      <c r="O303" t="s">
        <v>74</v>
      </c>
      <c r="P303" t="s">
        <v>74</v>
      </c>
      <c r="Q303" t="s">
        <v>74</v>
      </c>
      <c r="R303" t="s">
        <v>74</v>
      </c>
      <c r="S303" t="s">
        <v>74</v>
      </c>
      <c r="T303" t="s">
        <v>74</v>
      </c>
      <c r="U303" t="s">
        <v>6307</v>
      </c>
      <c r="V303" t="s">
        <v>6308</v>
      </c>
      <c r="W303" t="s">
        <v>6309</v>
      </c>
      <c r="X303" t="s">
        <v>6310</v>
      </c>
      <c r="Y303" t="s">
        <v>6311</v>
      </c>
      <c r="Z303" t="s">
        <v>6312</v>
      </c>
      <c r="AA303" t="s">
        <v>6313</v>
      </c>
      <c r="AB303" t="s">
        <v>6314</v>
      </c>
      <c r="AC303" t="s">
        <v>6315</v>
      </c>
      <c r="AD303" t="s">
        <v>6316</v>
      </c>
      <c r="AE303" t="s">
        <v>6317</v>
      </c>
      <c r="AF303" t="s">
        <v>74</v>
      </c>
      <c r="AG303">
        <v>64</v>
      </c>
      <c r="AH303">
        <v>26</v>
      </c>
      <c r="AI303">
        <v>27</v>
      </c>
      <c r="AJ303">
        <v>6</v>
      </c>
      <c r="AK303">
        <v>35</v>
      </c>
      <c r="AL303" t="s">
        <v>1563</v>
      </c>
      <c r="AM303" t="s">
        <v>1564</v>
      </c>
      <c r="AN303" t="s">
        <v>1565</v>
      </c>
      <c r="AO303" t="s">
        <v>2334</v>
      </c>
      <c r="AP303" t="s">
        <v>2335</v>
      </c>
      <c r="AQ303" t="s">
        <v>74</v>
      </c>
      <c r="AR303" t="s">
        <v>2322</v>
      </c>
      <c r="AS303" t="s">
        <v>2336</v>
      </c>
      <c r="AT303" t="s">
        <v>6218</v>
      </c>
      <c r="AU303">
        <v>2018</v>
      </c>
      <c r="AV303">
        <v>15</v>
      </c>
      <c r="AW303">
        <v>7</v>
      </c>
      <c r="AX303" t="s">
        <v>74</v>
      </c>
      <c r="AY303" t="s">
        <v>74</v>
      </c>
      <c r="AZ303" t="s">
        <v>74</v>
      </c>
      <c r="BA303" t="s">
        <v>74</v>
      </c>
      <c r="BB303">
        <v>2393</v>
      </c>
      <c r="BC303">
        <v>2410</v>
      </c>
      <c r="BD303" t="s">
        <v>74</v>
      </c>
      <c r="BE303" t="s">
        <v>6318</v>
      </c>
      <c r="BF303" t="str">
        <f>HYPERLINK("http://dx.doi.org/10.5194/bg-15-2393-2018","http://dx.doi.org/10.5194/bg-15-2393-2018")</f>
        <v>http://dx.doi.org/10.5194/bg-15-2393-2018</v>
      </c>
      <c r="BG303" t="s">
        <v>74</v>
      </c>
      <c r="BH303" t="s">
        <v>74</v>
      </c>
      <c r="BI303">
        <v>18</v>
      </c>
      <c r="BJ303" t="s">
        <v>803</v>
      </c>
      <c r="BK303" t="s">
        <v>101</v>
      </c>
      <c r="BL303" t="s">
        <v>804</v>
      </c>
      <c r="BM303" t="s">
        <v>6319</v>
      </c>
      <c r="BN303" t="s">
        <v>74</v>
      </c>
      <c r="BO303" t="s">
        <v>6320</v>
      </c>
      <c r="BP303" t="s">
        <v>74</v>
      </c>
      <c r="BQ303" t="s">
        <v>74</v>
      </c>
      <c r="BR303" t="s">
        <v>105</v>
      </c>
      <c r="BS303" t="s">
        <v>6321</v>
      </c>
      <c r="BT303" t="str">
        <f>HYPERLINK("https%3A%2F%2Fwww.webofscience.com%2Fwos%2Fwoscc%2Ffull-record%2FWOS:000430510700001","View Full Record in Web of Science")</f>
        <v>View Full Record in Web of Science</v>
      </c>
    </row>
    <row r="304" spans="1:72" x14ac:dyDescent="0.15">
      <c r="A304" t="s">
        <v>72</v>
      </c>
      <c r="B304" t="s">
        <v>6322</v>
      </c>
      <c r="C304" t="s">
        <v>74</v>
      </c>
      <c r="D304" t="s">
        <v>74</v>
      </c>
      <c r="E304" t="s">
        <v>74</v>
      </c>
      <c r="F304" t="s">
        <v>6323</v>
      </c>
      <c r="G304" t="s">
        <v>74</v>
      </c>
      <c r="H304" t="s">
        <v>74</v>
      </c>
      <c r="I304" t="s">
        <v>6324</v>
      </c>
      <c r="J304" t="s">
        <v>1623</v>
      </c>
      <c r="K304" t="s">
        <v>74</v>
      </c>
      <c r="L304" t="s">
        <v>74</v>
      </c>
      <c r="M304" t="s">
        <v>78</v>
      </c>
      <c r="N304" t="s">
        <v>79</v>
      </c>
      <c r="O304" t="s">
        <v>74</v>
      </c>
      <c r="P304" t="s">
        <v>74</v>
      </c>
      <c r="Q304" t="s">
        <v>74</v>
      </c>
      <c r="R304" t="s">
        <v>74</v>
      </c>
      <c r="S304" t="s">
        <v>74</v>
      </c>
      <c r="T304" t="s">
        <v>6325</v>
      </c>
      <c r="U304" t="s">
        <v>6326</v>
      </c>
      <c r="V304" t="s">
        <v>6327</v>
      </c>
      <c r="W304" t="s">
        <v>6328</v>
      </c>
      <c r="X304" t="s">
        <v>6329</v>
      </c>
      <c r="Y304" t="s">
        <v>6330</v>
      </c>
      <c r="Z304" t="s">
        <v>6331</v>
      </c>
      <c r="AA304" t="s">
        <v>6332</v>
      </c>
      <c r="AB304" t="s">
        <v>6333</v>
      </c>
      <c r="AC304" t="s">
        <v>6334</v>
      </c>
      <c r="AD304" t="s">
        <v>6335</v>
      </c>
      <c r="AE304" t="s">
        <v>6336</v>
      </c>
      <c r="AF304" t="s">
        <v>74</v>
      </c>
      <c r="AG304">
        <v>67</v>
      </c>
      <c r="AH304">
        <v>9</v>
      </c>
      <c r="AI304">
        <v>9</v>
      </c>
      <c r="AJ304">
        <v>0</v>
      </c>
      <c r="AK304">
        <v>12</v>
      </c>
      <c r="AL304" t="s">
        <v>123</v>
      </c>
      <c r="AM304" t="s">
        <v>124</v>
      </c>
      <c r="AN304" t="s">
        <v>125</v>
      </c>
      <c r="AO304" t="s">
        <v>1639</v>
      </c>
      <c r="AP304" t="s">
        <v>1640</v>
      </c>
      <c r="AQ304" t="s">
        <v>74</v>
      </c>
      <c r="AR304" t="s">
        <v>2132</v>
      </c>
      <c r="AS304" t="s">
        <v>1642</v>
      </c>
      <c r="AT304" t="s">
        <v>6218</v>
      </c>
      <c r="AU304">
        <v>2018</v>
      </c>
      <c r="AV304">
        <v>37</v>
      </c>
      <c r="AW304" t="s">
        <v>74</v>
      </c>
      <c r="AX304" t="s">
        <v>74</v>
      </c>
      <c r="AY304" t="s">
        <v>74</v>
      </c>
      <c r="AZ304" t="s">
        <v>74</v>
      </c>
      <c r="BA304" t="s">
        <v>74</v>
      </c>
      <c r="BB304" t="s">
        <v>74</v>
      </c>
      <c r="BC304" t="s">
        <v>74</v>
      </c>
      <c r="BD304">
        <v>1451142</v>
      </c>
      <c r="BE304" t="s">
        <v>6337</v>
      </c>
      <c r="BF304" t="str">
        <f>HYPERLINK("http://dx.doi.org/10.1080/17518369.2018.1451142","http://dx.doi.org/10.1080/17518369.2018.1451142")</f>
        <v>http://dx.doi.org/10.1080/17518369.2018.1451142</v>
      </c>
      <c r="BG304" t="s">
        <v>74</v>
      </c>
      <c r="BH304" t="s">
        <v>74</v>
      </c>
      <c r="BI304">
        <v>11</v>
      </c>
      <c r="BJ304" t="s">
        <v>1644</v>
      </c>
      <c r="BK304" t="s">
        <v>101</v>
      </c>
      <c r="BL304" t="s">
        <v>1645</v>
      </c>
      <c r="BM304" t="s">
        <v>6338</v>
      </c>
      <c r="BN304" t="s">
        <v>74</v>
      </c>
      <c r="BO304" t="s">
        <v>695</v>
      </c>
      <c r="BP304" t="s">
        <v>74</v>
      </c>
      <c r="BQ304" t="s">
        <v>74</v>
      </c>
      <c r="BR304" t="s">
        <v>105</v>
      </c>
      <c r="BS304" t="s">
        <v>6339</v>
      </c>
      <c r="BT304" t="str">
        <f>HYPERLINK("https%3A%2F%2Fwww.webofscience.com%2Fwos%2Fwoscc%2Ffull-record%2FWOS:000430505100001","View Full Record in Web of Science")</f>
        <v>View Full Record in Web of Science</v>
      </c>
    </row>
    <row r="305" spans="1:72" x14ac:dyDescent="0.15">
      <c r="A305" t="s">
        <v>72</v>
      </c>
      <c r="B305" t="s">
        <v>6340</v>
      </c>
      <c r="C305" t="s">
        <v>74</v>
      </c>
      <c r="D305" t="s">
        <v>74</v>
      </c>
      <c r="E305" t="s">
        <v>74</v>
      </c>
      <c r="F305" t="s">
        <v>6341</v>
      </c>
      <c r="G305" t="s">
        <v>74</v>
      </c>
      <c r="H305" t="s">
        <v>74</v>
      </c>
      <c r="I305" t="s">
        <v>6342</v>
      </c>
      <c r="J305" t="s">
        <v>1598</v>
      </c>
      <c r="K305" t="s">
        <v>74</v>
      </c>
      <c r="L305" t="s">
        <v>74</v>
      </c>
      <c r="M305" t="s">
        <v>78</v>
      </c>
      <c r="N305" t="s">
        <v>79</v>
      </c>
      <c r="O305" t="s">
        <v>74</v>
      </c>
      <c r="P305" t="s">
        <v>74</v>
      </c>
      <c r="Q305" t="s">
        <v>74</v>
      </c>
      <c r="R305" t="s">
        <v>74</v>
      </c>
      <c r="S305" t="s">
        <v>74</v>
      </c>
      <c r="T305" t="s">
        <v>6343</v>
      </c>
      <c r="U305" t="s">
        <v>6344</v>
      </c>
      <c r="V305" t="s">
        <v>6345</v>
      </c>
      <c r="W305" t="s">
        <v>6346</v>
      </c>
      <c r="X305" t="s">
        <v>3287</v>
      </c>
      <c r="Y305" t="s">
        <v>6347</v>
      </c>
      <c r="Z305" t="s">
        <v>6348</v>
      </c>
      <c r="AA305" t="s">
        <v>6349</v>
      </c>
      <c r="AB305" t="s">
        <v>6350</v>
      </c>
      <c r="AC305" t="s">
        <v>6216</v>
      </c>
      <c r="AD305" t="s">
        <v>6216</v>
      </c>
      <c r="AE305" t="s">
        <v>6351</v>
      </c>
      <c r="AF305" t="s">
        <v>74</v>
      </c>
      <c r="AG305">
        <v>40</v>
      </c>
      <c r="AH305">
        <v>23</v>
      </c>
      <c r="AI305">
        <v>25</v>
      </c>
      <c r="AJ305">
        <v>0</v>
      </c>
      <c r="AK305">
        <v>1</v>
      </c>
      <c r="AL305" t="s">
        <v>123</v>
      </c>
      <c r="AM305" t="s">
        <v>124</v>
      </c>
      <c r="AN305" t="s">
        <v>125</v>
      </c>
      <c r="AO305" t="s">
        <v>1609</v>
      </c>
      <c r="AP305" t="s">
        <v>1610</v>
      </c>
      <c r="AQ305" t="s">
        <v>74</v>
      </c>
      <c r="AR305" t="s">
        <v>1611</v>
      </c>
      <c r="AS305" t="s">
        <v>1612</v>
      </c>
      <c r="AT305" t="s">
        <v>6218</v>
      </c>
      <c r="AU305">
        <v>2018</v>
      </c>
      <c r="AV305">
        <v>50</v>
      </c>
      <c r="AW305">
        <v>1</v>
      </c>
      <c r="AX305" t="s">
        <v>74</v>
      </c>
      <c r="AY305" t="s">
        <v>74</v>
      </c>
      <c r="AZ305" t="s">
        <v>74</v>
      </c>
      <c r="BA305" t="s">
        <v>74</v>
      </c>
      <c r="BB305" t="s">
        <v>74</v>
      </c>
      <c r="BC305" t="s">
        <v>74</v>
      </c>
      <c r="BD305" t="s">
        <v>6352</v>
      </c>
      <c r="BE305" t="s">
        <v>6353</v>
      </c>
      <c r="BF305" t="str">
        <f>HYPERLINK("http://dx.doi.org/10.1080/15230430.2017.1420952","http://dx.doi.org/10.1080/15230430.2017.1420952")</f>
        <v>http://dx.doi.org/10.1080/15230430.2017.1420952</v>
      </c>
      <c r="BG305" t="s">
        <v>74</v>
      </c>
      <c r="BH305" t="s">
        <v>74</v>
      </c>
      <c r="BI305">
        <v>13</v>
      </c>
      <c r="BJ305" t="s">
        <v>1616</v>
      </c>
      <c r="BK305" t="s">
        <v>101</v>
      </c>
      <c r="BL305" t="s">
        <v>1617</v>
      </c>
      <c r="BM305" t="s">
        <v>6221</v>
      </c>
      <c r="BN305" t="s">
        <v>74</v>
      </c>
      <c r="BO305" t="s">
        <v>2998</v>
      </c>
      <c r="BP305" t="s">
        <v>74</v>
      </c>
      <c r="BQ305" t="s">
        <v>74</v>
      </c>
      <c r="BR305" t="s">
        <v>105</v>
      </c>
      <c r="BS305" t="s">
        <v>6354</v>
      </c>
      <c r="BT305" t="str">
        <f>HYPERLINK("https%3A%2F%2Fwww.webofscience.com%2Fwos%2Fwoscc%2Ffull-record%2FWOS:000438742700002","View Full Record in Web of Science")</f>
        <v>View Full Record in Web of Science</v>
      </c>
    </row>
    <row r="306" spans="1:72" x14ac:dyDescent="0.15">
      <c r="A306" t="s">
        <v>72</v>
      </c>
      <c r="B306" t="s">
        <v>6355</v>
      </c>
      <c r="C306" t="s">
        <v>74</v>
      </c>
      <c r="D306" t="s">
        <v>74</v>
      </c>
      <c r="E306" t="s">
        <v>74</v>
      </c>
      <c r="F306" t="s">
        <v>6356</v>
      </c>
      <c r="G306" t="s">
        <v>74</v>
      </c>
      <c r="H306" t="s">
        <v>74</v>
      </c>
      <c r="I306" t="s">
        <v>6357</v>
      </c>
      <c r="J306" t="s">
        <v>1576</v>
      </c>
      <c r="K306" t="s">
        <v>74</v>
      </c>
      <c r="L306" t="s">
        <v>74</v>
      </c>
      <c r="M306" t="s">
        <v>78</v>
      </c>
      <c r="N306" t="s">
        <v>79</v>
      </c>
      <c r="O306" t="s">
        <v>74</v>
      </c>
      <c r="P306" t="s">
        <v>74</v>
      </c>
      <c r="Q306" t="s">
        <v>74</v>
      </c>
      <c r="R306" t="s">
        <v>74</v>
      </c>
      <c r="S306" t="s">
        <v>74</v>
      </c>
      <c r="T306" t="s">
        <v>74</v>
      </c>
      <c r="U306" t="s">
        <v>6358</v>
      </c>
      <c r="V306" t="s">
        <v>6359</v>
      </c>
      <c r="W306" t="s">
        <v>6360</v>
      </c>
      <c r="X306" t="s">
        <v>6361</v>
      </c>
      <c r="Y306" t="s">
        <v>6362</v>
      </c>
      <c r="Z306" t="s">
        <v>6363</v>
      </c>
      <c r="AA306" t="s">
        <v>6364</v>
      </c>
      <c r="AB306" t="s">
        <v>6365</v>
      </c>
      <c r="AC306" t="s">
        <v>6366</v>
      </c>
      <c r="AD306" t="s">
        <v>6367</v>
      </c>
      <c r="AE306" t="s">
        <v>6368</v>
      </c>
      <c r="AF306" t="s">
        <v>74</v>
      </c>
      <c r="AG306">
        <v>78</v>
      </c>
      <c r="AH306">
        <v>253</v>
      </c>
      <c r="AI306">
        <v>253</v>
      </c>
      <c r="AJ306">
        <v>5</v>
      </c>
      <c r="AK306">
        <v>37</v>
      </c>
      <c r="AL306" t="s">
        <v>1563</v>
      </c>
      <c r="AM306" t="s">
        <v>1564</v>
      </c>
      <c r="AN306" t="s">
        <v>1565</v>
      </c>
      <c r="AO306" t="s">
        <v>1588</v>
      </c>
      <c r="AP306" t="s">
        <v>1589</v>
      </c>
      <c r="AQ306" t="s">
        <v>74</v>
      </c>
      <c r="AR306" t="s">
        <v>1576</v>
      </c>
      <c r="AS306" t="s">
        <v>1590</v>
      </c>
      <c r="AT306" t="s">
        <v>6218</v>
      </c>
      <c r="AU306">
        <v>2018</v>
      </c>
      <c r="AV306">
        <v>12</v>
      </c>
      <c r="AW306">
        <v>4</v>
      </c>
      <c r="AX306" t="s">
        <v>74</v>
      </c>
      <c r="AY306" t="s">
        <v>74</v>
      </c>
      <c r="AZ306" t="s">
        <v>74</v>
      </c>
      <c r="BA306" t="s">
        <v>74</v>
      </c>
      <c r="BB306">
        <v>1479</v>
      </c>
      <c r="BC306">
        <v>1498</v>
      </c>
      <c r="BD306" t="s">
        <v>74</v>
      </c>
      <c r="BE306" t="s">
        <v>6369</v>
      </c>
      <c r="BF306" t="str">
        <f>HYPERLINK("http://dx.doi.org/10.5194/tc-12-1479-2018","http://dx.doi.org/10.5194/tc-12-1479-2018")</f>
        <v>http://dx.doi.org/10.5194/tc-12-1479-2018</v>
      </c>
      <c r="BG306" t="s">
        <v>74</v>
      </c>
      <c r="BH306" t="s">
        <v>74</v>
      </c>
      <c r="BI306">
        <v>20</v>
      </c>
      <c r="BJ306" t="s">
        <v>338</v>
      </c>
      <c r="BK306" t="s">
        <v>101</v>
      </c>
      <c r="BL306" t="s">
        <v>339</v>
      </c>
      <c r="BM306" t="s">
        <v>6370</v>
      </c>
      <c r="BN306" t="s">
        <v>74</v>
      </c>
      <c r="BO306" t="s">
        <v>3277</v>
      </c>
      <c r="BP306" t="s">
        <v>555</v>
      </c>
      <c r="BQ306" t="s">
        <v>556</v>
      </c>
      <c r="BR306" t="s">
        <v>105</v>
      </c>
      <c r="BS306" t="s">
        <v>6371</v>
      </c>
      <c r="BT306" t="str">
        <f>HYPERLINK("https%3A%2F%2Fwww.webofscience.com%2Fwos%2Fwoscc%2Ffull-record%2FWOS:000430494900002","View Full Record in Web of Science")</f>
        <v>View Full Record in Web of Science</v>
      </c>
    </row>
    <row r="307" spans="1:72" x14ac:dyDescent="0.15">
      <c r="A307" t="s">
        <v>72</v>
      </c>
      <c r="B307" t="s">
        <v>6372</v>
      </c>
      <c r="C307" t="s">
        <v>74</v>
      </c>
      <c r="D307" t="s">
        <v>74</v>
      </c>
      <c r="E307" t="s">
        <v>74</v>
      </c>
      <c r="F307" t="s">
        <v>6373</v>
      </c>
      <c r="G307" t="s">
        <v>74</v>
      </c>
      <c r="H307" t="s">
        <v>74</v>
      </c>
      <c r="I307" t="s">
        <v>6374</v>
      </c>
      <c r="J307" t="s">
        <v>1576</v>
      </c>
      <c r="K307" t="s">
        <v>74</v>
      </c>
      <c r="L307" t="s">
        <v>74</v>
      </c>
      <c r="M307" t="s">
        <v>78</v>
      </c>
      <c r="N307" t="s">
        <v>79</v>
      </c>
      <c r="O307" t="s">
        <v>74</v>
      </c>
      <c r="P307" t="s">
        <v>74</v>
      </c>
      <c r="Q307" t="s">
        <v>74</v>
      </c>
      <c r="R307" t="s">
        <v>74</v>
      </c>
      <c r="S307" t="s">
        <v>74</v>
      </c>
      <c r="T307" t="s">
        <v>74</v>
      </c>
      <c r="U307" t="s">
        <v>6375</v>
      </c>
      <c r="V307" t="s">
        <v>6376</v>
      </c>
      <c r="W307" t="s">
        <v>6377</v>
      </c>
      <c r="X307" t="s">
        <v>6378</v>
      </c>
      <c r="Y307" t="s">
        <v>6379</v>
      </c>
      <c r="Z307" t="s">
        <v>6380</v>
      </c>
      <c r="AA307" t="s">
        <v>6381</v>
      </c>
      <c r="AB307" t="s">
        <v>6382</v>
      </c>
      <c r="AC307" t="s">
        <v>6383</v>
      </c>
      <c r="AD307" t="s">
        <v>6384</v>
      </c>
      <c r="AE307" t="s">
        <v>6385</v>
      </c>
      <c r="AF307" t="s">
        <v>74</v>
      </c>
      <c r="AG307">
        <v>104</v>
      </c>
      <c r="AH307">
        <v>83</v>
      </c>
      <c r="AI307">
        <v>92</v>
      </c>
      <c r="AJ307">
        <v>1</v>
      </c>
      <c r="AK307">
        <v>38</v>
      </c>
      <c r="AL307" t="s">
        <v>1563</v>
      </c>
      <c r="AM307" t="s">
        <v>1564</v>
      </c>
      <c r="AN307" t="s">
        <v>1565</v>
      </c>
      <c r="AO307" t="s">
        <v>1588</v>
      </c>
      <c r="AP307" t="s">
        <v>1589</v>
      </c>
      <c r="AQ307" t="s">
        <v>74</v>
      </c>
      <c r="AR307" t="s">
        <v>1576</v>
      </c>
      <c r="AS307" t="s">
        <v>1590</v>
      </c>
      <c r="AT307" t="s">
        <v>6386</v>
      </c>
      <c r="AU307">
        <v>2018</v>
      </c>
      <c r="AV307">
        <v>12</v>
      </c>
      <c r="AW307">
        <v>4</v>
      </c>
      <c r="AX307" t="s">
        <v>74</v>
      </c>
      <c r="AY307" t="s">
        <v>74</v>
      </c>
      <c r="AZ307" t="s">
        <v>74</v>
      </c>
      <c r="BA307" t="s">
        <v>74</v>
      </c>
      <c r="BB307">
        <v>1433</v>
      </c>
      <c r="BC307">
        <v>1460</v>
      </c>
      <c r="BD307" t="s">
        <v>74</v>
      </c>
      <c r="BE307" t="s">
        <v>6387</v>
      </c>
      <c r="BF307" t="str">
        <f>HYPERLINK("http://dx.doi.org/10.5194/tc-12-1433-2018","http://dx.doi.org/10.5194/tc-12-1433-2018")</f>
        <v>http://dx.doi.org/10.5194/tc-12-1433-2018</v>
      </c>
      <c r="BG307" t="s">
        <v>74</v>
      </c>
      <c r="BH307" t="s">
        <v>74</v>
      </c>
      <c r="BI307">
        <v>28</v>
      </c>
      <c r="BJ307" t="s">
        <v>338</v>
      </c>
      <c r="BK307" t="s">
        <v>101</v>
      </c>
      <c r="BL307" t="s">
        <v>339</v>
      </c>
      <c r="BM307" t="s">
        <v>6388</v>
      </c>
      <c r="BN307">
        <v>32676174</v>
      </c>
      <c r="BO307" t="s">
        <v>781</v>
      </c>
      <c r="BP307" t="s">
        <v>74</v>
      </c>
      <c r="BQ307" t="s">
        <v>74</v>
      </c>
      <c r="BR307" t="s">
        <v>105</v>
      </c>
      <c r="BS307" t="s">
        <v>6389</v>
      </c>
      <c r="BT307" t="str">
        <f>HYPERLINK("https%3A%2F%2Fwww.webofscience.com%2Fwos%2Fwoscc%2Ffull-record%2FWOS:000430486500002","View Full Record in Web of Science")</f>
        <v>View Full Record in Web of Science</v>
      </c>
    </row>
    <row r="308" spans="1:72" x14ac:dyDescent="0.15">
      <c r="A308" t="s">
        <v>72</v>
      </c>
      <c r="B308" t="s">
        <v>6390</v>
      </c>
      <c r="C308" t="s">
        <v>74</v>
      </c>
      <c r="D308" t="s">
        <v>74</v>
      </c>
      <c r="E308" t="s">
        <v>74</v>
      </c>
      <c r="F308" t="s">
        <v>6391</v>
      </c>
      <c r="G308" t="s">
        <v>74</v>
      </c>
      <c r="H308" t="s">
        <v>74</v>
      </c>
      <c r="I308" t="s">
        <v>6392</v>
      </c>
      <c r="J308" t="s">
        <v>1598</v>
      </c>
      <c r="K308" t="s">
        <v>74</v>
      </c>
      <c r="L308" t="s">
        <v>74</v>
      </c>
      <c r="M308" t="s">
        <v>78</v>
      </c>
      <c r="N308" t="s">
        <v>79</v>
      </c>
      <c r="O308" t="s">
        <v>74</v>
      </c>
      <c r="P308" t="s">
        <v>74</v>
      </c>
      <c r="Q308" t="s">
        <v>74</v>
      </c>
      <c r="R308" t="s">
        <v>74</v>
      </c>
      <c r="S308" t="s">
        <v>74</v>
      </c>
      <c r="T308" t="s">
        <v>6393</v>
      </c>
      <c r="U308" t="s">
        <v>6394</v>
      </c>
      <c r="V308" t="s">
        <v>6395</v>
      </c>
      <c r="W308" t="s">
        <v>6396</v>
      </c>
      <c r="X308" t="s">
        <v>6397</v>
      </c>
      <c r="Y308" t="s">
        <v>6398</v>
      </c>
      <c r="Z308" t="s">
        <v>6399</v>
      </c>
      <c r="AA308" t="s">
        <v>6400</v>
      </c>
      <c r="AB308" t="s">
        <v>6401</v>
      </c>
      <c r="AC308" t="s">
        <v>6402</v>
      </c>
      <c r="AD308" t="s">
        <v>6403</v>
      </c>
      <c r="AE308" t="s">
        <v>6404</v>
      </c>
      <c r="AF308" t="s">
        <v>74</v>
      </c>
      <c r="AG308">
        <v>46</v>
      </c>
      <c r="AH308">
        <v>11</v>
      </c>
      <c r="AI308">
        <v>11</v>
      </c>
      <c r="AJ308">
        <v>4</v>
      </c>
      <c r="AK308">
        <v>19</v>
      </c>
      <c r="AL308" t="s">
        <v>123</v>
      </c>
      <c r="AM308" t="s">
        <v>124</v>
      </c>
      <c r="AN308" t="s">
        <v>125</v>
      </c>
      <c r="AO308" t="s">
        <v>1609</v>
      </c>
      <c r="AP308" t="s">
        <v>1610</v>
      </c>
      <c r="AQ308" t="s">
        <v>74</v>
      </c>
      <c r="AR308" t="s">
        <v>1611</v>
      </c>
      <c r="AS308" t="s">
        <v>1612</v>
      </c>
      <c r="AT308" t="s">
        <v>6386</v>
      </c>
      <c r="AU308">
        <v>2018</v>
      </c>
      <c r="AV308">
        <v>50</v>
      </c>
      <c r="AW308">
        <v>1</v>
      </c>
      <c r="AX308" t="s">
        <v>74</v>
      </c>
      <c r="AY308" t="s">
        <v>74</v>
      </c>
      <c r="AZ308" t="s">
        <v>74</v>
      </c>
      <c r="BA308" t="s">
        <v>74</v>
      </c>
      <c r="BB308" t="s">
        <v>74</v>
      </c>
      <c r="BC308" t="s">
        <v>74</v>
      </c>
      <c r="BD308" t="s">
        <v>6405</v>
      </c>
      <c r="BE308" t="s">
        <v>6406</v>
      </c>
      <c r="BF308" t="str">
        <f>HYPERLINK("http://dx.doi.org/10.1080/15230430.2017.1420862","http://dx.doi.org/10.1080/15230430.2017.1420862")</f>
        <v>http://dx.doi.org/10.1080/15230430.2017.1420862</v>
      </c>
      <c r="BG308" t="s">
        <v>74</v>
      </c>
      <c r="BH308" t="s">
        <v>74</v>
      </c>
      <c r="BI308">
        <v>13</v>
      </c>
      <c r="BJ308" t="s">
        <v>1616</v>
      </c>
      <c r="BK308" t="s">
        <v>101</v>
      </c>
      <c r="BL308" t="s">
        <v>1617</v>
      </c>
      <c r="BM308" t="s">
        <v>6407</v>
      </c>
      <c r="BN308" t="s">
        <v>74</v>
      </c>
      <c r="BO308" t="s">
        <v>2998</v>
      </c>
      <c r="BP308" t="s">
        <v>74</v>
      </c>
      <c r="BQ308" t="s">
        <v>74</v>
      </c>
      <c r="BR308" t="s">
        <v>105</v>
      </c>
      <c r="BS308" t="s">
        <v>6408</v>
      </c>
      <c r="BT308" t="str">
        <f>HYPERLINK("https%3A%2F%2Fwww.webofscience.com%2Fwos%2Fwoscc%2Ffull-record%2FWOS:000438743700001","View Full Record in Web of Science")</f>
        <v>View Full Record in Web of Science</v>
      </c>
    </row>
    <row r="309" spans="1:72" x14ac:dyDescent="0.15">
      <c r="A309" t="s">
        <v>72</v>
      </c>
      <c r="B309" t="s">
        <v>6409</v>
      </c>
      <c r="C309" t="s">
        <v>74</v>
      </c>
      <c r="D309" t="s">
        <v>74</v>
      </c>
      <c r="E309" t="s">
        <v>74</v>
      </c>
      <c r="F309" t="s">
        <v>6410</v>
      </c>
      <c r="G309" t="s">
        <v>74</v>
      </c>
      <c r="H309" t="s">
        <v>74</v>
      </c>
      <c r="I309" t="s">
        <v>6411</v>
      </c>
      <c r="J309" t="s">
        <v>6412</v>
      </c>
      <c r="K309" t="s">
        <v>74</v>
      </c>
      <c r="L309" t="s">
        <v>74</v>
      </c>
      <c r="M309" t="s">
        <v>78</v>
      </c>
      <c r="N309" t="s">
        <v>79</v>
      </c>
      <c r="O309" t="s">
        <v>74</v>
      </c>
      <c r="P309" t="s">
        <v>74</v>
      </c>
      <c r="Q309" t="s">
        <v>74</v>
      </c>
      <c r="R309" t="s">
        <v>74</v>
      </c>
      <c r="S309" t="s">
        <v>74</v>
      </c>
      <c r="T309" t="s">
        <v>6413</v>
      </c>
      <c r="U309" t="s">
        <v>6414</v>
      </c>
      <c r="V309" t="s">
        <v>6415</v>
      </c>
      <c r="W309" t="s">
        <v>6416</v>
      </c>
      <c r="X309" t="s">
        <v>6417</v>
      </c>
      <c r="Y309" t="s">
        <v>6418</v>
      </c>
      <c r="Z309" t="s">
        <v>6419</v>
      </c>
      <c r="AA309" t="s">
        <v>74</v>
      </c>
      <c r="AB309" t="s">
        <v>6420</v>
      </c>
      <c r="AC309" t="s">
        <v>6421</v>
      </c>
      <c r="AD309" t="s">
        <v>4316</v>
      </c>
      <c r="AE309" t="s">
        <v>6422</v>
      </c>
      <c r="AF309" t="s">
        <v>74</v>
      </c>
      <c r="AG309">
        <v>27</v>
      </c>
      <c r="AH309">
        <v>5</v>
      </c>
      <c r="AI309">
        <v>5</v>
      </c>
      <c r="AJ309">
        <v>0</v>
      </c>
      <c r="AK309">
        <v>6</v>
      </c>
      <c r="AL309" t="s">
        <v>6423</v>
      </c>
      <c r="AM309" t="s">
        <v>6424</v>
      </c>
      <c r="AN309" t="s">
        <v>6425</v>
      </c>
      <c r="AO309" t="s">
        <v>6426</v>
      </c>
      <c r="AP309" t="s">
        <v>74</v>
      </c>
      <c r="AQ309" t="s">
        <v>74</v>
      </c>
      <c r="AR309" t="s">
        <v>6427</v>
      </c>
      <c r="AS309" t="s">
        <v>6428</v>
      </c>
      <c r="AT309" t="s">
        <v>6429</v>
      </c>
      <c r="AU309">
        <v>2018</v>
      </c>
      <c r="AV309">
        <v>6</v>
      </c>
      <c r="AW309" t="s">
        <v>74</v>
      </c>
      <c r="AX309" t="s">
        <v>74</v>
      </c>
      <c r="AY309" t="s">
        <v>74</v>
      </c>
      <c r="AZ309" t="s">
        <v>74</v>
      </c>
      <c r="BA309" t="s">
        <v>74</v>
      </c>
      <c r="BB309" t="s">
        <v>74</v>
      </c>
      <c r="BC309" t="s">
        <v>74</v>
      </c>
      <c r="BD309">
        <v>33</v>
      </c>
      <c r="BE309" t="s">
        <v>6430</v>
      </c>
      <c r="BF309" t="str">
        <f>HYPERLINK("http://dx.doi.org/10.1525/elementa.288","http://dx.doi.org/10.1525/elementa.288")</f>
        <v>http://dx.doi.org/10.1525/elementa.288</v>
      </c>
      <c r="BG309" t="s">
        <v>74</v>
      </c>
      <c r="BH309" t="s">
        <v>74</v>
      </c>
      <c r="BI309">
        <v>7</v>
      </c>
      <c r="BJ309" t="s">
        <v>285</v>
      </c>
      <c r="BK309" t="s">
        <v>101</v>
      </c>
      <c r="BL309" t="s">
        <v>286</v>
      </c>
      <c r="BM309" t="s">
        <v>6431</v>
      </c>
      <c r="BN309" t="s">
        <v>74</v>
      </c>
      <c r="BO309" t="s">
        <v>133</v>
      </c>
      <c r="BP309" t="s">
        <v>74</v>
      </c>
      <c r="BQ309" t="s">
        <v>74</v>
      </c>
      <c r="BR309" t="s">
        <v>105</v>
      </c>
      <c r="BS309" t="s">
        <v>6432</v>
      </c>
      <c r="BT309" t="str">
        <f>HYPERLINK("https%3A%2F%2Fwww.webofscience.com%2Fwos%2Fwoscc%2Ffull-record%2FWOS:000430649900002","View Full Record in Web of Science")</f>
        <v>View Full Record in Web of Science</v>
      </c>
    </row>
    <row r="310" spans="1:72" x14ac:dyDescent="0.15">
      <c r="A310" t="s">
        <v>72</v>
      </c>
      <c r="B310" t="s">
        <v>6433</v>
      </c>
      <c r="C310" t="s">
        <v>74</v>
      </c>
      <c r="D310" t="s">
        <v>74</v>
      </c>
      <c r="E310" t="s">
        <v>74</v>
      </c>
      <c r="F310" t="s">
        <v>6434</v>
      </c>
      <c r="G310" t="s">
        <v>74</v>
      </c>
      <c r="H310" t="s">
        <v>74</v>
      </c>
      <c r="I310" t="s">
        <v>6435</v>
      </c>
      <c r="J310" t="s">
        <v>1552</v>
      </c>
      <c r="K310" t="s">
        <v>74</v>
      </c>
      <c r="L310" t="s">
        <v>74</v>
      </c>
      <c r="M310" t="s">
        <v>78</v>
      </c>
      <c r="N310" t="s">
        <v>79</v>
      </c>
      <c r="O310" t="s">
        <v>74</v>
      </c>
      <c r="P310" t="s">
        <v>74</v>
      </c>
      <c r="Q310" t="s">
        <v>74</v>
      </c>
      <c r="R310" t="s">
        <v>74</v>
      </c>
      <c r="S310" t="s">
        <v>74</v>
      </c>
      <c r="T310" t="s">
        <v>74</v>
      </c>
      <c r="U310" t="s">
        <v>6436</v>
      </c>
      <c r="V310" t="s">
        <v>6437</v>
      </c>
      <c r="W310" t="s">
        <v>6438</v>
      </c>
      <c r="X310" t="s">
        <v>6439</v>
      </c>
      <c r="Y310" t="s">
        <v>6440</v>
      </c>
      <c r="Z310" t="s">
        <v>6441</v>
      </c>
      <c r="AA310" t="s">
        <v>6442</v>
      </c>
      <c r="AB310" t="s">
        <v>6443</v>
      </c>
      <c r="AC310" t="s">
        <v>6444</v>
      </c>
      <c r="AD310" t="s">
        <v>6445</v>
      </c>
      <c r="AE310" t="s">
        <v>6446</v>
      </c>
      <c r="AF310" t="s">
        <v>74</v>
      </c>
      <c r="AG310">
        <v>111</v>
      </c>
      <c r="AH310">
        <v>30</v>
      </c>
      <c r="AI310">
        <v>33</v>
      </c>
      <c r="AJ310">
        <v>2</v>
      </c>
      <c r="AK310">
        <v>34</v>
      </c>
      <c r="AL310" t="s">
        <v>1563</v>
      </c>
      <c r="AM310" t="s">
        <v>1564</v>
      </c>
      <c r="AN310" t="s">
        <v>1565</v>
      </c>
      <c r="AO310" t="s">
        <v>1566</v>
      </c>
      <c r="AP310" t="s">
        <v>1567</v>
      </c>
      <c r="AQ310" t="s">
        <v>74</v>
      </c>
      <c r="AR310" t="s">
        <v>1568</v>
      </c>
      <c r="AS310" t="s">
        <v>1569</v>
      </c>
      <c r="AT310" t="s">
        <v>6429</v>
      </c>
      <c r="AU310">
        <v>2018</v>
      </c>
      <c r="AV310">
        <v>18</v>
      </c>
      <c r="AW310">
        <v>8</v>
      </c>
      <c r="AX310" t="s">
        <v>74</v>
      </c>
      <c r="AY310" t="s">
        <v>74</v>
      </c>
      <c r="AZ310" t="s">
        <v>74</v>
      </c>
      <c r="BA310" t="s">
        <v>74</v>
      </c>
      <c r="BB310">
        <v>5235</v>
      </c>
      <c r="BC310">
        <v>5252</v>
      </c>
      <c r="BD310" t="s">
        <v>74</v>
      </c>
      <c r="BE310" t="s">
        <v>6447</v>
      </c>
      <c r="BF310" t="str">
        <f>HYPERLINK("http://dx.doi.org/10.5194/acp-18-5235-2018","http://dx.doi.org/10.5194/acp-18-5235-2018")</f>
        <v>http://dx.doi.org/10.5194/acp-18-5235-2018</v>
      </c>
      <c r="BG310" t="s">
        <v>74</v>
      </c>
      <c r="BH310" t="s">
        <v>74</v>
      </c>
      <c r="BI310">
        <v>18</v>
      </c>
      <c r="BJ310" t="s">
        <v>285</v>
      </c>
      <c r="BK310" t="s">
        <v>101</v>
      </c>
      <c r="BL310" t="s">
        <v>286</v>
      </c>
      <c r="BM310" t="s">
        <v>6448</v>
      </c>
      <c r="BN310" t="s">
        <v>74</v>
      </c>
      <c r="BO310" t="s">
        <v>6449</v>
      </c>
      <c r="BP310" t="s">
        <v>74</v>
      </c>
      <c r="BQ310" t="s">
        <v>74</v>
      </c>
      <c r="BR310" t="s">
        <v>105</v>
      </c>
      <c r="BS310" t="s">
        <v>6450</v>
      </c>
      <c r="BT310" t="str">
        <f>HYPERLINK("https%3A%2F%2Fwww.webofscience.com%2Fwos%2Fwoscc%2Ffull-record%2FWOS:000430450200002","View Full Record in Web of Science")</f>
        <v>View Full Record in Web of Science</v>
      </c>
    </row>
    <row r="311" spans="1:72" x14ac:dyDescent="0.15">
      <c r="A311" t="s">
        <v>72</v>
      </c>
      <c r="B311" t="s">
        <v>6451</v>
      </c>
      <c r="C311" t="s">
        <v>74</v>
      </c>
      <c r="D311" t="s">
        <v>74</v>
      </c>
      <c r="E311" t="s">
        <v>74</v>
      </c>
      <c r="F311" t="s">
        <v>6452</v>
      </c>
      <c r="G311" t="s">
        <v>74</v>
      </c>
      <c r="H311" t="s">
        <v>74</v>
      </c>
      <c r="I311" t="s">
        <v>6453</v>
      </c>
      <c r="J311" t="s">
        <v>1576</v>
      </c>
      <c r="K311" t="s">
        <v>74</v>
      </c>
      <c r="L311" t="s">
        <v>74</v>
      </c>
      <c r="M311" t="s">
        <v>78</v>
      </c>
      <c r="N311" t="s">
        <v>79</v>
      </c>
      <c r="O311" t="s">
        <v>74</v>
      </c>
      <c r="P311" t="s">
        <v>74</v>
      </c>
      <c r="Q311" t="s">
        <v>74</v>
      </c>
      <c r="R311" t="s">
        <v>74</v>
      </c>
      <c r="S311" t="s">
        <v>74</v>
      </c>
      <c r="T311" t="s">
        <v>74</v>
      </c>
      <c r="U311" t="s">
        <v>6454</v>
      </c>
      <c r="V311" t="s">
        <v>6455</v>
      </c>
      <c r="W311" t="s">
        <v>6456</v>
      </c>
      <c r="X311" t="s">
        <v>6457</v>
      </c>
      <c r="Y311" t="s">
        <v>6458</v>
      </c>
      <c r="Z311" t="s">
        <v>6459</v>
      </c>
      <c r="AA311" t="s">
        <v>6460</v>
      </c>
      <c r="AB311" t="s">
        <v>6461</v>
      </c>
      <c r="AC311" t="s">
        <v>6462</v>
      </c>
      <c r="AD311" t="s">
        <v>6463</v>
      </c>
      <c r="AE311" t="s">
        <v>6464</v>
      </c>
      <c r="AF311" t="s">
        <v>74</v>
      </c>
      <c r="AG311">
        <v>60</v>
      </c>
      <c r="AH311">
        <v>21</v>
      </c>
      <c r="AI311">
        <v>22</v>
      </c>
      <c r="AJ311">
        <v>2</v>
      </c>
      <c r="AK311">
        <v>12</v>
      </c>
      <c r="AL311" t="s">
        <v>1563</v>
      </c>
      <c r="AM311" t="s">
        <v>1564</v>
      </c>
      <c r="AN311" t="s">
        <v>1565</v>
      </c>
      <c r="AO311" t="s">
        <v>1588</v>
      </c>
      <c r="AP311" t="s">
        <v>1589</v>
      </c>
      <c r="AQ311" t="s">
        <v>74</v>
      </c>
      <c r="AR311" t="s">
        <v>1576</v>
      </c>
      <c r="AS311" t="s">
        <v>1590</v>
      </c>
      <c r="AT311" t="s">
        <v>6465</v>
      </c>
      <c r="AU311">
        <v>2018</v>
      </c>
      <c r="AV311">
        <v>12</v>
      </c>
      <c r="AW311">
        <v>4</v>
      </c>
      <c r="AX311" t="s">
        <v>74</v>
      </c>
      <c r="AY311" t="s">
        <v>74</v>
      </c>
      <c r="AZ311" t="s">
        <v>74</v>
      </c>
      <c r="BA311" t="s">
        <v>74</v>
      </c>
      <c r="BB311">
        <v>1401</v>
      </c>
      <c r="BC311">
        <v>1414</v>
      </c>
      <c r="BD311" t="s">
        <v>74</v>
      </c>
      <c r="BE311" t="s">
        <v>6466</v>
      </c>
      <c r="BF311" t="str">
        <f>HYPERLINK("http://dx.doi.org/10.5194/tc-12-1401-2018","http://dx.doi.org/10.5194/tc-12-1401-2018")</f>
        <v>http://dx.doi.org/10.5194/tc-12-1401-2018</v>
      </c>
      <c r="BG311" t="s">
        <v>74</v>
      </c>
      <c r="BH311" t="s">
        <v>74</v>
      </c>
      <c r="BI311">
        <v>14</v>
      </c>
      <c r="BJ311" t="s">
        <v>338</v>
      </c>
      <c r="BK311" t="s">
        <v>101</v>
      </c>
      <c r="BL311" t="s">
        <v>339</v>
      </c>
      <c r="BM311" t="s">
        <v>6467</v>
      </c>
      <c r="BN311" t="s">
        <v>74</v>
      </c>
      <c r="BO311" t="s">
        <v>830</v>
      </c>
      <c r="BP311" t="s">
        <v>74</v>
      </c>
      <c r="BQ311" t="s">
        <v>74</v>
      </c>
      <c r="BR311" t="s">
        <v>105</v>
      </c>
      <c r="BS311" t="s">
        <v>6468</v>
      </c>
      <c r="BT311" t="str">
        <f>HYPERLINK("https%3A%2F%2Fwww.webofscience.com%2Fwos%2Fwoscc%2Ffull-record%2FWOS:000430362600002","View Full Record in Web of Science")</f>
        <v>View Full Record in Web of Science</v>
      </c>
    </row>
    <row r="312" spans="1:72" x14ac:dyDescent="0.15">
      <c r="A312" t="s">
        <v>72</v>
      </c>
      <c r="B312" t="s">
        <v>6469</v>
      </c>
      <c r="C312" t="s">
        <v>74</v>
      </c>
      <c r="D312" t="s">
        <v>74</v>
      </c>
      <c r="E312" t="s">
        <v>74</v>
      </c>
      <c r="F312" t="s">
        <v>6470</v>
      </c>
      <c r="G312" t="s">
        <v>74</v>
      </c>
      <c r="H312" t="s">
        <v>74</v>
      </c>
      <c r="I312" t="s">
        <v>6471</v>
      </c>
      <c r="J312" t="s">
        <v>6472</v>
      </c>
      <c r="K312" t="s">
        <v>74</v>
      </c>
      <c r="L312" t="s">
        <v>74</v>
      </c>
      <c r="M312" t="s">
        <v>78</v>
      </c>
      <c r="N312" t="s">
        <v>79</v>
      </c>
      <c r="O312" t="s">
        <v>74</v>
      </c>
      <c r="P312" t="s">
        <v>74</v>
      </c>
      <c r="Q312" t="s">
        <v>74</v>
      </c>
      <c r="R312" t="s">
        <v>74</v>
      </c>
      <c r="S312" t="s">
        <v>74</v>
      </c>
      <c r="T312" t="s">
        <v>74</v>
      </c>
      <c r="U312" t="s">
        <v>6473</v>
      </c>
      <c r="V312" t="s">
        <v>6474</v>
      </c>
      <c r="W312" t="s">
        <v>6475</v>
      </c>
      <c r="X312" t="s">
        <v>6476</v>
      </c>
      <c r="Y312" t="s">
        <v>6477</v>
      </c>
      <c r="Z312" t="s">
        <v>6478</v>
      </c>
      <c r="AA312" t="s">
        <v>6479</v>
      </c>
      <c r="AB312" t="s">
        <v>6480</v>
      </c>
      <c r="AC312" t="s">
        <v>6481</v>
      </c>
      <c r="AD312" t="s">
        <v>6482</v>
      </c>
      <c r="AE312" t="s">
        <v>6483</v>
      </c>
      <c r="AF312" t="s">
        <v>74</v>
      </c>
      <c r="AG312">
        <v>46</v>
      </c>
      <c r="AH312">
        <v>11</v>
      </c>
      <c r="AI312">
        <v>12</v>
      </c>
      <c r="AJ312">
        <v>2</v>
      </c>
      <c r="AK312">
        <v>19</v>
      </c>
      <c r="AL312" t="s">
        <v>1563</v>
      </c>
      <c r="AM312" t="s">
        <v>1564</v>
      </c>
      <c r="AN312" t="s">
        <v>1565</v>
      </c>
      <c r="AO312" t="s">
        <v>6484</v>
      </c>
      <c r="AP312" t="s">
        <v>6485</v>
      </c>
      <c r="AQ312" t="s">
        <v>74</v>
      </c>
      <c r="AR312" t="s">
        <v>6472</v>
      </c>
      <c r="AS312" t="s">
        <v>6486</v>
      </c>
      <c r="AT312" t="s">
        <v>6465</v>
      </c>
      <c r="AU312">
        <v>2018</v>
      </c>
      <c r="AV312">
        <v>9</v>
      </c>
      <c r="AW312">
        <v>2</v>
      </c>
      <c r="AX312" t="s">
        <v>74</v>
      </c>
      <c r="AY312" t="s">
        <v>74</v>
      </c>
      <c r="AZ312" t="s">
        <v>74</v>
      </c>
      <c r="BA312" t="s">
        <v>74</v>
      </c>
      <c r="BB312">
        <v>457</v>
      </c>
      <c r="BC312">
        <v>467</v>
      </c>
      <c r="BD312" t="s">
        <v>74</v>
      </c>
      <c r="BE312" t="s">
        <v>6487</v>
      </c>
      <c r="BF312" t="str">
        <f>HYPERLINK("http://dx.doi.org/10.5194/se-9-457-2018","http://dx.doi.org/10.5194/se-9-457-2018")</f>
        <v>http://dx.doi.org/10.5194/se-9-457-2018</v>
      </c>
      <c r="BG312" t="s">
        <v>74</v>
      </c>
      <c r="BH312" t="s">
        <v>74</v>
      </c>
      <c r="BI312">
        <v>11</v>
      </c>
      <c r="BJ312" t="s">
        <v>260</v>
      </c>
      <c r="BK312" t="s">
        <v>101</v>
      </c>
      <c r="BL312" t="s">
        <v>260</v>
      </c>
      <c r="BM312" t="s">
        <v>6488</v>
      </c>
      <c r="BN312" t="s">
        <v>74</v>
      </c>
      <c r="BO312" t="s">
        <v>830</v>
      </c>
      <c r="BP312" t="s">
        <v>74</v>
      </c>
      <c r="BQ312" t="s">
        <v>74</v>
      </c>
      <c r="BR312" t="s">
        <v>105</v>
      </c>
      <c r="BS312" t="s">
        <v>6489</v>
      </c>
      <c r="BT312" t="str">
        <f>HYPERLINK("https%3A%2F%2Fwww.webofscience.com%2Fwos%2Fwoscc%2Ffull-record%2FWOS:000430361900001","View Full Record in Web of Science")</f>
        <v>View Full Record in Web of Science</v>
      </c>
    </row>
    <row r="313" spans="1:72" x14ac:dyDescent="0.15">
      <c r="A313" t="s">
        <v>72</v>
      </c>
      <c r="B313" t="s">
        <v>6490</v>
      </c>
      <c r="C313" t="s">
        <v>74</v>
      </c>
      <c r="D313" t="s">
        <v>74</v>
      </c>
      <c r="E313" t="s">
        <v>74</v>
      </c>
      <c r="F313" t="s">
        <v>6491</v>
      </c>
      <c r="G313" t="s">
        <v>74</v>
      </c>
      <c r="H313" t="s">
        <v>74</v>
      </c>
      <c r="I313" t="s">
        <v>6492</v>
      </c>
      <c r="J313" t="s">
        <v>6493</v>
      </c>
      <c r="K313" t="s">
        <v>74</v>
      </c>
      <c r="L313" t="s">
        <v>74</v>
      </c>
      <c r="M313" t="s">
        <v>78</v>
      </c>
      <c r="N313" t="s">
        <v>79</v>
      </c>
      <c r="O313" t="s">
        <v>74</v>
      </c>
      <c r="P313" t="s">
        <v>74</v>
      </c>
      <c r="Q313" t="s">
        <v>74</v>
      </c>
      <c r="R313" t="s">
        <v>74</v>
      </c>
      <c r="S313" t="s">
        <v>74</v>
      </c>
      <c r="T313" t="s">
        <v>6494</v>
      </c>
      <c r="U313" t="s">
        <v>6495</v>
      </c>
      <c r="V313" t="s">
        <v>6496</v>
      </c>
      <c r="W313" t="s">
        <v>6497</v>
      </c>
      <c r="X313" t="s">
        <v>6498</v>
      </c>
      <c r="Y313" t="s">
        <v>6499</v>
      </c>
      <c r="Z313" t="s">
        <v>6500</v>
      </c>
      <c r="AA313" t="s">
        <v>6501</v>
      </c>
      <c r="AB313" t="s">
        <v>6502</v>
      </c>
      <c r="AC313" t="s">
        <v>6503</v>
      </c>
      <c r="AD313" t="s">
        <v>6504</v>
      </c>
      <c r="AE313" t="s">
        <v>6505</v>
      </c>
      <c r="AF313" t="s">
        <v>74</v>
      </c>
      <c r="AG313">
        <v>38</v>
      </c>
      <c r="AH313">
        <v>23</v>
      </c>
      <c r="AI313">
        <v>24</v>
      </c>
      <c r="AJ313">
        <v>1</v>
      </c>
      <c r="AK313">
        <v>60</v>
      </c>
      <c r="AL313" t="s">
        <v>914</v>
      </c>
      <c r="AM313" t="s">
        <v>452</v>
      </c>
      <c r="AN313" t="s">
        <v>915</v>
      </c>
      <c r="AO313" t="s">
        <v>6506</v>
      </c>
      <c r="AP313" t="s">
        <v>6507</v>
      </c>
      <c r="AQ313" t="s">
        <v>74</v>
      </c>
      <c r="AR313" t="s">
        <v>6508</v>
      </c>
      <c r="AS313" t="s">
        <v>6509</v>
      </c>
      <c r="AT313" t="s">
        <v>6510</v>
      </c>
      <c r="AU313">
        <v>2018</v>
      </c>
      <c r="AV313">
        <v>1005</v>
      </c>
      <c r="AW313" t="s">
        <v>74</v>
      </c>
      <c r="AX313" t="s">
        <v>74</v>
      </c>
      <c r="AY313" t="s">
        <v>74</v>
      </c>
      <c r="AZ313" t="s">
        <v>74</v>
      </c>
      <c r="BA313" t="s">
        <v>74</v>
      </c>
      <c r="BB313">
        <v>34</v>
      </c>
      <c r="BC313">
        <v>42</v>
      </c>
      <c r="BD313" t="s">
        <v>74</v>
      </c>
      <c r="BE313" t="s">
        <v>6511</v>
      </c>
      <c r="BF313" t="str">
        <f>HYPERLINK("http://dx.doi.org/10.1016/j.aca.2017.11.081","http://dx.doi.org/10.1016/j.aca.2017.11.081")</f>
        <v>http://dx.doi.org/10.1016/j.aca.2017.11.081</v>
      </c>
      <c r="BG313" t="s">
        <v>74</v>
      </c>
      <c r="BH313" t="s">
        <v>74</v>
      </c>
      <c r="BI313">
        <v>9</v>
      </c>
      <c r="BJ313" t="s">
        <v>6512</v>
      </c>
      <c r="BK313" t="s">
        <v>101</v>
      </c>
      <c r="BL313" t="s">
        <v>2035</v>
      </c>
      <c r="BM313" t="s">
        <v>6513</v>
      </c>
      <c r="BN313">
        <v>29389317</v>
      </c>
      <c r="BO313" t="s">
        <v>74</v>
      </c>
      <c r="BP313" t="s">
        <v>74</v>
      </c>
      <c r="BQ313" t="s">
        <v>74</v>
      </c>
      <c r="BR313" t="s">
        <v>105</v>
      </c>
      <c r="BS313" t="s">
        <v>6514</v>
      </c>
      <c r="BT313" t="str">
        <f>HYPERLINK("https%3A%2F%2Fwww.webofscience.com%2Fwos%2Fwoscc%2Ffull-record%2FWOS:000422744600004","View Full Record in Web of Science")</f>
        <v>View Full Record in Web of Science</v>
      </c>
    </row>
    <row r="314" spans="1:72" x14ac:dyDescent="0.15">
      <c r="A314" t="s">
        <v>72</v>
      </c>
      <c r="B314" t="s">
        <v>6515</v>
      </c>
      <c r="C314" t="s">
        <v>74</v>
      </c>
      <c r="D314" t="s">
        <v>74</v>
      </c>
      <c r="E314" t="s">
        <v>74</v>
      </c>
      <c r="F314" t="s">
        <v>6516</v>
      </c>
      <c r="G314" t="s">
        <v>74</v>
      </c>
      <c r="H314" t="s">
        <v>74</v>
      </c>
      <c r="I314" t="s">
        <v>6517</v>
      </c>
      <c r="J314" t="s">
        <v>6518</v>
      </c>
      <c r="K314" t="s">
        <v>74</v>
      </c>
      <c r="L314" t="s">
        <v>74</v>
      </c>
      <c r="M314" t="s">
        <v>78</v>
      </c>
      <c r="N314" t="s">
        <v>79</v>
      </c>
      <c r="O314" t="s">
        <v>74</v>
      </c>
      <c r="P314" t="s">
        <v>74</v>
      </c>
      <c r="Q314" t="s">
        <v>74</v>
      </c>
      <c r="R314" t="s">
        <v>74</v>
      </c>
      <c r="S314" t="s">
        <v>74</v>
      </c>
      <c r="T314" t="s">
        <v>74</v>
      </c>
      <c r="U314" t="s">
        <v>6519</v>
      </c>
      <c r="V314" t="s">
        <v>6520</v>
      </c>
      <c r="W314" t="s">
        <v>6521</v>
      </c>
      <c r="X314" t="s">
        <v>6522</v>
      </c>
      <c r="Y314" t="s">
        <v>6523</v>
      </c>
      <c r="Z314" t="s">
        <v>6524</v>
      </c>
      <c r="AA314" t="s">
        <v>6525</v>
      </c>
      <c r="AB314" t="s">
        <v>6526</v>
      </c>
      <c r="AC314" t="s">
        <v>6527</v>
      </c>
      <c r="AD314" t="s">
        <v>6528</v>
      </c>
      <c r="AE314" t="s">
        <v>6529</v>
      </c>
      <c r="AF314" t="s">
        <v>74</v>
      </c>
      <c r="AG314">
        <v>70</v>
      </c>
      <c r="AH314">
        <v>26</v>
      </c>
      <c r="AI314">
        <v>27</v>
      </c>
      <c r="AJ314">
        <v>0</v>
      </c>
      <c r="AK314">
        <v>27</v>
      </c>
      <c r="AL314" t="s">
        <v>1563</v>
      </c>
      <c r="AM314" t="s">
        <v>1564</v>
      </c>
      <c r="AN314" t="s">
        <v>1565</v>
      </c>
      <c r="AO314" t="s">
        <v>6530</v>
      </c>
      <c r="AP314" t="s">
        <v>6531</v>
      </c>
      <c r="AQ314" t="s">
        <v>74</v>
      </c>
      <c r="AR314" t="s">
        <v>6532</v>
      </c>
      <c r="AS314" t="s">
        <v>6533</v>
      </c>
      <c r="AT314" t="s">
        <v>6510</v>
      </c>
      <c r="AU314">
        <v>2018</v>
      </c>
      <c r="AV314">
        <v>9</v>
      </c>
      <c r="AW314">
        <v>2</v>
      </c>
      <c r="AX314" t="s">
        <v>74</v>
      </c>
      <c r="AY314" t="s">
        <v>74</v>
      </c>
      <c r="AZ314" t="s">
        <v>74</v>
      </c>
      <c r="BA314" t="s">
        <v>74</v>
      </c>
      <c r="BB314">
        <v>359</v>
      </c>
      <c r="BC314">
        <v>382</v>
      </c>
      <c r="BD314" t="s">
        <v>74</v>
      </c>
      <c r="BE314" t="s">
        <v>6534</v>
      </c>
      <c r="BF314" t="str">
        <f>HYPERLINK("http://dx.doi.org/10.5194/esd-9-359-2018","http://dx.doi.org/10.5194/esd-9-359-2018")</f>
        <v>http://dx.doi.org/10.5194/esd-9-359-2018</v>
      </c>
      <c r="BG314" t="s">
        <v>74</v>
      </c>
      <c r="BH314" t="s">
        <v>74</v>
      </c>
      <c r="BI314">
        <v>24</v>
      </c>
      <c r="BJ314" t="s">
        <v>1243</v>
      </c>
      <c r="BK314" t="s">
        <v>101</v>
      </c>
      <c r="BL314" t="s">
        <v>1181</v>
      </c>
      <c r="BM314" t="s">
        <v>6535</v>
      </c>
      <c r="BN314" t="s">
        <v>74</v>
      </c>
      <c r="BO314" t="s">
        <v>2274</v>
      </c>
      <c r="BP314" t="s">
        <v>74</v>
      </c>
      <c r="BQ314" t="s">
        <v>74</v>
      </c>
      <c r="BR314" t="s">
        <v>105</v>
      </c>
      <c r="BS314" t="s">
        <v>6536</v>
      </c>
      <c r="BT314" t="str">
        <f>HYPERLINK("https%3A%2F%2Fwww.webofscience.com%2Fwos%2Fwoscc%2Ffull-record%2FWOS:000430120100001","View Full Record in Web of Science")</f>
        <v>View Full Record in Web of Science</v>
      </c>
    </row>
    <row r="315" spans="1:72" x14ac:dyDescent="0.15">
      <c r="A315" t="s">
        <v>72</v>
      </c>
      <c r="B315" t="s">
        <v>6537</v>
      </c>
      <c r="C315" t="s">
        <v>74</v>
      </c>
      <c r="D315" t="s">
        <v>74</v>
      </c>
      <c r="E315" t="s">
        <v>74</v>
      </c>
      <c r="F315" t="s">
        <v>6538</v>
      </c>
      <c r="G315" t="s">
        <v>74</v>
      </c>
      <c r="H315" t="s">
        <v>74</v>
      </c>
      <c r="I315" t="s">
        <v>6539</v>
      </c>
      <c r="J315" t="s">
        <v>1677</v>
      </c>
      <c r="K315" t="s">
        <v>74</v>
      </c>
      <c r="L315" t="s">
        <v>74</v>
      </c>
      <c r="M315" t="s">
        <v>78</v>
      </c>
      <c r="N315" t="s">
        <v>79</v>
      </c>
      <c r="O315" t="s">
        <v>74</v>
      </c>
      <c r="P315" t="s">
        <v>74</v>
      </c>
      <c r="Q315" t="s">
        <v>74</v>
      </c>
      <c r="R315" t="s">
        <v>74</v>
      </c>
      <c r="S315" t="s">
        <v>74</v>
      </c>
      <c r="T315" t="s">
        <v>74</v>
      </c>
      <c r="U315" t="s">
        <v>6540</v>
      </c>
      <c r="V315" t="s">
        <v>6541</v>
      </c>
      <c r="W315" t="s">
        <v>6542</v>
      </c>
      <c r="X315" t="s">
        <v>6543</v>
      </c>
      <c r="Y315" t="s">
        <v>6544</v>
      </c>
      <c r="Z315" t="s">
        <v>6545</v>
      </c>
      <c r="AA315" t="s">
        <v>6546</v>
      </c>
      <c r="AB315" t="s">
        <v>6547</v>
      </c>
      <c r="AC315" t="s">
        <v>6548</v>
      </c>
      <c r="AD315" t="s">
        <v>6549</v>
      </c>
      <c r="AE315" t="s">
        <v>6550</v>
      </c>
      <c r="AF315" t="s">
        <v>74</v>
      </c>
      <c r="AG315">
        <v>69</v>
      </c>
      <c r="AH315">
        <v>72</v>
      </c>
      <c r="AI315">
        <v>74</v>
      </c>
      <c r="AJ315">
        <v>1</v>
      </c>
      <c r="AK315">
        <v>58</v>
      </c>
      <c r="AL315" t="s">
        <v>1663</v>
      </c>
      <c r="AM315" t="s">
        <v>1664</v>
      </c>
      <c r="AN315" t="s">
        <v>1665</v>
      </c>
      <c r="AO315" t="s">
        <v>74</v>
      </c>
      <c r="AP315" t="s">
        <v>1691</v>
      </c>
      <c r="AQ315" t="s">
        <v>74</v>
      </c>
      <c r="AR315" t="s">
        <v>1692</v>
      </c>
      <c r="AS315" t="s">
        <v>1693</v>
      </c>
      <c r="AT315" t="s">
        <v>6510</v>
      </c>
      <c r="AU315">
        <v>2018</v>
      </c>
      <c r="AV315">
        <v>9</v>
      </c>
      <c r="AW315" t="s">
        <v>74</v>
      </c>
      <c r="AX315" t="s">
        <v>74</v>
      </c>
      <c r="AY315" t="s">
        <v>74</v>
      </c>
      <c r="AZ315" t="s">
        <v>74</v>
      </c>
      <c r="BA315" t="s">
        <v>74</v>
      </c>
      <c r="BB315" t="s">
        <v>74</v>
      </c>
      <c r="BC315" t="s">
        <v>74</v>
      </c>
      <c r="BD315">
        <v>1476</v>
      </c>
      <c r="BE315" t="s">
        <v>6551</v>
      </c>
      <c r="BF315" t="str">
        <f>HYPERLINK("http://dx.doi.org/10.1038/s41467-018-03924-3","http://dx.doi.org/10.1038/s41467-018-03924-3")</f>
        <v>http://dx.doi.org/10.1038/s41467-018-03924-3</v>
      </c>
      <c r="BG315" t="s">
        <v>74</v>
      </c>
      <c r="BH315" t="s">
        <v>74</v>
      </c>
      <c r="BI315">
        <v>10</v>
      </c>
      <c r="BJ315" t="s">
        <v>1670</v>
      </c>
      <c r="BK315" t="s">
        <v>101</v>
      </c>
      <c r="BL315" t="s">
        <v>1671</v>
      </c>
      <c r="BM315" t="s">
        <v>6552</v>
      </c>
      <c r="BN315">
        <v>29662058</v>
      </c>
      <c r="BO315" t="s">
        <v>487</v>
      </c>
      <c r="BP315" t="s">
        <v>74</v>
      </c>
      <c r="BQ315" t="s">
        <v>74</v>
      </c>
      <c r="BR315" t="s">
        <v>105</v>
      </c>
      <c r="BS315" t="s">
        <v>6553</v>
      </c>
      <c r="BT315" t="str">
        <f>HYPERLINK("https%3A%2F%2Fwww.webofscience.com%2Fwos%2Fwoscc%2Ffull-record%2FWOS:000430056700008","View Full Record in Web of Science")</f>
        <v>View Full Record in Web of Science</v>
      </c>
    </row>
    <row r="316" spans="1:72" x14ac:dyDescent="0.15">
      <c r="A316" t="s">
        <v>72</v>
      </c>
      <c r="B316" t="s">
        <v>6554</v>
      </c>
      <c r="C316" t="s">
        <v>74</v>
      </c>
      <c r="D316" t="s">
        <v>74</v>
      </c>
      <c r="E316" t="s">
        <v>74</v>
      </c>
      <c r="F316" t="s">
        <v>6555</v>
      </c>
      <c r="G316" t="s">
        <v>74</v>
      </c>
      <c r="H316" t="s">
        <v>74</v>
      </c>
      <c r="I316" t="s">
        <v>6556</v>
      </c>
      <c r="J316" t="s">
        <v>1749</v>
      </c>
      <c r="K316" t="s">
        <v>74</v>
      </c>
      <c r="L316" t="s">
        <v>74</v>
      </c>
      <c r="M316" t="s">
        <v>78</v>
      </c>
      <c r="N316" t="s">
        <v>79</v>
      </c>
      <c r="O316" t="s">
        <v>74</v>
      </c>
      <c r="P316" t="s">
        <v>74</v>
      </c>
      <c r="Q316" t="s">
        <v>74</v>
      </c>
      <c r="R316" t="s">
        <v>74</v>
      </c>
      <c r="S316" t="s">
        <v>74</v>
      </c>
      <c r="T316" t="s">
        <v>74</v>
      </c>
      <c r="U316" t="s">
        <v>6557</v>
      </c>
      <c r="V316" t="s">
        <v>6558</v>
      </c>
      <c r="W316" t="s">
        <v>6559</v>
      </c>
      <c r="X316" t="s">
        <v>6560</v>
      </c>
      <c r="Y316" t="s">
        <v>6561</v>
      </c>
      <c r="Z316" t="s">
        <v>6562</v>
      </c>
      <c r="AA316" t="s">
        <v>6563</v>
      </c>
      <c r="AB316" t="s">
        <v>6564</v>
      </c>
      <c r="AC316" t="s">
        <v>6565</v>
      </c>
      <c r="AD316" t="s">
        <v>6566</v>
      </c>
      <c r="AE316" t="s">
        <v>6567</v>
      </c>
      <c r="AF316" t="s">
        <v>74</v>
      </c>
      <c r="AG316">
        <v>29</v>
      </c>
      <c r="AH316">
        <v>20</v>
      </c>
      <c r="AI316">
        <v>21</v>
      </c>
      <c r="AJ316">
        <v>1</v>
      </c>
      <c r="AK316">
        <v>9</v>
      </c>
      <c r="AL316" t="s">
        <v>574</v>
      </c>
      <c r="AM316" t="s">
        <v>575</v>
      </c>
      <c r="AN316" t="s">
        <v>576</v>
      </c>
      <c r="AO316" t="s">
        <v>1761</v>
      </c>
      <c r="AP316" t="s">
        <v>1762</v>
      </c>
      <c r="AQ316" t="s">
        <v>74</v>
      </c>
      <c r="AR316" t="s">
        <v>1763</v>
      </c>
      <c r="AS316" t="s">
        <v>1764</v>
      </c>
      <c r="AT316" t="s">
        <v>6510</v>
      </c>
      <c r="AU316">
        <v>2018</v>
      </c>
      <c r="AV316">
        <v>45</v>
      </c>
      <c r="AW316">
        <v>7</v>
      </c>
      <c r="AX316" t="s">
        <v>74</v>
      </c>
      <c r="AY316" t="s">
        <v>74</v>
      </c>
      <c r="AZ316" t="s">
        <v>74</v>
      </c>
      <c r="BA316" t="s">
        <v>74</v>
      </c>
      <c r="BB316">
        <v>3173</v>
      </c>
      <c r="BC316">
        <v>3181</v>
      </c>
      <c r="BD316" t="s">
        <v>74</v>
      </c>
      <c r="BE316" t="s">
        <v>6568</v>
      </c>
      <c r="BF316" t="str">
        <f>HYPERLINK("http://dx.doi.org/10.1002/2017GL076493","http://dx.doi.org/10.1002/2017GL076493")</f>
        <v>http://dx.doi.org/10.1002/2017GL076493</v>
      </c>
      <c r="BG316" t="s">
        <v>74</v>
      </c>
      <c r="BH316" t="s">
        <v>74</v>
      </c>
      <c r="BI316">
        <v>9</v>
      </c>
      <c r="BJ316" t="s">
        <v>1243</v>
      </c>
      <c r="BK316" t="s">
        <v>101</v>
      </c>
      <c r="BL316" t="s">
        <v>1181</v>
      </c>
      <c r="BM316" t="s">
        <v>6569</v>
      </c>
      <c r="BN316" t="s">
        <v>74</v>
      </c>
      <c r="BO316" t="s">
        <v>2416</v>
      </c>
      <c r="BP316" t="s">
        <v>74</v>
      </c>
      <c r="BQ316" t="s">
        <v>74</v>
      </c>
      <c r="BR316" t="s">
        <v>105</v>
      </c>
      <c r="BS316" t="s">
        <v>6570</v>
      </c>
      <c r="BT316" t="str">
        <f>HYPERLINK("https%3A%2F%2Fwww.webofscience.com%2Fwos%2Fwoscc%2Ffull-record%2FWOS:000435743400035","View Full Record in Web of Science")</f>
        <v>View Full Record in Web of Science</v>
      </c>
    </row>
    <row r="317" spans="1:72" x14ac:dyDescent="0.15">
      <c r="A317" t="s">
        <v>72</v>
      </c>
      <c r="B317" t="s">
        <v>6571</v>
      </c>
      <c r="C317" t="s">
        <v>74</v>
      </c>
      <c r="D317" t="s">
        <v>74</v>
      </c>
      <c r="E317" t="s">
        <v>74</v>
      </c>
      <c r="F317" t="s">
        <v>6572</v>
      </c>
      <c r="G317" t="s">
        <v>74</v>
      </c>
      <c r="H317" t="s">
        <v>74</v>
      </c>
      <c r="I317" t="s">
        <v>6573</v>
      </c>
      <c r="J317" t="s">
        <v>5917</v>
      </c>
      <c r="K317" t="s">
        <v>74</v>
      </c>
      <c r="L317" t="s">
        <v>74</v>
      </c>
      <c r="M317" t="s">
        <v>78</v>
      </c>
      <c r="N317" t="s">
        <v>79</v>
      </c>
      <c r="O317" t="s">
        <v>74</v>
      </c>
      <c r="P317" t="s">
        <v>74</v>
      </c>
      <c r="Q317" t="s">
        <v>74</v>
      </c>
      <c r="R317" t="s">
        <v>74</v>
      </c>
      <c r="S317" t="s">
        <v>74</v>
      </c>
      <c r="T317" t="s">
        <v>6574</v>
      </c>
      <c r="U317" t="s">
        <v>6575</v>
      </c>
      <c r="V317" t="s">
        <v>6576</v>
      </c>
      <c r="W317" t="s">
        <v>6577</v>
      </c>
      <c r="X317" t="s">
        <v>6578</v>
      </c>
      <c r="Y317" t="s">
        <v>6579</v>
      </c>
      <c r="Z317" t="s">
        <v>6580</v>
      </c>
      <c r="AA317" t="s">
        <v>6581</v>
      </c>
      <c r="AB317" t="s">
        <v>6582</v>
      </c>
      <c r="AC317" t="s">
        <v>6583</v>
      </c>
      <c r="AD317" t="s">
        <v>6584</v>
      </c>
      <c r="AE317" t="s">
        <v>6585</v>
      </c>
      <c r="AF317" t="s">
        <v>74</v>
      </c>
      <c r="AG317">
        <v>52</v>
      </c>
      <c r="AH317">
        <v>13</v>
      </c>
      <c r="AI317">
        <v>15</v>
      </c>
      <c r="AJ317">
        <v>0</v>
      </c>
      <c r="AK317">
        <v>4</v>
      </c>
      <c r="AL317" t="s">
        <v>2908</v>
      </c>
      <c r="AM317" t="s">
        <v>2909</v>
      </c>
      <c r="AN317" t="s">
        <v>2910</v>
      </c>
      <c r="AO317" t="s">
        <v>5928</v>
      </c>
      <c r="AP317" t="s">
        <v>5929</v>
      </c>
      <c r="AQ317" t="s">
        <v>74</v>
      </c>
      <c r="AR317" t="s">
        <v>5917</v>
      </c>
      <c r="AS317" t="s">
        <v>5930</v>
      </c>
      <c r="AT317" t="s">
        <v>6510</v>
      </c>
      <c r="AU317">
        <v>2018</v>
      </c>
      <c r="AV317">
        <v>4410</v>
      </c>
      <c r="AW317">
        <v>1</v>
      </c>
      <c r="AX317" t="s">
        <v>74</v>
      </c>
      <c r="AY317" t="s">
        <v>74</v>
      </c>
      <c r="AZ317" t="s">
        <v>74</v>
      </c>
      <c r="BA317" t="s">
        <v>74</v>
      </c>
      <c r="BB317">
        <v>77</v>
      </c>
      <c r="BC317">
        <v>96</v>
      </c>
      <c r="BD317" t="s">
        <v>74</v>
      </c>
      <c r="BE317" t="s">
        <v>6586</v>
      </c>
      <c r="BF317" t="str">
        <f>HYPERLINK("http://dx.doi.org/10.11646/zootaxa.4410.1.4","http://dx.doi.org/10.11646/zootaxa.4410.1.4")</f>
        <v>http://dx.doi.org/10.11646/zootaxa.4410.1.4</v>
      </c>
      <c r="BG317" t="s">
        <v>74</v>
      </c>
      <c r="BH317" t="s">
        <v>74</v>
      </c>
      <c r="BI317">
        <v>20</v>
      </c>
      <c r="BJ317" t="s">
        <v>2624</v>
      </c>
      <c r="BK317" t="s">
        <v>101</v>
      </c>
      <c r="BL317" t="s">
        <v>2624</v>
      </c>
      <c r="BM317" t="s">
        <v>6587</v>
      </c>
      <c r="BN317">
        <v>29690157</v>
      </c>
      <c r="BO317" t="s">
        <v>74</v>
      </c>
      <c r="BP317" t="s">
        <v>74</v>
      </c>
      <c r="BQ317" t="s">
        <v>74</v>
      </c>
      <c r="BR317" t="s">
        <v>105</v>
      </c>
      <c r="BS317" t="s">
        <v>6588</v>
      </c>
      <c r="BT317" t="str">
        <f>HYPERLINK("https%3A%2F%2Fwww.webofscience.com%2Fwos%2Fwoscc%2Ffull-record%2FWOS:000430460000004","View Full Record in Web of Science")</f>
        <v>View Full Record in Web of Science</v>
      </c>
    </row>
    <row r="318" spans="1:72" x14ac:dyDescent="0.15">
      <c r="A318" t="s">
        <v>72</v>
      </c>
      <c r="B318" t="s">
        <v>6589</v>
      </c>
      <c r="C318" t="s">
        <v>74</v>
      </c>
      <c r="D318" t="s">
        <v>74</v>
      </c>
      <c r="E318" t="s">
        <v>74</v>
      </c>
      <c r="F318" t="s">
        <v>6590</v>
      </c>
      <c r="G318" t="s">
        <v>74</v>
      </c>
      <c r="H318" t="s">
        <v>74</v>
      </c>
      <c r="I318" t="s">
        <v>6591</v>
      </c>
      <c r="J318" t="s">
        <v>1552</v>
      </c>
      <c r="K318" t="s">
        <v>74</v>
      </c>
      <c r="L318" t="s">
        <v>74</v>
      </c>
      <c r="M318" t="s">
        <v>78</v>
      </c>
      <c r="N318" t="s">
        <v>79</v>
      </c>
      <c r="O318" t="s">
        <v>74</v>
      </c>
      <c r="P318" t="s">
        <v>74</v>
      </c>
      <c r="Q318" t="s">
        <v>74</v>
      </c>
      <c r="R318" t="s">
        <v>74</v>
      </c>
      <c r="S318" t="s">
        <v>74</v>
      </c>
      <c r="T318" t="s">
        <v>74</v>
      </c>
      <c r="U318" t="s">
        <v>6592</v>
      </c>
      <c r="V318" t="s">
        <v>6593</v>
      </c>
      <c r="W318" t="s">
        <v>6594</v>
      </c>
      <c r="X318" t="s">
        <v>6595</v>
      </c>
      <c r="Y318" t="s">
        <v>6596</v>
      </c>
      <c r="Z318" t="s">
        <v>6597</v>
      </c>
      <c r="AA318" t="s">
        <v>6598</v>
      </c>
      <c r="AB318" t="s">
        <v>6599</v>
      </c>
      <c r="AC318" t="s">
        <v>6600</v>
      </c>
      <c r="AD318" t="s">
        <v>6601</v>
      </c>
      <c r="AE318" t="s">
        <v>6602</v>
      </c>
      <c r="AF318" t="s">
        <v>74</v>
      </c>
      <c r="AG318">
        <v>80</v>
      </c>
      <c r="AH318">
        <v>33</v>
      </c>
      <c r="AI318">
        <v>35</v>
      </c>
      <c r="AJ318">
        <v>0</v>
      </c>
      <c r="AK318">
        <v>13</v>
      </c>
      <c r="AL318" t="s">
        <v>1563</v>
      </c>
      <c r="AM318" t="s">
        <v>1564</v>
      </c>
      <c r="AN318" t="s">
        <v>1565</v>
      </c>
      <c r="AO318" t="s">
        <v>1566</v>
      </c>
      <c r="AP318" t="s">
        <v>1567</v>
      </c>
      <c r="AQ318" t="s">
        <v>74</v>
      </c>
      <c r="AR318" t="s">
        <v>1568</v>
      </c>
      <c r="AS318" t="s">
        <v>1569</v>
      </c>
      <c r="AT318" t="s">
        <v>6510</v>
      </c>
      <c r="AU318">
        <v>2018</v>
      </c>
      <c r="AV318">
        <v>18</v>
      </c>
      <c r="AW318">
        <v>7</v>
      </c>
      <c r="AX318" t="s">
        <v>74</v>
      </c>
      <c r="AY318" t="s">
        <v>74</v>
      </c>
      <c r="AZ318" t="s">
        <v>74</v>
      </c>
      <c r="BA318" t="s">
        <v>74</v>
      </c>
      <c r="BB318">
        <v>5089</v>
      </c>
      <c r="BC318">
        <v>5113</v>
      </c>
      <c r="BD318" t="s">
        <v>74</v>
      </c>
      <c r="BE318" t="s">
        <v>6603</v>
      </c>
      <c r="BF318" t="str">
        <f>HYPERLINK("http://dx.doi.org/10.5194/acp-18-5089-2018","http://dx.doi.org/10.5194/acp-18-5089-2018")</f>
        <v>http://dx.doi.org/10.5194/acp-18-5089-2018</v>
      </c>
      <c r="BG318" t="s">
        <v>74</v>
      </c>
      <c r="BH318" t="s">
        <v>74</v>
      </c>
      <c r="BI318">
        <v>25</v>
      </c>
      <c r="BJ318" t="s">
        <v>285</v>
      </c>
      <c r="BK318" t="s">
        <v>101</v>
      </c>
      <c r="BL318" t="s">
        <v>286</v>
      </c>
      <c r="BM318" t="s">
        <v>6604</v>
      </c>
      <c r="BN318" t="s">
        <v>74</v>
      </c>
      <c r="BO318" t="s">
        <v>3105</v>
      </c>
      <c r="BP318" t="s">
        <v>74</v>
      </c>
      <c r="BQ318" t="s">
        <v>74</v>
      </c>
      <c r="BR318" t="s">
        <v>105</v>
      </c>
      <c r="BS318" t="s">
        <v>6605</v>
      </c>
      <c r="BT318" t="str">
        <f>HYPERLINK("https%3A%2F%2Fwww.webofscience.com%2Fwos%2Fwoscc%2Ffull-record%2FWOS:000430171500002","View Full Record in Web of Science")</f>
        <v>View Full Record in Web of Science</v>
      </c>
    </row>
    <row r="319" spans="1:72" x14ac:dyDescent="0.15">
      <c r="A319" t="s">
        <v>72</v>
      </c>
      <c r="B319" t="s">
        <v>6606</v>
      </c>
      <c r="C319" t="s">
        <v>74</v>
      </c>
      <c r="D319" t="s">
        <v>74</v>
      </c>
      <c r="E319" t="s">
        <v>74</v>
      </c>
      <c r="F319" t="s">
        <v>6607</v>
      </c>
      <c r="G319" t="s">
        <v>74</v>
      </c>
      <c r="H319" t="s">
        <v>74</v>
      </c>
      <c r="I319" t="s">
        <v>6608</v>
      </c>
      <c r="J319" t="s">
        <v>1749</v>
      </c>
      <c r="K319" t="s">
        <v>74</v>
      </c>
      <c r="L319" t="s">
        <v>74</v>
      </c>
      <c r="M319" t="s">
        <v>78</v>
      </c>
      <c r="N319" t="s">
        <v>79</v>
      </c>
      <c r="O319" t="s">
        <v>74</v>
      </c>
      <c r="P319" t="s">
        <v>74</v>
      </c>
      <c r="Q319" t="s">
        <v>74</v>
      </c>
      <c r="R319" t="s">
        <v>74</v>
      </c>
      <c r="S319" t="s">
        <v>74</v>
      </c>
      <c r="T319" t="s">
        <v>74</v>
      </c>
      <c r="U319" t="s">
        <v>6609</v>
      </c>
      <c r="V319" t="s">
        <v>6610</v>
      </c>
      <c r="W319" t="s">
        <v>6611</v>
      </c>
      <c r="X319" t="s">
        <v>6612</v>
      </c>
      <c r="Y319" t="s">
        <v>6613</v>
      </c>
      <c r="Z319" t="s">
        <v>6614</v>
      </c>
      <c r="AA319" t="s">
        <v>74</v>
      </c>
      <c r="AB319" t="s">
        <v>6615</v>
      </c>
      <c r="AC319" t="s">
        <v>6616</v>
      </c>
      <c r="AD319" t="s">
        <v>6617</v>
      </c>
      <c r="AE319" t="s">
        <v>6618</v>
      </c>
      <c r="AF319" t="s">
        <v>74</v>
      </c>
      <c r="AG319">
        <v>44</v>
      </c>
      <c r="AH319">
        <v>14</v>
      </c>
      <c r="AI319">
        <v>16</v>
      </c>
      <c r="AJ319">
        <v>0</v>
      </c>
      <c r="AK319">
        <v>6</v>
      </c>
      <c r="AL319" t="s">
        <v>574</v>
      </c>
      <c r="AM319" t="s">
        <v>575</v>
      </c>
      <c r="AN319" t="s">
        <v>576</v>
      </c>
      <c r="AO319" t="s">
        <v>1761</v>
      </c>
      <c r="AP319" t="s">
        <v>1762</v>
      </c>
      <c r="AQ319" t="s">
        <v>74</v>
      </c>
      <c r="AR319" t="s">
        <v>1763</v>
      </c>
      <c r="AS319" t="s">
        <v>1764</v>
      </c>
      <c r="AT319" t="s">
        <v>6510</v>
      </c>
      <c r="AU319">
        <v>2018</v>
      </c>
      <c r="AV319">
        <v>45</v>
      </c>
      <c r="AW319">
        <v>7</v>
      </c>
      <c r="AX319" t="s">
        <v>74</v>
      </c>
      <c r="AY319" t="s">
        <v>74</v>
      </c>
      <c r="AZ319" t="s">
        <v>74</v>
      </c>
      <c r="BA319" t="s">
        <v>74</v>
      </c>
      <c r="BB319">
        <v>3009</v>
      </c>
      <c r="BC319">
        <v>3016</v>
      </c>
      <c r="BD319" t="s">
        <v>74</v>
      </c>
      <c r="BE319" t="s">
        <v>6619</v>
      </c>
      <c r="BF319" t="str">
        <f>HYPERLINK("http://dx.doi.org/10.1002/2018GL077237","http://dx.doi.org/10.1002/2018GL077237")</f>
        <v>http://dx.doi.org/10.1002/2018GL077237</v>
      </c>
      <c r="BG319" t="s">
        <v>74</v>
      </c>
      <c r="BH319" t="s">
        <v>74</v>
      </c>
      <c r="BI319">
        <v>8</v>
      </c>
      <c r="BJ319" t="s">
        <v>1243</v>
      </c>
      <c r="BK319" t="s">
        <v>101</v>
      </c>
      <c r="BL319" t="s">
        <v>1181</v>
      </c>
      <c r="BM319" t="s">
        <v>6569</v>
      </c>
      <c r="BN319">
        <v>33122867</v>
      </c>
      <c r="BO319" t="s">
        <v>6620</v>
      </c>
      <c r="BP319" t="s">
        <v>74</v>
      </c>
      <c r="BQ319" t="s">
        <v>74</v>
      </c>
      <c r="BR319" t="s">
        <v>105</v>
      </c>
      <c r="BS319" t="s">
        <v>6621</v>
      </c>
      <c r="BT319" t="str">
        <f>HYPERLINK("https%3A%2F%2Fwww.webofscience.com%2Fwos%2Fwoscc%2Ffull-record%2FWOS:000435743400016","View Full Record in Web of Science")</f>
        <v>View Full Record in Web of Science</v>
      </c>
    </row>
    <row r="320" spans="1:72" x14ac:dyDescent="0.15">
      <c r="A320" t="s">
        <v>72</v>
      </c>
      <c r="B320" t="s">
        <v>6622</v>
      </c>
      <c r="C320" t="s">
        <v>74</v>
      </c>
      <c r="D320" t="s">
        <v>74</v>
      </c>
      <c r="E320" t="s">
        <v>74</v>
      </c>
      <c r="F320" t="s">
        <v>6623</v>
      </c>
      <c r="G320" t="s">
        <v>74</v>
      </c>
      <c r="H320" t="s">
        <v>74</v>
      </c>
      <c r="I320" t="s">
        <v>6624</v>
      </c>
      <c r="J320" t="s">
        <v>927</v>
      </c>
      <c r="K320" t="s">
        <v>74</v>
      </c>
      <c r="L320" t="s">
        <v>74</v>
      </c>
      <c r="M320" t="s">
        <v>78</v>
      </c>
      <c r="N320" t="s">
        <v>79</v>
      </c>
      <c r="O320" t="s">
        <v>74</v>
      </c>
      <c r="P320" t="s">
        <v>74</v>
      </c>
      <c r="Q320" t="s">
        <v>74</v>
      </c>
      <c r="R320" t="s">
        <v>74</v>
      </c>
      <c r="S320" t="s">
        <v>74</v>
      </c>
      <c r="T320" t="s">
        <v>6625</v>
      </c>
      <c r="U320" t="s">
        <v>6626</v>
      </c>
      <c r="V320" t="s">
        <v>6627</v>
      </c>
      <c r="W320" t="s">
        <v>6628</v>
      </c>
      <c r="X320" t="s">
        <v>6629</v>
      </c>
      <c r="Y320" t="s">
        <v>6630</v>
      </c>
      <c r="Z320" t="s">
        <v>6631</v>
      </c>
      <c r="AA320" t="s">
        <v>6632</v>
      </c>
      <c r="AB320" t="s">
        <v>6633</v>
      </c>
      <c r="AC320" t="s">
        <v>6634</v>
      </c>
      <c r="AD320" t="s">
        <v>6635</v>
      </c>
      <c r="AE320" t="s">
        <v>6636</v>
      </c>
      <c r="AF320" t="s">
        <v>74</v>
      </c>
      <c r="AG320">
        <v>50</v>
      </c>
      <c r="AH320">
        <v>34</v>
      </c>
      <c r="AI320">
        <v>36</v>
      </c>
      <c r="AJ320">
        <v>4</v>
      </c>
      <c r="AK320">
        <v>52</v>
      </c>
      <c r="AL320" t="s">
        <v>914</v>
      </c>
      <c r="AM320" t="s">
        <v>452</v>
      </c>
      <c r="AN320" t="s">
        <v>915</v>
      </c>
      <c r="AO320" t="s">
        <v>940</v>
      </c>
      <c r="AP320" t="s">
        <v>941</v>
      </c>
      <c r="AQ320" t="s">
        <v>74</v>
      </c>
      <c r="AR320" t="s">
        <v>942</v>
      </c>
      <c r="AS320" t="s">
        <v>943</v>
      </c>
      <c r="AT320" t="s">
        <v>6637</v>
      </c>
      <c r="AU320">
        <v>2018</v>
      </c>
      <c r="AV320">
        <v>488</v>
      </c>
      <c r="AW320" t="s">
        <v>74</v>
      </c>
      <c r="AX320" t="s">
        <v>74</v>
      </c>
      <c r="AY320" t="s">
        <v>74</v>
      </c>
      <c r="AZ320" t="s">
        <v>74</v>
      </c>
      <c r="BA320" t="s">
        <v>74</v>
      </c>
      <c r="BB320">
        <v>1</v>
      </c>
      <c r="BC320">
        <v>13</v>
      </c>
      <c r="BD320" t="s">
        <v>74</v>
      </c>
      <c r="BE320" t="s">
        <v>6638</v>
      </c>
      <c r="BF320" t="str">
        <f>HYPERLINK("http://dx.doi.org/10.1016/j.epsl.2018.02.006","http://dx.doi.org/10.1016/j.epsl.2018.02.006")</f>
        <v>http://dx.doi.org/10.1016/j.epsl.2018.02.006</v>
      </c>
      <c r="BG320" t="s">
        <v>74</v>
      </c>
      <c r="BH320" t="s">
        <v>74</v>
      </c>
      <c r="BI320">
        <v>13</v>
      </c>
      <c r="BJ320" t="s">
        <v>260</v>
      </c>
      <c r="BK320" t="s">
        <v>101</v>
      </c>
      <c r="BL320" t="s">
        <v>260</v>
      </c>
      <c r="BM320" t="s">
        <v>6639</v>
      </c>
      <c r="BN320" t="s">
        <v>74</v>
      </c>
      <c r="BO320" t="s">
        <v>2746</v>
      </c>
      <c r="BP320" t="s">
        <v>74</v>
      </c>
      <c r="BQ320" t="s">
        <v>74</v>
      </c>
      <c r="BR320" t="s">
        <v>105</v>
      </c>
      <c r="BS320" t="s">
        <v>6640</v>
      </c>
      <c r="BT320" t="str">
        <f>HYPERLINK("https%3A%2F%2Fwww.webofscience.com%2Fwos%2Fwoscc%2Ffull-record%2FWOS:000430032900001","View Full Record in Web of Science")</f>
        <v>View Full Record in Web of Science</v>
      </c>
    </row>
    <row r="321" spans="1:72" x14ac:dyDescent="0.15">
      <c r="A321" t="s">
        <v>72</v>
      </c>
      <c r="B321" t="s">
        <v>6641</v>
      </c>
      <c r="C321" t="s">
        <v>74</v>
      </c>
      <c r="D321" t="s">
        <v>74</v>
      </c>
      <c r="E321" t="s">
        <v>74</v>
      </c>
      <c r="F321" t="s">
        <v>6642</v>
      </c>
      <c r="G321" t="s">
        <v>74</v>
      </c>
      <c r="H321" t="s">
        <v>74</v>
      </c>
      <c r="I321" t="s">
        <v>6643</v>
      </c>
      <c r="J321" t="s">
        <v>6644</v>
      </c>
      <c r="K321" t="s">
        <v>74</v>
      </c>
      <c r="L321" t="s">
        <v>74</v>
      </c>
      <c r="M321" t="s">
        <v>78</v>
      </c>
      <c r="N321" t="s">
        <v>79</v>
      </c>
      <c r="O321" t="s">
        <v>74</v>
      </c>
      <c r="P321" t="s">
        <v>74</v>
      </c>
      <c r="Q321" t="s">
        <v>74</v>
      </c>
      <c r="R321" t="s">
        <v>74</v>
      </c>
      <c r="S321" t="s">
        <v>74</v>
      </c>
      <c r="T321" t="s">
        <v>6645</v>
      </c>
      <c r="U321" t="s">
        <v>6646</v>
      </c>
      <c r="V321" t="s">
        <v>6647</v>
      </c>
      <c r="W321" t="s">
        <v>6648</v>
      </c>
      <c r="X321" t="s">
        <v>6649</v>
      </c>
      <c r="Y321" t="s">
        <v>6650</v>
      </c>
      <c r="Z321" t="s">
        <v>6651</v>
      </c>
      <c r="AA321" t="s">
        <v>6652</v>
      </c>
      <c r="AB321" t="s">
        <v>6653</v>
      </c>
      <c r="AC321" t="s">
        <v>6654</v>
      </c>
      <c r="AD321" t="s">
        <v>6655</v>
      </c>
      <c r="AE321" t="s">
        <v>6656</v>
      </c>
      <c r="AF321" t="s">
        <v>74</v>
      </c>
      <c r="AG321">
        <v>74</v>
      </c>
      <c r="AH321">
        <v>13</v>
      </c>
      <c r="AI321">
        <v>14</v>
      </c>
      <c r="AJ321">
        <v>0</v>
      </c>
      <c r="AK321">
        <v>18</v>
      </c>
      <c r="AL321" t="s">
        <v>1539</v>
      </c>
      <c r="AM321" t="s">
        <v>1540</v>
      </c>
      <c r="AN321" t="s">
        <v>1541</v>
      </c>
      <c r="AO321" t="s">
        <v>6657</v>
      </c>
      <c r="AP321" t="s">
        <v>6658</v>
      </c>
      <c r="AQ321" t="s">
        <v>74</v>
      </c>
      <c r="AR321" t="s">
        <v>6659</v>
      </c>
      <c r="AS321" t="s">
        <v>6660</v>
      </c>
      <c r="AT321" t="s">
        <v>6637</v>
      </c>
      <c r="AU321">
        <v>2018</v>
      </c>
      <c r="AV321">
        <v>212</v>
      </c>
      <c r="AW321" t="s">
        <v>74</v>
      </c>
      <c r="AX321" t="s">
        <v>74</v>
      </c>
      <c r="AY321" t="s">
        <v>74</v>
      </c>
      <c r="AZ321" t="s">
        <v>74</v>
      </c>
      <c r="BA321" t="s">
        <v>74</v>
      </c>
      <c r="BB321">
        <v>340</v>
      </c>
      <c r="BC321">
        <v>348</v>
      </c>
      <c r="BD321" t="s">
        <v>74</v>
      </c>
      <c r="BE321" t="s">
        <v>6661</v>
      </c>
      <c r="BF321" t="str">
        <f>HYPERLINK("http://dx.doi.org/10.1016/j.jenvman.2018.02.024","http://dx.doi.org/10.1016/j.jenvman.2018.02.024")</f>
        <v>http://dx.doi.org/10.1016/j.jenvman.2018.02.024</v>
      </c>
      <c r="BG321" t="s">
        <v>74</v>
      </c>
      <c r="BH321" t="s">
        <v>74</v>
      </c>
      <c r="BI321">
        <v>9</v>
      </c>
      <c r="BJ321" t="s">
        <v>921</v>
      </c>
      <c r="BK321" t="s">
        <v>101</v>
      </c>
      <c r="BL321" t="s">
        <v>315</v>
      </c>
      <c r="BM321" t="s">
        <v>6662</v>
      </c>
      <c r="BN321">
        <v>29453119</v>
      </c>
      <c r="BO321" t="s">
        <v>980</v>
      </c>
      <c r="BP321" t="s">
        <v>74</v>
      </c>
      <c r="BQ321" t="s">
        <v>74</v>
      </c>
      <c r="BR321" t="s">
        <v>105</v>
      </c>
      <c r="BS321" t="s">
        <v>6663</v>
      </c>
      <c r="BT321" t="str">
        <f>HYPERLINK("https%3A%2F%2Fwww.webofscience.com%2Fwos%2Fwoscc%2Ffull-record%2FWOS:000428097500036","View Full Record in Web of Science")</f>
        <v>View Full Record in Web of Science</v>
      </c>
    </row>
    <row r="322" spans="1:72" x14ac:dyDescent="0.15">
      <c r="A322" t="s">
        <v>72</v>
      </c>
      <c r="B322" t="s">
        <v>6664</v>
      </c>
      <c r="C322" t="s">
        <v>74</v>
      </c>
      <c r="D322" t="s">
        <v>74</v>
      </c>
      <c r="E322" t="s">
        <v>74</v>
      </c>
      <c r="F322" t="s">
        <v>6665</v>
      </c>
      <c r="G322" t="s">
        <v>74</v>
      </c>
      <c r="H322" t="s">
        <v>74</v>
      </c>
      <c r="I322" t="s">
        <v>6666</v>
      </c>
      <c r="J322" t="s">
        <v>1576</v>
      </c>
      <c r="K322" t="s">
        <v>74</v>
      </c>
      <c r="L322" t="s">
        <v>74</v>
      </c>
      <c r="M322" t="s">
        <v>78</v>
      </c>
      <c r="N322" t="s">
        <v>79</v>
      </c>
      <c r="O322" t="s">
        <v>74</v>
      </c>
      <c r="P322" t="s">
        <v>74</v>
      </c>
      <c r="Q322" t="s">
        <v>74</v>
      </c>
      <c r="R322" t="s">
        <v>74</v>
      </c>
      <c r="S322" t="s">
        <v>74</v>
      </c>
      <c r="T322" t="s">
        <v>74</v>
      </c>
      <c r="U322" t="s">
        <v>6667</v>
      </c>
      <c r="V322" t="s">
        <v>6668</v>
      </c>
      <c r="W322" t="s">
        <v>6669</v>
      </c>
      <c r="X322" t="s">
        <v>6670</v>
      </c>
      <c r="Y322" t="s">
        <v>6671</v>
      </c>
      <c r="Z322" t="s">
        <v>6672</v>
      </c>
      <c r="AA322" t="s">
        <v>6673</v>
      </c>
      <c r="AB322" t="s">
        <v>6674</v>
      </c>
      <c r="AC322" t="s">
        <v>6675</v>
      </c>
      <c r="AD322" t="s">
        <v>6676</v>
      </c>
      <c r="AE322" t="s">
        <v>6677</v>
      </c>
      <c r="AF322" t="s">
        <v>74</v>
      </c>
      <c r="AG322">
        <v>72</v>
      </c>
      <c r="AH322">
        <v>28</v>
      </c>
      <c r="AI322">
        <v>30</v>
      </c>
      <c r="AJ322">
        <v>0</v>
      </c>
      <c r="AK322">
        <v>13</v>
      </c>
      <c r="AL322" t="s">
        <v>1563</v>
      </c>
      <c r="AM322" t="s">
        <v>1564</v>
      </c>
      <c r="AN322" t="s">
        <v>1565</v>
      </c>
      <c r="AO322" t="s">
        <v>1588</v>
      </c>
      <c r="AP322" t="s">
        <v>1589</v>
      </c>
      <c r="AQ322" t="s">
        <v>74</v>
      </c>
      <c r="AR322" t="s">
        <v>1576</v>
      </c>
      <c r="AS322" t="s">
        <v>1590</v>
      </c>
      <c r="AT322" t="s">
        <v>6678</v>
      </c>
      <c r="AU322">
        <v>2018</v>
      </c>
      <c r="AV322">
        <v>12</v>
      </c>
      <c r="AW322">
        <v>4</v>
      </c>
      <c r="AX322" t="s">
        <v>74</v>
      </c>
      <c r="AY322" t="s">
        <v>74</v>
      </c>
      <c r="AZ322" t="s">
        <v>74</v>
      </c>
      <c r="BA322" t="s">
        <v>74</v>
      </c>
      <c r="BB322">
        <v>1347</v>
      </c>
      <c r="BC322">
        <v>1365</v>
      </c>
      <c r="BD322" t="s">
        <v>74</v>
      </c>
      <c r="BE322" t="s">
        <v>6679</v>
      </c>
      <c r="BF322" t="str">
        <f>HYPERLINK("http://dx.doi.org/10.5194/tc-12-1347-2018","http://dx.doi.org/10.5194/tc-12-1347-2018")</f>
        <v>http://dx.doi.org/10.5194/tc-12-1347-2018</v>
      </c>
      <c r="BG322" t="s">
        <v>74</v>
      </c>
      <c r="BH322" t="s">
        <v>74</v>
      </c>
      <c r="BI322">
        <v>19</v>
      </c>
      <c r="BJ322" t="s">
        <v>338</v>
      </c>
      <c r="BK322" t="s">
        <v>101</v>
      </c>
      <c r="BL322" t="s">
        <v>339</v>
      </c>
      <c r="BM322" t="s">
        <v>6680</v>
      </c>
      <c r="BN322" t="s">
        <v>74</v>
      </c>
      <c r="BO322" t="s">
        <v>3020</v>
      </c>
      <c r="BP322" t="s">
        <v>74</v>
      </c>
      <c r="BQ322" t="s">
        <v>74</v>
      </c>
      <c r="BR322" t="s">
        <v>105</v>
      </c>
      <c r="BS322" t="s">
        <v>6681</v>
      </c>
      <c r="BT322" t="str">
        <f>HYPERLINK("https%3A%2F%2Fwww.webofscience.com%2Fwos%2Fwoscc%2Ffull-record%2FWOS:000430450400002","View Full Record in Web of Science")</f>
        <v>View Full Record in Web of Science</v>
      </c>
    </row>
    <row r="323" spans="1:72" x14ac:dyDescent="0.15">
      <c r="A323" t="s">
        <v>72</v>
      </c>
      <c r="B323" t="s">
        <v>6682</v>
      </c>
      <c r="C323" t="s">
        <v>74</v>
      </c>
      <c r="D323" t="s">
        <v>74</v>
      </c>
      <c r="E323" t="s">
        <v>74</v>
      </c>
      <c r="F323" t="s">
        <v>6683</v>
      </c>
      <c r="G323" t="s">
        <v>74</v>
      </c>
      <c r="H323" t="s">
        <v>74</v>
      </c>
      <c r="I323" t="s">
        <v>6684</v>
      </c>
      <c r="J323" t="s">
        <v>6165</v>
      </c>
      <c r="K323" t="s">
        <v>74</v>
      </c>
      <c r="L323" t="s">
        <v>74</v>
      </c>
      <c r="M323" t="s">
        <v>78</v>
      </c>
      <c r="N323" t="s">
        <v>79</v>
      </c>
      <c r="O323" t="s">
        <v>74</v>
      </c>
      <c r="P323" t="s">
        <v>74</v>
      </c>
      <c r="Q323" t="s">
        <v>74</v>
      </c>
      <c r="R323" t="s">
        <v>74</v>
      </c>
      <c r="S323" t="s">
        <v>74</v>
      </c>
      <c r="T323" t="s">
        <v>74</v>
      </c>
      <c r="U323" t="s">
        <v>6685</v>
      </c>
      <c r="V323" t="s">
        <v>6686</v>
      </c>
      <c r="W323" t="s">
        <v>6687</v>
      </c>
      <c r="X323" t="s">
        <v>6688</v>
      </c>
      <c r="Y323" t="s">
        <v>6689</v>
      </c>
      <c r="Z323" t="s">
        <v>6690</v>
      </c>
      <c r="AA323" t="s">
        <v>6691</v>
      </c>
      <c r="AB323" t="s">
        <v>6692</v>
      </c>
      <c r="AC323" t="s">
        <v>6693</v>
      </c>
      <c r="AD323" t="s">
        <v>6694</v>
      </c>
      <c r="AE323" t="s">
        <v>6695</v>
      </c>
      <c r="AF323" t="s">
        <v>74</v>
      </c>
      <c r="AG323">
        <v>109</v>
      </c>
      <c r="AH323">
        <v>103</v>
      </c>
      <c r="AI323">
        <v>108</v>
      </c>
      <c r="AJ323">
        <v>0</v>
      </c>
      <c r="AK323">
        <v>35</v>
      </c>
      <c r="AL323" t="s">
        <v>1563</v>
      </c>
      <c r="AM323" t="s">
        <v>1564</v>
      </c>
      <c r="AN323" t="s">
        <v>1565</v>
      </c>
      <c r="AO323" t="s">
        <v>6177</v>
      </c>
      <c r="AP323" t="s">
        <v>6178</v>
      </c>
      <c r="AQ323" t="s">
        <v>74</v>
      </c>
      <c r="AR323" t="s">
        <v>6179</v>
      </c>
      <c r="AS323" t="s">
        <v>6180</v>
      </c>
      <c r="AT323" t="s">
        <v>6678</v>
      </c>
      <c r="AU323">
        <v>2018</v>
      </c>
      <c r="AV323">
        <v>11</v>
      </c>
      <c r="AW323">
        <v>4</v>
      </c>
      <c r="AX323" t="s">
        <v>74</v>
      </c>
      <c r="AY323" t="s">
        <v>74</v>
      </c>
      <c r="AZ323" t="s">
        <v>74</v>
      </c>
      <c r="BA323" t="s">
        <v>74</v>
      </c>
      <c r="BB323">
        <v>1421</v>
      </c>
      <c r="BC323">
        <v>1442</v>
      </c>
      <c r="BD323" t="s">
        <v>74</v>
      </c>
      <c r="BE323" t="s">
        <v>6696</v>
      </c>
      <c r="BF323" t="str">
        <f>HYPERLINK("http://dx.doi.org/10.5194/gmd-11-1421-2018","http://dx.doi.org/10.5194/gmd-11-1421-2018")</f>
        <v>http://dx.doi.org/10.5194/gmd-11-1421-2018</v>
      </c>
      <c r="BG323" t="s">
        <v>74</v>
      </c>
      <c r="BH323" t="s">
        <v>74</v>
      </c>
      <c r="BI323">
        <v>22</v>
      </c>
      <c r="BJ323" t="s">
        <v>1243</v>
      </c>
      <c r="BK323" t="s">
        <v>101</v>
      </c>
      <c r="BL323" t="s">
        <v>1181</v>
      </c>
      <c r="BM323" t="s">
        <v>6697</v>
      </c>
      <c r="BN323" t="s">
        <v>74</v>
      </c>
      <c r="BO323" t="s">
        <v>6698</v>
      </c>
      <c r="BP323" t="s">
        <v>74</v>
      </c>
      <c r="BQ323" t="s">
        <v>74</v>
      </c>
      <c r="BR323" t="s">
        <v>105</v>
      </c>
      <c r="BS323" t="s">
        <v>6699</v>
      </c>
      <c r="BT323" t="str">
        <f>HYPERLINK("https%3A%2F%2Fwww.webofscience.com%2Fwos%2Fwoscc%2Ffull-record%2FWOS:000429973800002","View Full Record in Web of Science")</f>
        <v>View Full Record in Web of Science</v>
      </c>
    </row>
    <row r="324" spans="1:72" x14ac:dyDescent="0.15">
      <c r="A324" t="s">
        <v>72</v>
      </c>
      <c r="B324" t="s">
        <v>6700</v>
      </c>
      <c r="C324" t="s">
        <v>74</v>
      </c>
      <c r="D324" t="s">
        <v>74</v>
      </c>
      <c r="E324" t="s">
        <v>74</v>
      </c>
      <c r="F324" t="s">
        <v>6701</v>
      </c>
      <c r="G324" t="s">
        <v>74</v>
      </c>
      <c r="H324" t="s">
        <v>74</v>
      </c>
      <c r="I324" t="s">
        <v>6702</v>
      </c>
      <c r="J324" t="s">
        <v>1807</v>
      </c>
      <c r="K324" t="s">
        <v>74</v>
      </c>
      <c r="L324" t="s">
        <v>74</v>
      </c>
      <c r="M324" t="s">
        <v>78</v>
      </c>
      <c r="N324" t="s">
        <v>79</v>
      </c>
      <c r="O324" t="s">
        <v>74</v>
      </c>
      <c r="P324" t="s">
        <v>74</v>
      </c>
      <c r="Q324" t="s">
        <v>74</v>
      </c>
      <c r="R324" t="s">
        <v>74</v>
      </c>
      <c r="S324" t="s">
        <v>74</v>
      </c>
      <c r="T324" t="s">
        <v>6703</v>
      </c>
      <c r="U324" t="s">
        <v>6704</v>
      </c>
      <c r="V324" t="s">
        <v>6705</v>
      </c>
      <c r="W324" t="s">
        <v>6706</v>
      </c>
      <c r="X324" t="s">
        <v>6707</v>
      </c>
      <c r="Y324" t="s">
        <v>6708</v>
      </c>
      <c r="Z324" t="s">
        <v>6709</v>
      </c>
      <c r="AA324" t="s">
        <v>6710</v>
      </c>
      <c r="AB324" t="s">
        <v>6711</v>
      </c>
      <c r="AC324" t="s">
        <v>6712</v>
      </c>
      <c r="AD324" t="s">
        <v>6713</v>
      </c>
      <c r="AE324" t="s">
        <v>6714</v>
      </c>
      <c r="AF324" t="s">
        <v>74</v>
      </c>
      <c r="AG324">
        <v>99</v>
      </c>
      <c r="AH324">
        <v>33</v>
      </c>
      <c r="AI324">
        <v>35</v>
      </c>
      <c r="AJ324">
        <v>2</v>
      </c>
      <c r="AK324">
        <v>49</v>
      </c>
      <c r="AL324" t="s">
        <v>1820</v>
      </c>
      <c r="AM324" t="s">
        <v>1821</v>
      </c>
      <c r="AN324" t="s">
        <v>1822</v>
      </c>
      <c r="AO324" t="s">
        <v>1823</v>
      </c>
      <c r="AP324" t="s">
        <v>1824</v>
      </c>
      <c r="AQ324" t="s">
        <v>74</v>
      </c>
      <c r="AR324" t="s">
        <v>1825</v>
      </c>
      <c r="AS324" t="s">
        <v>1826</v>
      </c>
      <c r="AT324" t="s">
        <v>6715</v>
      </c>
      <c r="AU324">
        <v>2018</v>
      </c>
      <c r="AV324">
        <v>593</v>
      </c>
      <c r="AW324" t="s">
        <v>74</v>
      </c>
      <c r="AX324" t="s">
        <v>74</v>
      </c>
      <c r="AY324" t="s">
        <v>74</v>
      </c>
      <c r="AZ324" t="s">
        <v>74</v>
      </c>
      <c r="BA324" t="s">
        <v>74</v>
      </c>
      <c r="BB324">
        <v>29</v>
      </c>
      <c r="BC324">
        <v>45</v>
      </c>
      <c r="BD324" t="s">
        <v>74</v>
      </c>
      <c r="BE324" t="s">
        <v>6716</v>
      </c>
      <c r="BF324" t="str">
        <f>HYPERLINK("http://dx.doi.org/10.3354/meps12524","http://dx.doi.org/10.3354/meps12524")</f>
        <v>http://dx.doi.org/10.3354/meps12524</v>
      </c>
      <c r="BG324" t="s">
        <v>74</v>
      </c>
      <c r="BH324" t="s">
        <v>74</v>
      </c>
      <c r="BI324">
        <v>17</v>
      </c>
      <c r="BJ324" t="s">
        <v>1828</v>
      </c>
      <c r="BK324" t="s">
        <v>101</v>
      </c>
      <c r="BL324" t="s">
        <v>1829</v>
      </c>
      <c r="BM324" t="s">
        <v>6717</v>
      </c>
      <c r="BN324" t="s">
        <v>74</v>
      </c>
      <c r="BO324" t="s">
        <v>74</v>
      </c>
      <c r="BP324" t="s">
        <v>74</v>
      </c>
      <c r="BQ324" t="s">
        <v>74</v>
      </c>
      <c r="BR324" t="s">
        <v>105</v>
      </c>
      <c r="BS324" t="s">
        <v>6718</v>
      </c>
      <c r="BT324" t="str">
        <f>HYPERLINK("https%3A%2F%2Fwww.webofscience.com%2Fwos%2Fwoscc%2Ffull-record%2FWOS:000431203300003","View Full Record in Web of Science")</f>
        <v>View Full Record in Web of Science</v>
      </c>
    </row>
    <row r="325" spans="1:72" x14ac:dyDescent="0.15">
      <c r="A325" t="s">
        <v>72</v>
      </c>
      <c r="B325" t="s">
        <v>6719</v>
      </c>
      <c r="C325" t="s">
        <v>74</v>
      </c>
      <c r="D325" t="s">
        <v>74</v>
      </c>
      <c r="E325" t="s">
        <v>74</v>
      </c>
      <c r="F325" t="s">
        <v>6720</v>
      </c>
      <c r="G325" t="s">
        <v>74</v>
      </c>
      <c r="H325" t="s">
        <v>74</v>
      </c>
      <c r="I325" t="s">
        <v>6721</v>
      </c>
      <c r="J325" t="s">
        <v>1807</v>
      </c>
      <c r="K325" t="s">
        <v>74</v>
      </c>
      <c r="L325" t="s">
        <v>74</v>
      </c>
      <c r="M325" t="s">
        <v>78</v>
      </c>
      <c r="N325" t="s">
        <v>79</v>
      </c>
      <c r="O325" t="s">
        <v>74</v>
      </c>
      <c r="P325" t="s">
        <v>74</v>
      </c>
      <c r="Q325" t="s">
        <v>74</v>
      </c>
      <c r="R325" t="s">
        <v>74</v>
      </c>
      <c r="S325" t="s">
        <v>74</v>
      </c>
      <c r="T325" t="s">
        <v>6722</v>
      </c>
      <c r="U325" t="s">
        <v>6723</v>
      </c>
      <c r="V325" t="s">
        <v>6724</v>
      </c>
      <c r="W325" t="s">
        <v>6725</v>
      </c>
      <c r="X325" t="s">
        <v>6726</v>
      </c>
      <c r="Y325" t="s">
        <v>6727</v>
      </c>
      <c r="Z325" t="s">
        <v>6728</v>
      </c>
      <c r="AA325" t="s">
        <v>6729</v>
      </c>
      <c r="AB325" t="s">
        <v>6730</v>
      </c>
      <c r="AC325" t="s">
        <v>6731</v>
      </c>
      <c r="AD325" t="s">
        <v>6732</v>
      </c>
      <c r="AE325" t="s">
        <v>6733</v>
      </c>
      <c r="AF325" t="s">
        <v>74</v>
      </c>
      <c r="AG325">
        <v>90</v>
      </c>
      <c r="AH325">
        <v>11</v>
      </c>
      <c r="AI325">
        <v>11</v>
      </c>
      <c r="AJ325">
        <v>3</v>
      </c>
      <c r="AK325">
        <v>67</v>
      </c>
      <c r="AL325" t="s">
        <v>1820</v>
      </c>
      <c r="AM325" t="s">
        <v>1821</v>
      </c>
      <c r="AN325" t="s">
        <v>1822</v>
      </c>
      <c r="AO325" t="s">
        <v>1823</v>
      </c>
      <c r="AP325" t="s">
        <v>1824</v>
      </c>
      <c r="AQ325" t="s">
        <v>74</v>
      </c>
      <c r="AR325" t="s">
        <v>1825</v>
      </c>
      <c r="AS325" t="s">
        <v>1826</v>
      </c>
      <c r="AT325" t="s">
        <v>6715</v>
      </c>
      <c r="AU325">
        <v>2018</v>
      </c>
      <c r="AV325">
        <v>593</v>
      </c>
      <c r="AW325" t="s">
        <v>74</v>
      </c>
      <c r="AX325" t="s">
        <v>74</v>
      </c>
      <c r="AY325" t="s">
        <v>74</v>
      </c>
      <c r="AZ325" t="s">
        <v>74</v>
      </c>
      <c r="BA325" t="s">
        <v>74</v>
      </c>
      <c r="BB325">
        <v>155</v>
      </c>
      <c r="BC325">
        <v>171</v>
      </c>
      <c r="BD325" t="s">
        <v>74</v>
      </c>
      <c r="BE325" t="s">
        <v>6734</v>
      </c>
      <c r="BF325" t="str">
        <f>HYPERLINK("http://dx.doi.org/10.3354/meps12486","http://dx.doi.org/10.3354/meps12486")</f>
        <v>http://dx.doi.org/10.3354/meps12486</v>
      </c>
      <c r="BG325" t="s">
        <v>74</v>
      </c>
      <c r="BH325" t="s">
        <v>74</v>
      </c>
      <c r="BI325">
        <v>17</v>
      </c>
      <c r="BJ325" t="s">
        <v>1828</v>
      </c>
      <c r="BK325" t="s">
        <v>101</v>
      </c>
      <c r="BL325" t="s">
        <v>1829</v>
      </c>
      <c r="BM325" t="s">
        <v>6717</v>
      </c>
      <c r="BN325" t="s">
        <v>74</v>
      </c>
      <c r="BO325" t="s">
        <v>74</v>
      </c>
      <c r="BP325" t="s">
        <v>74</v>
      </c>
      <c r="BQ325" t="s">
        <v>74</v>
      </c>
      <c r="BR325" t="s">
        <v>105</v>
      </c>
      <c r="BS325" t="s">
        <v>6735</v>
      </c>
      <c r="BT325" t="str">
        <f>HYPERLINK("https%3A%2F%2Fwww.webofscience.com%2Fwos%2Fwoscc%2Ffull-record%2FWOS:000431203300011","View Full Record in Web of Science")</f>
        <v>View Full Record in Web of Science</v>
      </c>
    </row>
    <row r="326" spans="1:72" x14ac:dyDescent="0.15">
      <c r="A326" t="s">
        <v>72</v>
      </c>
      <c r="B326" t="s">
        <v>6736</v>
      </c>
      <c r="C326" t="s">
        <v>74</v>
      </c>
      <c r="D326" t="s">
        <v>74</v>
      </c>
      <c r="E326" t="s">
        <v>74</v>
      </c>
      <c r="F326" t="s">
        <v>6737</v>
      </c>
      <c r="G326" t="s">
        <v>74</v>
      </c>
      <c r="H326" t="s">
        <v>74</v>
      </c>
      <c r="I326" t="s">
        <v>6738</v>
      </c>
      <c r="J326" t="s">
        <v>2298</v>
      </c>
      <c r="K326" t="s">
        <v>74</v>
      </c>
      <c r="L326" t="s">
        <v>74</v>
      </c>
      <c r="M326" t="s">
        <v>78</v>
      </c>
      <c r="N326" t="s">
        <v>79</v>
      </c>
      <c r="O326" t="s">
        <v>74</v>
      </c>
      <c r="P326" t="s">
        <v>74</v>
      </c>
      <c r="Q326" t="s">
        <v>74</v>
      </c>
      <c r="R326" t="s">
        <v>74</v>
      </c>
      <c r="S326" t="s">
        <v>74</v>
      </c>
      <c r="T326" t="s">
        <v>74</v>
      </c>
      <c r="U326" t="s">
        <v>6739</v>
      </c>
      <c r="V326" t="s">
        <v>6740</v>
      </c>
      <c r="W326" t="s">
        <v>6741</v>
      </c>
      <c r="X326" t="s">
        <v>6742</v>
      </c>
      <c r="Y326" t="s">
        <v>6743</v>
      </c>
      <c r="Z326" t="s">
        <v>6744</v>
      </c>
      <c r="AA326" t="s">
        <v>6745</v>
      </c>
      <c r="AB326" t="s">
        <v>6746</v>
      </c>
      <c r="AC326" t="s">
        <v>6747</v>
      </c>
      <c r="AD326" t="s">
        <v>6748</v>
      </c>
      <c r="AE326" t="s">
        <v>6749</v>
      </c>
      <c r="AF326" t="s">
        <v>74</v>
      </c>
      <c r="AG326">
        <v>66</v>
      </c>
      <c r="AH326">
        <v>22</v>
      </c>
      <c r="AI326">
        <v>24</v>
      </c>
      <c r="AJ326">
        <v>0</v>
      </c>
      <c r="AK326">
        <v>17</v>
      </c>
      <c r="AL326" t="s">
        <v>2310</v>
      </c>
      <c r="AM326" t="s">
        <v>2311</v>
      </c>
      <c r="AN326" t="s">
        <v>2312</v>
      </c>
      <c r="AO326" t="s">
        <v>2313</v>
      </c>
      <c r="AP326" t="s">
        <v>74</v>
      </c>
      <c r="AQ326" t="s">
        <v>74</v>
      </c>
      <c r="AR326" t="s">
        <v>2298</v>
      </c>
      <c r="AS326" t="s">
        <v>2314</v>
      </c>
      <c r="AT326" t="s">
        <v>6715</v>
      </c>
      <c r="AU326">
        <v>2018</v>
      </c>
      <c r="AV326">
        <v>13</v>
      </c>
      <c r="AW326">
        <v>4</v>
      </c>
      <c r="AX326" t="s">
        <v>74</v>
      </c>
      <c r="AY326" t="s">
        <v>74</v>
      </c>
      <c r="AZ326" t="s">
        <v>74</v>
      </c>
      <c r="BA326" t="s">
        <v>74</v>
      </c>
      <c r="BB326" t="s">
        <v>74</v>
      </c>
      <c r="BC326" t="s">
        <v>74</v>
      </c>
      <c r="BD326" t="s">
        <v>6750</v>
      </c>
      <c r="BE326" t="s">
        <v>6751</v>
      </c>
      <c r="BF326" t="str">
        <f>HYPERLINK("http://dx.doi.org/10.1371/journal.pone.0195622","http://dx.doi.org/10.1371/journal.pone.0195622")</f>
        <v>http://dx.doi.org/10.1371/journal.pone.0195622</v>
      </c>
      <c r="BG326" t="s">
        <v>74</v>
      </c>
      <c r="BH326" t="s">
        <v>74</v>
      </c>
      <c r="BI326">
        <v>20</v>
      </c>
      <c r="BJ326" t="s">
        <v>1670</v>
      </c>
      <c r="BK326" t="s">
        <v>101</v>
      </c>
      <c r="BL326" t="s">
        <v>1671</v>
      </c>
      <c r="BM326" t="s">
        <v>6752</v>
      </c>
      <c r="BN326">
        <v>29649303</v>
      </c>
      <c r="BO326" t="s">
        <v>672</v>
      </c>
      <c r="BP326" t="s">
        <v>74</v>
      </c>
      <c r="BQ326" t="s">
        <v>74</v>
      </c>
      <c r="BR326" t="s">
        <v>105</v>
      </c>
      <c r="BS326" t="s">
        <v>6753</v>
      </c>
      <c r="BT326" t="str">
        <f>HYPERLINK("https%3A%2F%2Fwww.webofscience.com%2Fwos%2Fwoscc%2Ffull-record%2FWOS:000429791900062","View Full Record in Web of Science")</f>
        <v>View Full Record in Web of Science</v>
      </c>
    </row>
    <row r="327" spans="1:72" x14ac:dyDescent="0.15">
      <c r="A327" t="s">
        <v>72</v>
      </c>
      <c r="B327" t="s">
        <v>6754</v>
      </c>
      <c r="C327" t="s">
        <v>74</v>
      </c>
      <c r="D327" t="s">
        <v>74</v>
      </c>
      <c r="E327" t="s">
        <v>74</v>
      </c>
      <c r="F327" t="s">
        <v>6755</v>
      </c>
      <c r="G327" t="s">
        <v>74</v>
      </c>
      <c r="H327" t="s">
        <v>74</v>
      </c>
      <c r="I327" t="s">
        <v>6756</v>
      </c>
      <c r="J327" t="s">
        <v>2979</v>
      </c>
      <c r="K327" t="s">
        <v>74</v>
      </c>
      <c r="L327" t="s">
        <v>74</v>
      </c>
      <c r="M327" t="s">
        <v>78</v>
      </c>
      <c r="N327" t="s">
        <v>79</v>
      </c>
      <c r="O327" t="s">
        <v>74</v>
      </c>
      <c r="P327" t="s">
        <v>74</v>
      </c>
      <c r="Q327" t="s">
        <v>74</v>
      </c>
      <c r="R327" t="s">
        <v>74</v>
      </c>
      <c r="S327" t="s">
        <v>74</v>
      </c>
      <c r="T327" t="s">
        <v>6757</v>
      </c>
      <c r="U327" t="s">
        <v>6758</v>
      </c>
      <c r="V327" t="s">
        <v>6759</v>
      </c>
      <c r="W327" t="s">
        <v>6760</v>
      </c>
      <c r="X327" t="s">
        <v>6761</v>
      </c>
      <c r="Y327" t="s">
        <v>6762</v>
      </c>
      <c r="Z327" t="s">
        <v>6763</v>
      </c>
      <c r="AA327" t="s">
        <v>6764</v>
      </c>
      <c r="AB327" t="s">
        <v>6765</v>
      </c>
      <c r="AC327" t="s">
        <v>6766</v>
      </c>
      <c r="AD327" t="s">
        <v>6767</v>
      </c>
      <c r="AE327" t="s">
        <v>6768</v>
      </c>
      <c r="AF327" t="s">
        <v>74</v>
      </c>
      <c r="AG327">
        <v>54</v>
      </c>
      <c r="AH327">
        <v>14</v>
      </c>
      <c r="AI327">
        <v>17</v>
      </c>
      <c r="AJ327">
        <v>0</v>
      </c>
      <c r="AK327">
        <v>5</v>
      </c>
      <c r="AL327" t="s">
        <v>2152</v>
      </c>
      <c r="AM327" t="s">
        <v>2153</v>
      </c>
      <c r="AN327" t="s">
        <v>2154</v>
      </c>
      <c r="AO327" t="s">
        <v>74</v>
      </c>
      <c r="AP327" t="s">
        <v>2992</v>
      </c>
      <c r="AQ327" t="s">
        <v>74</v>
      </c>
      <c r="AR327" t="s">
        <v>2993</v>
      </c>
      <c r="AS327" t="s">
        <v>2994</v>
      </c>
      <c r="AT327" t="s">
        <v>6769</v>
      </c>
      <c r="AU327">
        <v>2018</v>
      </c>
      <c r="AV327">
        <v>6</v>
      </c>
      <c r="AW327" t="s">
        <v>74</v>
      </c>
      <c r="AX327" t="s">
        <v>74</v>
      </c>
      <c r="AY327" t="s">
        <v>74</v>
      </c>
      <c r="AZ327" t="s">
        <v>74</v>
      </c>
      <c r="BA327" t="s">
        <v>74</v>
      </c>
      <c r="BB327" t="s">
        <v>74</v>
      </c>
      <c r="BC327" t="s">
        <v>74</v>
      </c>
      <c r="BD327">
        <v>33</v>
      </c>
      <c r="BE327" t="s">
        <v>6770</v>
      </c>
      <c r="BF327" t="str">
        <f>HYPERLINK("http://dx.doi.org/10.3389/feart.2018.00033","http://dx.doi.org/10.3389/feart.2018.00033")</f>
        <v>http://dx.doi.org/10.3389/feart.2018.00033</v>
      </c>
      <c r="BG327" t="s">
        <v>74</v>
      </c>
      <c r="BH327" t="s">
        <v>74</v>
      </c>
      <c r="BI327">
        <v>11</v>
      </c>
      <c r="BJ327" t="s">
        <v>1243</v>
      </c>
      <c r="BK327" t="s">
        <v>101</v>
      </c>
      <c r="BL327" t="s">
        <v>1181</v>
      </c>
      <c r="BM327" t="s">
        <v>6771</v>
      </c>
      <c r="BN327" t="s">
        <v>74</v>
      </c>
      <c r="BO327" t="s">
        <v>695</v>
      </c>
      <c r="BP327" t="s">
        <v>74</v>
      </c>
      <c r="BQ327" t="s">
        <v>74</v>
      </c>
      <c r="BR327" t="s">
        <v>105</v>
      </c>
      <c r="BS327" t="s">
        <v>6772</v>
      </c>
      <c r="BT327" t="str">
        <f>HYPERLINK("https%3A%2F%2Fwww.webofscience.com%2Fwos%2Fwoscc%2Ffull-record%2FWOS:000432388900003","View Full Record in Web of Science")</f>
        <v>View Full Record in Web of Science</v>
      </c>
    </row>
    <row r="328" spans="1:72" x14ac:dyDescent="0.15">
      <c r="A328" t="s">
        <v>72</v>
      </c>
      <c r="B328" t="s">
        <v>6773</v>
      </c>
      <c r="C328" t="s">
        <v>74</v>
      </c>
      <c r="D328" t="s">
        <v>74</v>
      </c>
      <c r="E328" t="s">
        <v>74</v>
      </c>
      <c r="F328" t="s">
        <v>6774</v>
      </c>
      <c r="G328" t="s">
        <v>74</v>
      </c>
      <c r="H328" t="s">
        <v>74</v>
      </c>
      <c r="I328" t="s">
        <v>6775</v>
      </c>
      <c r="J328" t="s">
        <v>2298</v>
      </c>
      <c r="K328" t="s">
        <v>74</v>
      </c>
      <c r="L328" t="s">
        <v>74</v>
      </c>
      <c r="M328" t="s">
        <v>78</v>
      </c>
      <c r="N328" t="s">
        <v>79</v>
      </c>
      <c r="O328" t="s">
        <v>74</v>
      </c>
      <c r="P328" t="s">
        <v>74</v>
      </c>
      <c r="Q328" t="s">
        <v>74</v>
      </c>
      <c r="R328" t="s">
        <v>74</v>
      </c>
      <c r="S328" t="s">
        <v>74</v>
      </c>
      <c r="T328" t="s">
        <v>74</v>
      </c>
      <c r="U328" t="s">
        <v>6776</v>
      </c>
      <c r="V328" t="s">
        <v>6777</v>
      </c>
      <c r="W328" t="s">
        <v>6778</v>
      </c>
      <c r="X328" t="s">
        <v>6779</v>
      </c>
      <c r="Y328" t="s">
        <v>6780</v>
      </c>
      <c r="Z328" t="s">
        <v>6781</v>
      </c>
      <c r="AA328" t="s">
        <v>74</v>
      </c>
      <c r="AB328" t="s">
        <v>6782</v>
      </c>
      <c r="AC328" t="s">
        <v>6783</v>
      </c>
      <c r="AD328" t="s">
        <v>6784</v>
      </c>
      <c r="AE328" t="s">
        <v>6785</v>
      </c>
      <c r="AF328" t="s">
        <v>74</v>
      </c>
      <c r="AG328">
        <v>36</v>
      </c>
      <c r="AH328">
        <v>14</v>
      </c>
      <c r="AI328">
        <v>17</v>
      </c>
      <c r="AJ328">
        <v>7</v>
      </c>
      <c r="AK328">
        <v>68</v>
      </c>
      <c r="AL328" t="s">
        <v>2310</v>
      </c>
      <c r="AM328" t="s">
        <v>2311</v>
      </c>
      <c r="AN328" t="s">
        <v>2312</v>
      </c>
      <c r="AO328" t="s">
        <v>2313</v>
      </c>
      <c r="AP328" t="s">
        <v>74</v>
      </c>
      <c r="AQ328" t="s">
        <v>74</v>
      </c>
      <c r="AR328" t="s">
        <v>2298</v>
      </c>
      <c r="AS328" t="s">
        <v>2314</v>
      </c>
      <c r="AT328" t="s">
        <v>6769</v>
      </c>
      <c r="AU328">
        <v>2018</v>
      </c>
      <c r="AV328">
        <v>13</v>
      </c>
      <c r="AW328">
        <v>4</v>
      </c>
      <c r="AX328" t="s">
        <v>74</v>
      </c>
      <c r="AY328" t="s">
        <v>74</v>
      </c>
      <c r="AZ328" t="s">
        <v>74</v>
      </c>
      <c r="BA328" t="s">
        <v>74</v>
      </c>
      <c r="BB328" t="s">
        <v>74</v>
      </c>
      <c r="BC328" t="s">
        <v>74</v>
      </c>
      <c r="BD328" t="s">
        <v>6786</v>
      </c>
      <c r="BE328" t="s">
        <v>6787</v>
      </c>
      <c r="BF328" t="str">
        <f>HYPERLINK("http://dx.doi.org/10.1371/journal.pone.0194147","http://dx.doi.org/10.1371/journal.pone.0194147")</f>
        <v>http://dx.doi.org/10.1371/journal.pone.0194147</v>
      </c>
      <c r="BG328" t="s">
        <v>74</v>
      </c>
      <c r="BH328" t="s">
        <v>74</v>
      </c>
      <c r="BI328">
        <v>11</v>
      </c>
      <c r="BJ328" t="s">
        <v>1670</v>
      </c>
      <c r="BK328" t="s">
        <v>101</v>
      </c>
      <c r="BL328" t="s">
        <v>1671</v>
      </c>
      <c r="BM328" t="s">
        <v>6788</v>
      </c>
      <c r="BN328">
        <v>29641526</v>
      </c>
      <c r="BO328" t="s">
        <v>2233</v>
      </c>
      <c r="BP328" t="s">
        <v>74</v>
      </c>
      <c r="BQ328" t="s">
        <v>74</v>
      </c>
      <c r="BR328" t="s">
        <v>105</v>
      </c>
      <c r="BS328" t="s">
        <v>6789</v>
      </c>
      <c r="BT328" t="str">
        <f>HYPERLINK("https%3A%2F%2Fwww.webofscience.com%2Fwos%2Fwoscc%2Ffull-record%2FWOS:000429742900026","View Full Record in Web of Science")</f>
        <v>View Full Record in Web of Science</v>
      </c>
    </row>
    <row r="329" spans="1:72" x14ac:dyDescent="0.15">
      <c r="A329" t="s">
        <v>72</v>
      </c>
      <c r="B329" t="s">
        <v>6790</v>
      </c>
      <c r="C329" t="s">
        <v>74</v>
      </c>
      <c r="D329" t="s">
        <v>74</v>
      </c>
      <c r="E329" t="s">
        <v>74</v>
      </c>
      <c r="F329" t="s">
        <v>6791</v>
      </c>
      <c r="G329" t="s">
        <v>74</v>
      </c>
      <c r="H329" t="s">
        <v>74</v>
      </c>
      <c r="I329" t="s">
        <v>6792</v>
      </c>
      <c r="J329" t="s">
        <v>1576</v>
      </c>
      <c r="K329" t="s">
        <v>74</v>
      </c>
      <c r="L329" t="s">
        <v>74</v>
      </c>
      <c r="M329" t="s">
        <v>78</v>
      </c>
      <c r="N329" t="s">
        <v>79</v>
      </c>
      <c r="O329" t="s">
        <v>74</v>
      </c>
      <c r="P329" t="s">
        <v>74</v>
      </c>
      <c r="Q329" t="s">
        <v>74</v>
      </c>
      <c r="R329" t="s">
        <v>74</v>
      </c>
      <c r="S329" t="s">
        <v>74</v>
      </c>
      <c r="T329" t="s">
        <v>74</v>
      </c>
      <c r="U329" t="s">
        <v>6793</v>
      </c>
      <c r="V329" t="s">
        <v>6794</v>
      </c>
      <c r="W329" t="s">
        <v>6795</v>
      </c>
      <c r="X329" t="s">
        <v>6796</v>
      </c>
      <c r="Y329" t="s">
        <v>6797</v>
      </c>
      <c r="Z329" t="s">
        <v>6798</v>
      </c>
      <c r="AA329" t="s">
        <v>6799</v>
      </c>
      <c r="AB329" t="s">
        <v>6800</v>
      </c>
      <c r="AC329" t="s">
        <v>6801</v>
      </c>
      <c r="AD329" t="s">
        <v>6802</v>
      </c>
      <c r="AE329" t="s">
        <v>6803</v>
      </c>
      <c r="AF329" t="s">
        <v>74</v>
      </c>
      <c r="AG329">
        <v>52</v>
      </c>
      <c r="AH329">
        <v>41</v>
      </c>
      <c r="AI329">
        <v>42</v>
      </c>
      <c r="AJ329">
        <v>0</v>
      </c>
      <c r="AK329">
        <v>18</v>
      </c>
      <c r="AL329" t="s">
        <v>1563</v>
      </c>
      <c r="AM329" t="s">
        <v>1564</v>
      </c>
      <c r="AN329" t="s">
        <v>1565</v>
      </c>
      <c r="AO329" t="s">
        <v>1588</v>
      </c>
      <c r="AP329" t="s">
        <v>1589</v>
      </c>
      <c r="AQ329" t="s">
        <v>74</v>
      </c>
      <c r="AR329" t="s">
        <v>1576</v>
      </c>
      <c r="AS329" t="s">
        <v>1590</v>
      </c>
      <c r="AT329" t="s">
        <v>6769</v>
      </c>
      <c r="AU329">
        <v>2018</v>
      </c>
      <c r="AV329">
        <v>12</v>
      </c>
      <c r="AW329">
        <v>4</v>
      </c>
      <c r="AX329" t="s">
        <v>74</v>
      </c>
      <c r="AY329" t="s">
        <v>74</v>
      </c>
      <c r="AZ329" t="s">
        <v>74</v>
      </c>
      <c r="BA329" t="s">
        <v>74</v>
      </c>
      <c r="BB329">
        <v>1273</v>
      </c>
      <c r="BC329">
        <v>1291</v>
      </c>
      <c r="BD329" t="s">
        <v>74</v>
      </c>
      <c r="BE329" t="s">
        <v>6804</v>
      </c>
      <c r="BF329" t="str">
        <f>HYPERLINK("http://dx.doi.org/10.5194/tc-12-1273-2018","http://dx.doi.org/10.5194/tc-12-1273-2018")</f>
        <v>http://dx.doi.org/10.5194/tc-12-1273-2018</v>
      </c>
      <c r="BG329" t="s">
        <v>74</v>
      </c>
      <c r="BH329" t="s">
        <v>74</v>
      </c>
      <c r="BI329">
        <v>19</v>
      </c>
      <c r="BJ329" t="s">
        <v>338</v>
      </c>
      <c r="BK329" t="s">
        <v>101</v>
      </c>
      <c r="BL329" t="s">
        <v>339</v>
      </c>
      <c r="BM329" t="s">
        <v>6805</v>
      </c>
      <c r="BN329" t="s">
        <v>74</v>
      </c>
      <c r="BO329" t="s">
        <v>3123</v>
      </c>
      <c r="BP329" t="s">
        <v>74</v>
      </c>
      <c r="BQ329" t="s">
        <v>74</v>
      </c>
      <c r="BR329" t="s">
        <v>105</v>
      </c>
      <c r="BS329" t="s">
        <v>6806</v>
      </c>
      <c r="BT329" t="str">
        <f>HYPERLINK("https%3A%2F%2Fwww.webofscience.com%2Fwos%2Fwoscc%2Ffull-record%2FWOS:000429737700001","View Full Record in Web of Science")</f>
        <v>View Full Record in Web of Science</v>
      </c>
    </row>
    <row r="330" spans="1:72" x14ac:dyDescent="0.15">
      <c r="A330" t="s">
        <v>72</v>
      </c>
      <c r="B330" t="s">
        <v>6807</v>
      </c>
      <c r="C330" t="s">
        <v>74</v>
      </c>
      <c r="D330" t="s">
        <v>74</v>
      </c>
      <c r="E330" t="s">
        <v>74</v>
      </c>
      <c r="F330" t="s">
        <v>6808</v>
      </c>
      <c r="G330" t="s">
        <v>74</v>
      </c>
      <c r="H330" t="s">
        <v>74</v>
      </c>
      <c r="I330" t="s">
        <v>6809</v>
      </c>
      <c r="J330" t="s">
        <v>2139</v>
      </c>
      <c r="K330" t="s">
        <v>74</v>
      </c>
      <c r="L330" t="s">
        <v>74</v>
      </c>
      <c r="M330" t="s">
        <v>78</v>
      </c>
      <c r="N330" t="s">
        <v>79</v>
      </c>
      <c r="O330" t="s">
        <v>74</v>
      </c>
      <c r="P330" t="s">
        <v>74</v>
      </c>
      <c r="Q330" t="s">
        <v>74</v>
      </c>
      <c r="R330" t="s">
        <v>74</v>
      </c>
      <c r="S330" t="s">
        <v>74</v>
      </c>
      <c r="T330" t="s">
        <v>6810</v>
      </c>
      <c r="U330" t="s">
        <v>6811</v>
      </c>
      <c r="V330" t="s">
        <v>6812</v>
      </c>
      <c r="W330" t="s">
        <v>6813</v>
      </c>
      <c r="X330" t="s">
        <v>6814</v>
      </c>
      <c r="Y330" t="s">
        <v>6815</v>
      </c>
      <c r="Z330" t="s">
        <v>6816</v>
      </c>
      <c r="AA330" t="s">
        <v>6817</v>
      </c>
      <c r="AB330" t="s">
        <v>74</v>
      </c>
      <c r="AC330" t="s">
        <v>6818</v>
      </c>
      <c r="AD330" t="s">
        <v>6819</v>
      </c>
      <c r="AE330" t="s">
        <v>6820</v>
      </c>
      <c r="AF330" t="s">
        <v>74</v>
      </c>
      <c r="AG330">
        <v>95</v>
      </c>
      <c r="AH330">
        <v>10</v>
      </c>
      <c r="AI330">
        <v>12</v>
      </c>
      <c r="AJ330">
        <v>0</v>
      </c>
      <c r="AK330">
        <v>15</v>
      </c>
      <c r="AL330" t="s">
        <v>2152</v>
      </c>
      <c r="AM330" t="s">
        <v>2153</v>
      </c>
      <c r="AN330" t="s">
        <v>2154</v>
      </c>
      <c r="AO330" t="s">
        <v>74</v>
      </c>
      <c r="AP330" t="s">
        <v>2155</v>
      </c>
      <c r="AQ330" t="s">
        <v>74</v>
      </c>
      <c r="AR330" t="s">
        <v>2156</v>
      </c>
      <c r="AS330" t="s">
        <v>2157</v>
      </c>
      <c r="AT330" t="s">
        <v>6821</v>
      </c>
      <c r="AU330">
        <v>2018</v>
      </c>
      <c r="AV330">
        <v>5</v>
      </c>
      <c r="AW330" t="s">
        <v>74</v>
      </c>
      <c r="AX330" t="s">
        <v>74</v>
      </c>
      <c r="AY330" t="s">
        <v>74</v>
      </c>
      <c r="AZ330" t="s">
        <v>74</v>
      </c>
      <c r="BA330" t="s">
        <v>74</v>
      </c>
      <c r="BB330" t="s">
        <v>74</v>
      </c>
      <c r="BC330" t="s">
        <v>74</v>
      </c>
      <c r="BD330">
        <v>118</v>
      </c>
      <c r="BE330" t="s">
        <v>6822</v>
      </c>
      <c r="BF330" t="str">
        <f>HYPERLINK("http://dx.doi.org/10.3389/fmars.2018.00118","http://dx.doi.org/10.3389/fmars.2018.00118")</f>
        <v>http://dx.doi.org/10.3389/fmars.2018.00118</v>
      </c>
      <c r="BG330" t="s">
        <v>74</v>
      </c>
      <c r="BH330" t="s">
        <v>74</v>
      </c>
      <c r="BI330">
        <v>15</v>
      </c>
      <c r="BJ330" t="s">
        <v>2159</v>
      </c>
      <c r="BK330" t="s">
        <v>101</v>
      </c>
      <c r="BL330" t="s">
        <v>1268</v>
      </c>
      <c r="BM330" t="s">
        <v>6823</v>
      </c>
      <c r="BN330" t="s">
        <v>74</v>
      </c>
      <c r="BO330" t="s">
        <v>764</v>
      </c>
      <c r="BP330" t="s">
        <v>74</v>
      </c>
      <c r="BQ330" t="s">
        <v>74</v>
      </c>
      <c r="BR330" t="s">
        <v>105</v>
      </c>
      <c r="BS330" t="s">
        <v>6824</v>
      </c>
      <c r="BT330" t="str">
        <f>HYPERLINK("https%3A%2F%2Fwww.webofscience.com%2Fwos%2Fwoscc%2Ffull-record%2FWOS:000457079000001","View Full Record in Web of Science")</f>
        <v>View Full Record in Web of Science</v>
      </c>
    </row>
    <row r="331" spans="1:72" x14ac:dyDescent="0.15">
      <c r="A331" t="s">
        <v>72</v>
      </c>
      <c r="B331" t="s">
        <v>6825</v>
      </c>
      <c r="C331" t="s">
        <v>74</v>
      </c>
      <c r="D331" t="s">
        <v>74</v>
      </c>
      <c r="E331" t="s">
        <v>74</v>
      </c>
      <c r="F331" t="s">
        <v>6826</v>
      </c>
      <c r="G331" t="s">
        <v>74</v>
      </c>
      <c r="H331" t="s">
        <v>74</v>
      </c>
      <c r="I331" t="s">
        <v>6827</v>
      </c>
      <c r="J331" t="s">
        <v>2979</v>
      </c>
      <c r="K331" t="s">
        <v>74</v>
      </c>
      <c r="L331" t="s">
        <v>74</v>
      </c>
      <c r="M331" t="s">
        <v>78</v>
      </c>
      <c r="N331" t="s">
        <v>79</v>
      </c>
      <c r="O331" t="s">
        <v>74</v>
      </c>
      <c r="P331" t="s">
        <v>74</v>
      </c>
      <c r="Q331" t="s">
        <v>74</v>
      </c>
      <c r="R331" t="s">
        <v>74</v>
      </c>
      <c r="S331" t="s">
        <v>74</v>
      </c>
      <c r="T331" t="s">
        <v>6828</v>
      </c>
      <c r="U331" t="s">
        <v>6829</v>
      </c>
      <c r="V331" t="s">
        <v>6830</v>
      </c>
      <c r="W331" t="s">
        <v>6831</v>
      </c>
      <c r="X331" t="s">
        <v>6832</v>
      </c>
      <c r="Y331" t="s">
        <v>6833</v>
      </c>
      <c r="Z331" t="s">
        <v>6834</v>
      </c>
      <c r="AA331" t="s">
        <v>6835</v>
      </c>
      <c r="AB331" t="s">
        <v>6836</v>
      </c>
      <c r="AC331" t="s">
        <v>6837</v>
      </c>
      <c r="AD331" t="s">
        <v>6838</v>
      </c>
      <c r="AE331" t="s">
        <v>6839</v>
      </c>
      <c r="AF331" t="s">
        <v>74</v>
      </c>
      <c r="AG331">
        <v>48</v>
      </c>
      <c r="AH331">
        <v>11</v>
      </c>
      <c r="AI331">
        <v>11</v>
      </c>
      <c r="AJ331">
        <v>0</v>
      </c>
      <c r="AK331">
        <v>6</v>
      </c>
      <c r="AL331" t="s">
        <v>2152</v>
      </c>
      <c r="AM331" t="s">
        <v>2153</v>
      </c>
      <c r="AN331" t="s">
        <v>2154</v>
      </c>
      <c r="AO331" t="s">
        <v>74</v>
      </c>
      <c r="AP331" t="s">
        <v>2992</v>
      </c>
      <c r="AQ331" t="s">
        <v>74</v>
      </c>
      <c r="AR331" t="s">
        <v>2993</v>
      </c>
      <c r="AS331" t="s">
        <v>2994</v>
      </c>
      <c r="AT331" t="s">
        <v>6821</v>
      </c>
      <c r="AU331">
        <v>2018</v>
      </c>
      <c r="AV331">
        <v>6</v>
      </c>
      <c r="AW331" t="s">
        <v>74</v>
      </c>
      <c r="AX331" t="s">
        <v>74</v>
      </c>
      <c r="AY331" t="s">
        <v>74</v>
      </c>
      <c r="AZ331" t="s">
        <v>74</v>
      </c>
      <c r="BA331" t="s">
        <v>74</v>
      </c>
      <c r="BB331" t="s">
        <v>74</v>
      </c>
      <c r="BC331" t="s">
        <v>74</v>
      </c>
      <c r="BD331">
        <v>28</v>
      </c>
      <c r="BE331" t="s">
        <v>6840</v>
      </c>
      <c r="BF331" t="str">
        <f>HYPERLINK("http://dx.doi.org/10.3389/feart.2018.00028","http://dx.doi.org/10.3389/feart.2018.00028")</f>
        <v>http://dx.doi.org/10.3389/feart.2018.00028</v>
      </c>
      <c r="BG331" t="s">
        <v>74</v>
      </c>
      <c r="BH331" t="s">
        <v>74</v>
      </c>
      <c r="BI331">
        <v>11</v>
      </c>
      <c r="BJ331" t="s">
        <v>1243</v>
      </c>
      <c r="BK331" t="s">
        <v>101</v>
      </c>
      <c r="BL331" t="s">
        <v>1181</v>
      </c>
      <c r="BM331" t="s">
        <v>6841</v>
      </c>
      <c r="BN331" t="s">
        <v>74</v>
      </c>
      <c r="BO331" t="s">
        <v>133</v>
      </c>
      <c r="BP331" t="s">
        <v>74</v>
      </c>
      <c r="BQ331" t="s">
        <v>74</v>
      </c>
      <c r="BR331" t="s">
        <v>105</v>
      </c>
      <c r="BS331" t="s">
        <v>6842</v>
      </c>
      <c r="BT331" t="str">
        <f>HYPERLINK("https%3A%2F%2Fwww.webofscience.com%2Fwos%2Fwoscc%2Ffull-record%2FWOS:000432386100001","View Full Record in Web of Science")</f>
        <v>View Full Record in Web of Science</v>
      </c>
    </row>
    <row r="332" spans="1:72" x14ac:dyDescent="0.15">
      <c r="A332" t="s">
        <v>72</v>
      </c>
      <c r="B332" t="s">
        <v>6843</v>
      </c>
      <c r="C332" t="s">
        <v>74</v>
      </c>
      <c r="D332" t="s">
        <v>74</v>
      </c>
      <c r="E332" t="s">
        <v>74</v>
      </c>
      <c r="F332" t="s">
        <v>6844</v>
      </c>
      <c r="G332" t="s">
        <v>74</v>
      </c>
      <c r="H332" t="s">
        <v>74</v>
      </c>
      <c r="I332" t="s">
        <v>6845</v>
      </c>
      <c r="J332" t="s">
        <v>1576</v>
      </c>
      <c r="K332" t="s">
        <v>74</v>
      </c>
      <c r="L332" t="s">
        <v>74</v>
      </c>
      <c r="M332" t="s">
        <v>78</v>
      </c>
      <c r="N332" t="s">
        <v>79</v>
      </c>
      <c r="O332" t="s">
        <v>74</v>
      </c>
      <c r="P332" t="s">
        <v>74</v>
      </c>
      <c r="Q332" t="s">
        <v>74</v>
      </c>
      <c r="R332" t="s">
        <v>74</v>
      </c>
      <c r="S332" t="s">
        <v>74</v>
      </c>
      <c r="T332" t="s">
        <v>74</v>
      </c>
      <c r="U332" t="s">
        <v>6846</v>
      </c>
      <c r="V332" t="s">
        <v>6847</v>
      </c>
      <c r="W332" t="s">
        <v>6848</v>
      </c>
      <c r="X332" t="s">
        <v>6849</v>
      </c>
      <c r="Y332" t="s">
        <v>6850</v>
      </c>
      <c r="Z332" t="s">
        <v>6851</v>
      </c>
      <c r="AA332" t="s">
        <v>6852</v>
      </c>
      <c r="AB332" t="s">
        <v>6853</v>
      </c>
      <c r="AC332" t="s">
        <v>6854</v>
      </c>
      <c r="AD332" t="s">
        <v>6855</v>
      </c>
      <c r="AE332" t="s">
        <v>6856</v>
      </c>
      <c r="AF332" t="s">
        <v>74</v>
      </c>
      <c r="AG332">
        <v>95</v>
      </c>
      <c r="AH332">
        <v>36</v>
      </c>
      <c r="AI332">
        <v>36</v>
      </c>
      <c r="AJ332">
        <v>0</v>
      </c>
      <c r="AK332">
        <v>11</v>
      </c>
      <c r="AL332" t="s">
        <v>1563</v>
      </c>
      <c r="AM332" t="s">
        <v>1564</v>
      </c>
      <c r="AN332" t="s">
        <v>1565</v>
      </c>
      <c r="AO332" t="s">
        <v>1588</v>
      </c>
      <c r="AP332" t="s">
        <v>1589</v>
      </c>
      <c r="AQ332" t="s">
        <v>74</v>
      </c>
      <c r="AR332" t="s">
        <v>1576</v>
      </c>
      <c r="AS332" t="s">
        <v>1590</v>
      </c>
      <c r="AT332" t="s">
        <v>6821</v>
      </c>
      <c r="AU332">
        <v>2018</v>
      </c>
      <c r="AV332">
        <v>12</v>
      </c>
      <c r="AW332">
        <v>4</v>
      </c>
      <c r="AX332" t="s">
        <v>74</v>
      </c>
      <c r="AY332" t="s">
        <v>74</v>
      </c>
      <c r="AZ332" t="s">
        <v>74</v>
      </c>
      <c r="BA332" t="s">
        <v>74</v>
      </c>
      <c r="BB332">
        <v>1211</v>
      </c>
      <c r="BC332">
        <v>1232</v>
      </c>
      <c r="BD332" t="s">
        <v>74</v>
      </c>
      <c r="BE332" t="s">
        <v>6857</v>
      </c>
      <c r="BF332" t="str">
        <f>HYPERLINK("http://dx.doi.org/10.5194/tc-12-1211-2018","http://dx.doi.org/10.5194/tc-12-1211-2018")</f>
        <v>http://dx.doi.org/10.5194/tc-12-1211-2018</v>
      </c>
      <c r="BG332" t="s">
        <v>74</v>
      </c>
      <c r="BH332" t="s">
        <v>74</v>
      </c>
      <c r="BI332">
        <v>22</v>
      </c>
      <c r="BJ332" t="s">
        <v>338</v>
      </c>
      <c r="BK332" t="s">
        <v>101</v>
      </c>
      <c r="BL332" t="s">
        <v>339</v>
      </c>
      <c r="BM332" t="s">
        <v>6858</v>
      </c>
      <c r="BN332" t="s">
        <v>74</v>
      </c>
      <c r="BO332" t="s">
        <v>2695</v>
      </c>
      <c r="BP332" t="s">
        <v>74</v>
      </c>
      <c r="BQ332" t="s">
        <v>74</v>
      </c>
      <c r="BR332" t="s">
        <v>105</v>
      </c>
      <c r="BS332" t="s">
        <v>6859</v>
      </c>
      <c r="BT332" t="str">
        <f>HYPERLINK("https%3A%2F%2Fwww.webofscience.com%2Fwos%2Fwoscc%2Ffull-record%2FWOS:000429584900001","View Full Record in Web of Science")</f>
        <v>View Full Record in Web of Science</v>
      </c>
    </row>
    <row r="333" spans="1:72" x14ac:dyDescent="0.15">
      <c r="A333" t="s">
        <v>72</v>
      </c>
      <c r="B333" t="s">
        <v>6860</v>
      </c>
      <c r="C333" t="s">
        <v>74</v>
      </c>
      <c r="D333" t="s">
        <v>74</v>
      </c>
      <c r="E333" t="s">
        <v>74</v>
      </c>
      <c r="F333" t="s">
        <v>6861</v>
      </c>
      <c r="G333" t="s">
        <v>74</v>
      </c>
      <c r="H333" t="s">
        <v>74</v>
      </c>
      <c r="I333" t="s">
        <v>6862</v>
      </c>
      <c r="J333" t="s">
        <v>6165</v>
      </c>
      <c r="K333" t="s">
        <v>74</v>
      </c>
      <c r="L333" t="s">
        <v>74</v>
      </c>
      <c r="M333" t="s">
        <v>78</v>
      </c>
      <c r="N333" t="s">
        <v>79</v>
      </c>
      <c r="O333" t="s">
        <v>74</v>
      </c>
      <c r="P333" t="s">
        <v>74</v>
      </c>
      <c r="Q333" t="s">
        <v>74</v>
      </c>
      <c r="R333" t="s">
        <v>74</v>
      </c>
      <c r="S333" t="s">
        <v>74</v>
      </c>
      <c r="T333" t="s">
        <v>74</v>
      </c>
      <c r="U333" t="s">
        <v>6863</v>
      </c>
      <c r="V333" t="s">
        <v>6864</v>
      </c>
      <c r="W333" t="s">
        <v>6865</v>
      </c>
      <c r="X333" t="s">
        <v>6866</v>
      </c>
      <c r="Y333" t="s">
        <v>6867</v>
      </c>
      <c r="Z333" t="s">
        <v>6868</v>
      </c>
      <c r="AA333" t="s">
        <v>6869</v>
      </c>
      <c r="AB333" t="s">
        <v>6870</v>
      </c>
      <c r="AC333" t="s">
        <v>6871</v>
      </c>
      <c r="AD333" t="s">
        <v>6872</v>
      </c>
      <c r="AE333" t="s">
        <v>6873</v>
      </c>
      <c r="AF333" t="s">
        <v>74</v>
      </c>
      <c r="AG333">
        <v>180</v>
      </c>
      <c r="AH333">
        <v>30</v>
      </c>
      <c r="AI333">
        <v>30</v>
      </c>
      <c r="AJ333">
        <v>0</v>
      </c>
      <c r="AK333">
        <v>22</v>
      </c>
      <c r="AL333" t="s">
        <v>1563</v>
      </c>
      <c r="AM333" t="s">
        <v>1564</v>
      </c>
      <c r="AN333" t="s">
        <v>1565</v>
      </c>
      <c r="AO333" t="s">
        <v>6177</v>
      </c>
      <c r="AP333" t="s">
        <v>6178</v>
      </c>
      <c r="AQ333" t="s">
        <v>74</v>
      </c>
      <c r="AR333" t="s">
        <v>6179</v>
      </c>
      <c r="AS333" t="s">
        <v>6180</v>
      </c>
      <c r="AT333" t="s">
        <v>6821</v>
      </c>
      <c r="AU333">
        <v>2018</v>
      </c>
      <c r="AV333">
        <v>11</v>
      </c>
      <c r="AW333">
        <v>4</v>
      </c>
      <c r="AX333" t="s">
        <v>74</v>
      </c>
      <c r="AY333" t="s">
        <v>74</v>
      </c>
      <c r="AZ333" t="s">
        <v>74</v>
      </c>
      <c r="BA333" t="s">
        <v>74</v>
      </c>
      <c r="BB333">
        <v>1257</v>
      </c>
      <c r="BC333">
        <v>1292</v>
      </c>
      <c r="BD333" t="s">
        <v>74</v>
      </c>
      <c r="BE333" t="s">
        <v>6874</v>
      </c>
      <c r="BF333" t="str">
        <f>HYPERLINK("http://dx.doi.org/10.5194/gmd-11-1257-2018","http://dx.doi.org/10.5194/gmd-11-1257-2018")</f>
        <v>http://dx.doi.org/10.5194/gmd-11-1257-2018</v>
      </c>
      <c r="BG333" t="s">
        <v>74</v>
      </c>
      <c r="BH333" t="s">
        <v>74</v>
      </c>
      <c r="BI333">
        <v>36</v>
      </c>
      <c r="BJ333" t="s">
        <v>1243</v>
      </c>
      <c r="BK333" t="s">
        <v>101</v>
      </c>
      <c r="BL333" t="s">
        <v>1181</v>
      </c>
      <c r="BM333" t="s">
        <v>6875</v>
      </c>
      <c r="BN333" t="s">
        <v>74</v>
      </c>
      <c r="BO333" t="s">
        <v>830</v>
      </c>
      <c r="BP333" t="s">
        <v>74</v>
      </c>
      <c r="BQ333" t="s">
        <v>74</v>
      </c>
      <c r="BR333" t="s">
        <v>105</v>
      </c>
      <c r="BS333" t="s">
        <v>6876</v>
      </c>
      <c r="BT333" t="str">
        <f>HYPERLINK("https%3A%2F%2Fwww.webofscience.com%2Fwos%2Fwoscc%2Ffull-record%2FWOS:000429574800001","View Full Record in Web of Science")</f>
        <v>View Full Record in Web of Science</v>
      </c>
    </row>
    <row r="334" spans="1:72" x14ac:dyDescent="0.15">
      <c r="A334" t="s">
        <v>72</v>
      </c>
      <c r="B334" t="s">
        <v>6877</v>
      </c>
      <c r="C334" t="s">
        <v>74</v>
      </c>
      <c r="D334" t="s">
        <v>74</v>
      </c>
      <c r="E334" t="s">
        <v>74</v>
      </c>
      <c r="F334" t="s">
        <v>6878</v>
      </c>
      <c r="G334" t="s">
        <v>74</v>
      </c>
      <c r="H334" t="s">
        <v>74</v>
      </c>
      <c r="I334" t="s">
        <v>6879</v>
      </c>
      <c r="J334" t="s">
        <v>1677</v>
      </c>
      <c r="K334" t="s">
        <v>74</v>
      </c>
      <c r="L334" t="s">
        <v>74</v>
      </c>
      <c r="M334" t="s">
        <v>78</v>
      </c>
      <c r="N334" t="s">
        <v>79</v>
      </c>
      <c r="O334" t="s">
        <v>74</v>
      </c>
      <c r="P334" t="s">
        <v>74</v>
      </c>
      <c r="Q334" t="s">
        <v>74</v>
      </c>
      <c r="R334" t="s">
        <v>74</v>
      </c>
      <c r="S334" t="s">
        <v>74</v>
      </c>
      <c r="T334" t="s">
        <v>74</v>
      </c>
      <c r="U334" t="s">
        <v>6880</v>
      </c>
      <c r="V334" t="s">
        <v>6881</v>
      </c>
      <c r="W334" t="s">
        <v>6882</v>
      </c>
      <c r="X334" t="s">
        <v>6883</v>
      </c>
      <c r="Y334" t="s">
        <v>6884</v>
      </c>
      <c r="Z334" t="s">
        <v>6885</v>
      </c>
      <c r="AA334" t="s">
        <v>6886</v>
      </c>
      <c r="AB334" t="s">
        <v>6887</v>
      </c>
      <c r="AC334" t="s">
        <v>6888</v>
      </c>
      <c r="AD334" t="s">
        <v>6889</v>
      </c>
      <c r="AE334" t="s">
        <v>6890</v>
      </c>
      <c r="AF334" t="s">
        <v>74</v>
      </c>
      <c r="AG334">
        <v>55</v>
      </c>
      <c r="AH334">
        <v>7</v>
      </c>
      <c r="AI334">
        <v>8</v>
      </c>
      <c r="AJ334">
        <v>0</v>
      </c>
      <c r="AK334">
        <v>10</v>
      </c>
      <c r="AL334" t="s">
        <v>1689</v>
      </c>
      <c r="AM334" t="s">
        <v>1540</v>
      </c>
      <c r="AN334" t="s">
        <v>1690</v>
      </c>
      <c r="AO334" t="s">
        <v>1691</v>
      </c>
      <c r="AP334" t="s">
        <v>74</v>
      </c>
      <c r="AQ334" t="s">
        <v>74</v>
      </c>
      <c r="AR334" t="s">
        <v>1692</v>
      </c>
      <c r="AS334" t="s">
        <v>1693</v>
      </c>
      <c r="AT334" t="s">
        <v>6821</v>
      </c>
      <c r="AU334">
        <v>2018</v>
      </c>
      <c r="AV334">
        <v>9</v>
      </c>
      <c r="AW334" t="s">
        <v>74</v>
      </c>
      <c r="AX334" t="s">
        <v>74</v>
      </c>
      <c r="AY334" t="s">
        <v>74</v>
      </c>
      <c r="AZ334" t="s">
        <v>74</v>
      </c>
      <c r="BA334" t="s">
        <v>74</v>
      </c>
      <c r="BB334" t="s">
        <v>74</v>
      </c>
      <c r="BC334" t="s">
        <v>74</v>
      </c>
      <c r="BD334">
        <v>1361</v>
      </c>
      <c r="BE334" t="s">
        <v>6891</v>
      </c>
      <c r="BF334" t="str">
        <f>HYPERLINK("http://dx.doi.org/10.1038/s41467-018-03800-0","http://dx.doi.org/10.1038/s41467-018-03800-0")</f>
        <v>http://dx.doi.org/10.1038/s41467-018-03800-0</v>
      </c>
      <c r="BG334" t="s">
        <v>74</v>
      </c>
      <c r="BH334" t="s">
        <v>74</v>
      </c>
      <c r="BI334">
        <v>10</v>
      </c>
      <c r="BJ334" t="s">
        <v>1670</v>
      </c>
      <c r="BK334" t="s">
        <v>101</v>
      </c>
      <c r="BL334" t="s">
        <v>1671</v>
      </c>
      <c r="BM334" t="s">
        <v>6892</v>
      </c>
      <c r="BN334">
        <v>29636470</v>
      </c>
      <c r="BO334" t="s">
        <v>764</v>
      </c>
      <c r="BP334" t="s">
        <v>74</v>
      </c>
      <c r="BQ334" t="s">
        <v>74</v>
      </c>
      <c r="BR334" t="s">
        <v>105</v>
      </c>
      <c r="BS334" t="s">
        <v>6893</v>
      </c>
      <c r="BT334" t="str">
        <f>HYPERLINK("https%3A%2F%2Fwww.webofscience.com%2Fwos%2Fwoscc%2Ffull-record%2FWOS:000429521300003","View Full Record in Web of Science")</f>
        <v>View Full Record in Web of Science</v>
      </c>
    </row>
    <row r="335" spans="1:72" x14ac:dyDescent="0.15">
      <c r="A335" t="s">
        <v>72</v>
      </c>
      <c r="B335" t="s">
        <v>6894</v>
      </c>
      <c r="C335" t="s">
        <v>74</v>
      </c>
      <c r="D335" t="s">
        <v>74</v>
      </c>
      <c r="E335" t="s">
        <v>74</v>
      </c>
      <c r="F335" t="s">
        <v>6895</v>
      </c>
      <c r="G335" t="s">
        <v>74</v>
      </c>
      <c r="H335" t="s">
        <v>74</v>
      </c>
      <c r="I335" t="s">
        <v>6896</v>
      </c>
      <c r="J335" t="s">
        <v>2298</v>
      </c>
      <c r="K335" t="s">
        <v>74</v>
      </c>
      <c r="L335" t="s">
        <v>74</v>
      </c>
      <c r="M335" t="s">
        <v>78</v>
      </c>
      <c r="N335" t="s">
        <v>79</v>
      </c>
      <c r="O335" t="s">
        <v>74</v>
      </c>
      <c r="P335" t="s">
        <v>74</v>
      </c>
      <c r="Q335" t="s">
        <v>74</v>
      </c>
      <c r="R335" t="s">
        <v>74</v>
      </c>
      <c r="S335" t="s">
        <v>74</v>
      </c>
      <c r="T335" t="s">
        <v>74</v>
      </c>
      <c r="U335" t="s">
        <v>6897</v>
      </c>
      <c r="V335" t="s">
        <v>6898</v>
      </c>
      <c r="W335" t="s">
        <v>6899</v>
      </c>
      <c r="X335" t="s">
        <v>6900</v>
      </c>
      <c r="Y335" t="s">
        <v>6901</v>
      </c>
      <c r="Z335" t="s">
        <v>6902</v>
      </c>
      <c r="AA335" t="s">
        <v>74</v>
      </c>
      <c r="AB335" t="s">
        <v>6903</v>
      </c>
      <c r="AC335" t="s">
        <v>6904</v>
      </c>
      <c r="AD335" t="s">
        <v>6905</v>
      </c>
      <c r="AE335" t="s">
        <v>6906</v>
      </c>
      <c r="AF335" t="s">
        <v>74</v>
      </c>
      <c r="AG335">
        <v>75</v>
      </c>
      <c r="AH335">
        <v>10</v>
      </c>
      <c r="AI335">
        <v>10</v>
      </c>
      <c r="AJ335">
        <v>1</v>
      </c>
      <c r="AK335">
        <v>15</v>
      </c>
      <c r="AL335" t="s">
        <v>2310</v>
      </c>
      <c r="AM335" t="s">
        <v>2311</v>
      </c>
      <c r="AN335" t="s">
        <v>2312</v>
      </c>
      <c r="AO335" t="s">
        <v>2313</v>
      </c>
      <c r="AP335" t="s">
        <v>74</v>
      </c>
      <c r="AQ335" t="s">
        <v>74</v>
      </c>
      <c r="AR335" t="s">
        <v>2298</v>
      </c>
      <c r="AS335" t="s">
        <v>2314</v>
      </c>
      <c r="AT335" t="s">
        <v>6821</v>
      </c>
      <c r="AU335">
        <v>2018</v>
      </c>
      <c r="AV335">
        <v>13</v>
      </c>
      <c r="AW335">
        <v>4</v>
      </c>
      <c r="AX335" t="s">
        <v>74</v>
      </c>
      <c r="AY335" t="s">
        <v>74</v>
      </c>
      <c r="AZ335" t="s">
        <v>74</v>
      </c>
      <c r="BA335" t="s">
        <v>74</v>
      </c>
      <c r="BB335" t="s">
        <v>74</v>
      </c>
      <c r="BC335" t="s">
        <v>74</v>
      </c>
      <c r="BD335" t="s">
        <v>6907</v>
      </c>
      <c r="BE335" t="s">
        <v>6908</v>
      </c>
      <c r="BF335" t="str">
        <f>HYPERLINK("http://dx.doi.org/10.1371/journal.pone.0195587","http://dx.doi.org/10.1371/journal.pone.0195587")</f>
        <v>http://dx.doi.org/10.1371/journal.pone.0195587</v>
      </c>
      <c r="BG335" t="s">
        <v>74</v>
      </c>
      <c r="BH335" t="s">
        <v>74</v>
      </c>
      <c r="BI335">
        <v>20</v>
      </c>
      <c r="BJ335" t="s">
        <v>1670</v>
      </c>
      <c r="BK335" t="s">
        <v>101</v>
      </c>
      <c r="BL335" t="s">
        <v>1671</v>
      </c>
      <c r="BM335" t="s">
        <v>6909</v>
      </c>
      <c r="BN335">
        <v>29634756</v>
      </c>
      <c r="BO335" t="s">
        <v>2233</v>
      </c>
      <c r="BP335" t="s">
        <v>74</v>
      </c>
      <c r="BQ335" t="s">
        <v>74</v>
      </c>
      <c r="BR335" t="s">
        <v>105</v>
      </c>
      <c r="BS335" t="s">
        <v>6910</v>
      </c>
      <c r="BT335" t="str">
        <f>HYPERLINK("https%3A%2F%2Fwww.webofscience.com%2Fwos%2Fwoscc%2Ffull-record%2FWOS:000429522200039","View Full Record in Web of Science")</f>
        <v>View Full Record in Web of Science</v>
      </c>
    </row>
    <row r="336" spans="1:72" x14ac:dyDescent="0.15">
      <c r="A336" t="s">
        <v>72</v>
      </c>
      <c r="B336" t="s">
        <v>6911</v>
      </c>
      <c r="C336" t="s">
        <v>74</v>
      </c>
      <c r="D336" t="s">
        <v>74</v>
      </c>
      <c r="E336" t="s">
        <v>74</v>
      </c>
      <c r="F336" t="s">
        <v>6912</v>
      </c>
      <c r="G336" t="s">
        <v>74</v>
      </c>
      <c r="H336" t="s">
        <v>74</v>
      </c>
      <c r="I336" t="s">
        <v>6913</v>
      </c>
      <c r="J336" t="s">
        <v>6914</v>
      </c>
      <c r="K336" t="s">
        <v>74</v>
      </c>
      <c r="L336" t="s">
        <v>74</v>
      </c>
      <c r="M336" t="s">
        <v>78</v>
      </c>
      <c r="N336" t="s">
        <v>79</v>
      </c>
      <c r="O336" t="s">
        <v>74</v>
      </c>
      <c r="P336" t="s">
        <v>74</v>
      </c>
      <c r="Q336" t="s">
        <v>74</v>
      </c>
      <c r="R336" t="s">
        <v>74</v>
      </c>
      <c r="S336" t="s">
        <v>74</v>
      </c>
      <c r="T336" t="s">
        <v>6915</v>
      </c>
      <c r="U336" t="s">
        <v>6916</v>
      </c>
      <c r="V336" t="s">
        <v>6917</v>
      </c>
      <c r="W336" t="s">
        <v>6918</v>
      </c>
      <c r="X336" t="s">
        <v>6919</v>
      </c>
      <c r="Y336" t="s">
        <v>6920</v>
      </c>
      <c r="Z336" t="s">
        <v>6921</v>
      </c>
      <c r="AA336" t="s">
        <v>6922</v>
      </c>
      <c r="AB336" t="s">
        <v>6923</v>
      </c>
      <c r="AC336" t="s">
        <v>6924</v>
      </c>
      <c r="AD336" t="s">
        <v>6924</v>
      </c>
      <c r="AE336" t="s">
        <v>6925</v>
      </c>
      <c r="AF336" t="s">
        <v>74</v>
      </c>
      <c r="AG336">
        <v>18</v>
      </c>
      <c r="AH336">
        <v>12</v>
      </c>
      <c r="AI336">
        <v>12</v>
      </c>
      <c r="AJ336">
        <v>2</v>
      </c>
      <c r="AK336">
        <v>11</v>
      </c>
      <c r="AL336" t="s">
        <v>151</v>
      </c>
      <c r="AM336" t="s">
        <v>152</v>
      </c>
      <c r="AN336" t="s">
        <v>153</v>
      </c>
      <c r="AO336" t="s">
        <v>6926</v>
      </c>
      <c r="AP336" t="s">
        <v>74</v>
      </c>
      <c r="AQ336" t="s">
        <v>74</v>
      </c>
      <c r="AR336" t="s">
        <v>6927</v>
      </c>
      <c r="AS336" t="s">
        <v>6928</v>
      </c>
      <c r="AT336" t="s">
        <v>6821</v>
      </c>
      <c r="AU336">
        <v>2018</v>
      </c>
      <c r="AV336">
        <v>114</v>
      </c>
      <c r="AW336">
        <v>7</v>
      </c>
      <c r="AX336" t="s">
        <v>74</v>
      </c>
      <c r="AY336" t="s">
        <v>74</v>
      </c>
      <c r="AZ336" t="s">
        <v>74</v>
      </c>
      <c r="BA336" t="s">
        <v>74</v>
      </c>
      <c r="BB336">
        <v>1407</v>
      </c>
      <c r="BC336">
        <v>1413</v>
      </c>
      <c r="BD336" t="s">
        <v>74</v>
      </c>
      <c r="BE336" t="s">
        <v>6929</v>
      </c>
      <c r="BF336" t="str">
        <f>HYPERLINK("http://dx.doi.org/10.18520/cs/v114/i07/1407-1413","http://dx.doi.org/10.18520/cs/v114/i07/1407-1413")</f>
        <v>http://dx.doi.org/10.18520/cs/v114/i07/1407-1413</v>
      </c>
      <c r="BG336" t="s">
        <v>74</v>
      </c>
      <c r="BH336" t="s">
        <v>74</v>
      </c>
      <c r="BI336">
        <v>7</v>
      </c>
      <c r="BJ336" t="s">
        <v>1670</v>
      </c>
      <c r="BK336" t="s">
        <v>101</v>
      </c>
      <c r="BL336" t="s">
        <v>1671</v>
      </c>
      <c r="BM336" t="s">
        <v>6930</v>
      </c>
      <c r="BN336" t="s">
        <v>74</v>
      </c>
      <c r="BO336" t="s">
        <v>162</v>
      </c>
      <c r="BP336" t="s">
        <v>74</v>
      </c>
      <c r="BQ336" t="s">
        <v>74</v>
      </c>
      <c r="BR336" t="s">
        <v>105</v>
      </c>
      <c r="BS336" t="s">
        <v>6931</v>
      </c>
      <c r="BT336" t="str">
        <f>HYPERLINK("https%3A%2F%2Fwww.webofscience.com%2Fwos%2Fwoscc%2Ffull-record%2FWOS:000429353700020","View Full Record in Web of Science")</f>
        <v>View Full Record in Web of Science</v>
      </c>
    </row>
    <row r="337" spans="1:72" x14ac:dyDescent="0.15">
      <c r="A337" t="s">
        <v>72</v>
      </c>
      <c r="B337" t="s">
        <v>6932</v>
      </c>
      <c r="C337" t="s">
        <v>74</v>
      </c>
      <c r="D337" t="s">
        <v>74</v>
      </c>
      <c r="E337" t="s">
        <v>74</v>
      </c>
      <c r="F337" t="s">
        <v>6933</v>
      </c>
      <c r="G337" t="s">
        <v>74</v>
      </c>
      <c r="H337" t="s">
        <v>74</v>
      </c>
      <c r="I337" t="s">
        <v>6934</v>
      </c>
      <c r="J337" t="s">
        <v>6914</v>
      </c>
      <c r="K337" t="s">
        <v>74</v>
      </c>
      <c r="L337" t="s">
        <v>74</v>
      </c>
      <c r="M337" t="s">
        <v>78</v>
      </c>
      <c r="N337" t="s">
        <v>79</v>
      </c>
      <c r="O337" t="s">
        <v>74</v>
      </c>
      <c r="P337" t="s">
        <v>74</v>
      </c>
      <c r="Q337" t="s">
        <v>74</v>
      </c>
      <c r="R337" t="s">
        <v>74</v>
      </c>
      <c r="S337" t="s">
        <v>74</v>
      </c>
      <c r="T337" t="s">
        <v>6935</v>
      </c>
      <c r="U337" t="s">
        <v>6936</v>
      </c>
      <c r="V337" t="s">
        <v>6937</v>
      </c>
      <c r="W337" t="s">
        <v>6938</v>
      </c>
      <c r="X337" t="s">
        <v>6939</v>
      </c>
      <c r="Y337" t="s">
        <v>6940</v>
      </c>
      <c r="Z337" t="s">
        <v>6941</v>
      </c>
      <c r="AA337" t="s">
        <v>74</v>
      </c>
      <c r="AB337" t="s">
        <v>6942</v>
      </c>
      <c r="AC337" t="s">
        <v>6943</v>
      </c>
      <c r="AD337" t="s">
        <v>6944</v>
      </c>
      <c r="AE337" t="s">
        <v>6945</v>
      </c>
      <c r="AF337" t="s">
        <v>74</v>
      </c>
      <c r="AG337">
        <v>22</v>
      </c>
      <c r="AH337">
        <v>2</v>
      </c>
      <c r="AI337">
        <v>2</v>
      </c>
      <c r="AJ337">
        <v>1</v>
      </c>
      <c r="AK337">
        <v>5</v>
      </c>
      <c r="AL337" t="s">
        <v>151</v>
      </c>
      <c r="AM337" t="s">
        <v>152</v>
      </c>
      <c r="AN337" t="s">
        <v>153</v>
      </c>
      <c r="AO337" t="s">
        <v>6926</v>
      </c>
      <c r="AP337" t="s">
        <v>74</v>
      </c>
      <c r="AQ337" t="s">
        <v>74</v>
      </c>
      <c r="AR337" t="s">
        <v>6927</v>
      </c>
      <c r="AS337" t="s">
        <v>6928</v>
      </c>
      <c r="AT337" t="s">
        <v>6821</v>
      </c>
      <c r="AU337">
        <v>2018</v>
      </c>
      <c r="AV337">
        <v>114</v>
      </c>
      <c r="AW337">
        <v>7</v>
      </c>
      <c r="AX337" t="s">
        <v>74</v>
      </c>
      <c r="AY337" t="s">
        <v>74</v>
      </c>
      <c r="AZ337" t="s">
        <v>74</v>
      </c>
      <c r="BA337" t="s">
        <v>74</v>
      </c>
      <c r="BB337">
        <v>1510</v>
      </c>
      <c r="BC337">
        <v>1519</v>
      </c>
      <c r="BD337" t="s">
        <v>74</v>
      </c>
      <c r="BE337" t="s">
        <v>6946</v>
      </c>
      <c r="BF337" t="str">
        <f>HYPERLINK("http://dx.doi.org/10.18520/cs/v114/i07/1510-1519","http://dx.doi.org/10.18520/cs/v114/i07/1510-1519")</f>
        <v>http://dx.doi.org/10.18520/cs/v114/i07/1510-1519</v>
      </c>
      <c r="BG337" t="s">
        <v>74</v>
      </c>
      <c r="BH337" t="s">
        <v>74</v>
      </c>
      <c r="BI337">
        <v>10</v>
      </c>
      <c r="BJ337" t="s">
        <v>1670</v>
      </c>
      <c r="BK337" t="s">
        <v>101</v>
      </c>
      <c r="BL337" t="s">
        <v>1671</v>
      </c>
      <c r="BM337" t="s">
        <v>6930</v>
      </c>
      <c r="BN337" t="s">
        <v>74</v>
      </c>
      <c r="BO337" t="s">
        <v>162</v>
      </c>
      <c r="BP337" t="s">
        <v>74</v>
      </c>
      <c r="BQ337" t="s">
        <v>74</v>
      </c>
      <c r="BR337" t="s">
        <v>105</v>
      </c>
      <c r="BS337" t="s">
        <v>6947</v>
      </c>
      <c r="BT337" t="str">
        <f>HYPERLINK("https%3A%2F%2Fwww.webofscience.com%2Fwos%2Fwoscc%2Ffull-record%2FWOS:000429353700031","View Full Record in Web of Science")</f>
        <v>View Full Record in Web of Science</v>
      </c>
    </row>
    <row r="338" spans="1:72" x14ac:dyDescent="0.15">
      <c r="A338" t="s">
        <v>72</v>
      </c>
      <c r="B338" t="s">
        <v>6948</v>
      </c>
      <c r="C338" t="s">
        <v>74</v>
      </c>
      <c r="D338" t="s">
        <v>74</v>
      </c>
      <c r="E338" t="s">
        <v>74</v>
      </c>
      <c r="F338" t="s">
        <v>6949</v>
      </c>
      <c r="G338" t="s">
        <v>74</v>
      </c>
      <c r="H338" t="s">
        <v>74</v>
      </c>
      <c r="I338" t="s">
        <v>6950</v>
      </c>
      <c r="J338" t="s">
        <v>1677</v>
      </c>
      <c r="K338" t="s">
        <v>74</v>
      </c>
      <c r="L338" t="s">
        <v>74</v>
      </c>
      <c r="M338" t="s">
        <v>78</v>
      </c>
      <c r="N338" t="s">
        <v>79</v>
      </c>
      <c r="O338" t="s">
        <v>74</v>
      </c>
      <c r="P338" t="s">
        <v>74</v>
      </c>
      <c r="Q338" t="s">
        <v>74</v>
      </c>
      <c r="R338" t="s">
        <v>74</v>
      </c>
      <c r="S338" t="s">
        <v>74</v>
      </c>
      <c r="T338" t="s">
        <v>74</v>
      </c>
      <c r="U338" t="s">
        <v>6951</v>
      </c>
      <c r="V338" t="s">
        <v>6952</v>
      </c>
      <c r="W338" t="s">
        <v>6953</v>
      </c>
      <c r="X338" t="s">
        <v>6954</v>
      </c>
      <c r="Y338" t="s">
        <v>6955</v>
      </c>
      <c r="Z338" t="s">
        <v>6956</v>
      </c>
      <c r="AA338" t="s">
        <v>6957</v>
      </c>
      <c r="AB338" t="s">
        <v>6958</v>
      </c>
      <c r="AC338" t="s">
        <v>6959</v>
      </c>
      <c r="AD338" t="s">
        <v>6960</v>
      </c>
      <c r="AE338" t="s">
        <v>6961</v>
      </c>
      <c r="AF338" t="s">
        <v>74</v>
      </c>
      <c r="AG338">
        <v>74</v>
      </c>
      <c r="AH338">
        <v>1008</v>
      </c>
      <c r="AI338">
        <v>1089</v>
      </c>
      <c r="AJ338">
        <v>79</v>
      </c>
      <c r="AK338">
        <v>439</v>
      </c>
      <c r="AL338" t="s">
        <v>1663</v>
      </c>
      <c r="AM338" t="s">
        <v>1664</v>
      </c>
      <c r="AN338" t="s">
        <v>1665</v>
      </c>
      <c r="AO338" t="s">
        <v>74</v>
      </c>
      <c r="AP338" t="s">
        <v>1691</v>
      </c>
      <c r="AQ338" t="s">
        <v>74</v>
      </c>
      <c r="AR338" t="s">
        <v>1692</v>
      </c>
      <c r="AS338" t="s">
        <v>1693</v>
      </c>
      <c r="AT338" t="s">
        <v>6821</v>
      </c>
      <c r="AU338">
        <v>2018</v>
      </c>
      <c r="AV338">
        <v>9</v>
      </c>
      <c r="AW338" t="s">
        <v>74</v>
      </c>
      <c r="AX338" t="s">
        <v>74</v>
      </c>
      <c r="AY338" t="s">
        <v>74</v>
      </c>
      <c r="AZ338" t="s">
        <v>74</v>
      </c>
      <c r="BA338" t="s">
        <v>74</v>
      </c>
      <c r="BB338" t="s">
        <v>74</v>
      </c>
      <c r="BC338" t="s">
        <v>74</v>
      </c>
      <c r="BD338">
        <v>1324</v>
      </c>
      <c r="BE338" t="s">
        <v>6962</v>
      </c>
      <c r="BF338" t="str">
        <f>HYPERLINK("http://dx.doi.org/10.1038/s41467-018-03732-9","http://dx.doi.org/10.1038/s41467-018-03732-9")</f>
        <v>http://dx.doi.org/10.1038/s41467-018-03732-9</v>
      </c>
      <c r="BG338" t="s">
        <v>74</v>
      </c>
      <c r="BH338" t="s">
        <v>74</v>
      </c>
      <c r="BI338">
        <v>12</v>
      </c>
      <c r="BJ338" t="s">
        <v>1670</v>
      </c>
      <c r="BK338" t="s">
        <v>484</v>
      </c>
      <c r="BL338" t="s">
        <v>1671</v>
      </c>
      <c r="BM338" t="s">
        <v>6963</v>
      </c>
      <c r="BN338">
        <v>29636482</v>
      </c>
      <c r="BO338" t="s">
        <v>487</v>
      </c>
      <c r="BP338" t="s">
        <v>555</v>
      </c>
      <c r="BQ338" t="s">
        <v>556</v>
      </c>
      <c r="BR338" t="s">
        <v>105</v>
      </c>
      <c r="BS338" t="s">
        <v>6964</v>
      </c>
      <c r="BT338" t="str">
        <f>HYPERLINK("https%3A%2F%2Fwww.webofscience.com%2Fwos%2Fwoscc%2Ffull-record%2FWOS:000429521000001","View Full Record in Web of Science")</f>
        <v>View Full Record in Web of Science</v>
      </c>
    </row>
    <row r="339" spans="1:72" x14ac:dyDescent="0.15">
      <c r="A339" t="s">
        <v>72</v>
      </c>
      <c r="B339" t="s">
        <v>6965</v>
      </c>
      <c r="C339" t="s">
        <v>74</v>
      </c>
      <c r="D339" t="s">
        <v>74</v>
      </c>
      <c r="E339" t="s">
        <v>74</v>
      </c>
      <c r="F339" t="s">
        <v>6966</v>
      </c>
      <c r="G339" t="s">
        <v>74</v>
      </c>
      <c r="H339" t="s">
        <v>74</v>
      </c>
      <c r="I339" t="s">
        <v>6967</v>
      </c>
      <c r="J339" t="s">
        <v>6968</v>
      </c>
      <c r="K339" t="s">
        <v>74</v>
      </c>
      <c r="L339" t="s">
        <v>74</v>
      </c>
      <c r="M339" t="s">
        <v>78</v>
      </c>
      <c r="N339" t="s">
        <v>466</v>
      </c>
      <c r="O339" t="s">
        <v>74</v>
      </c>
      <c r="P339" t="s">
        <v>74</v>
      </c>
      <c r="Q339" t="s">
        <v>74</v>
      </c>
      <c r="R339" t="s">
        <v>74</v>
      </c>
      <c r="S339" t="s">
        <v>74</v>
      </c>
      <c r="T339" t="s">
        <v>74</v>
      </c>
      <c r="U339" t="s">
        <v>6969</v>
      </c>
      <c r="V339" t="s">
        <v>6970</v>
      </c>
      <c r="W339" t="s">
        <v>6971</v>
      </c>
      <c r="X339" t="s">
        <v>6972</v>
      </c>
      <c r="Y339" t="s">
        <v>6973</v>
      </c>
      <c r="Z339" t="s">
        <v>6974</v>
      </c>
      <c r="AA339" t="s">
        <v>6975</v>
      </c>
      <c r="AB339" t="s">
        <v>6976</v>
      </c>
      <c r="AC339" t="s">
        <v>6977</v>
      </c>
      <c r="AD339" t="s">
        <v>6978</v>
      </c>
      <c r="AE339" t="s">
        <v>6979</v>
      </c>
      <c r="AF339" t="s">
        <v>74</v>
      </c>
      <c r="AG339">
        <v>82</v>
      </c>
      <c r="AH339">
        <v>15</v>
      </c>
      <c r="AI339">
        <v>16</v>
      </c>
      <c r="AJ339">
        <v>0</v>
      </c>
      <c r="AK339">
        <v>22</v>
      </c>
      <c r="AL339" t="s">
        <v>1563</v>
      </c>
      <c r="AM339" t="s">
        <v>1564</v>
      </c>
      <c r="AN339" t="s">
        <v>1565</v>
      </c>
      <c r="AO339" t="s">
        <v>6980</v>
      </c>
      <c r="AP339" t="s">
        <v>6981</v>
      </c>
      <c r="AQ339" t="s">
        <v>74</v>
      </c>
      <c r="AR339" t="s">
        <v>6982</v>
      </c>
      <c r="AS339" t="s">
        <v>6983</v>
      </c>
      <c r="AT339" t="s">
        <v>6984</v>
      </c>
      <c r="AU339">
        <v>2018</v>
      </c>
      <c r="AV339">
        <v>10</v>
      </c>
      <c r="AW339">
        <v>2</v>
      </c>
      <c r="AX339" t="s">
        <v>74</v>
      </c>
      <c r="AY339" t="s">
        <v>74</v>
      </c>
      <c r="AZ339" t="s">
        <v>74</v>
      </c>
      <c r="BA339" t="s">
        <v>74</v>
      </c>
      <c r="BB339">
        <v>711</v>
      </c>
      <c r="BC339">
        <v>725</v>
      </c>
      <c r="BD339" t="s">
        <v>74</v>
      </c>
      <c r="BE339" t="s">
        <v>6985</v>
      </c>
      <c r="BF339" t="str">
        <f>HYPERLINK("http://dx.doi.org/10.5194/essd-10-711-2018","http://dx.doi.org/10.5194/essd-10-711-2018")</f>
        <v>http://dx.doi.org/10.5194/essd-10-711-2018</v>
      </c>
      <c r="BG339" t="s">
        <v>74</v>
      </c>
      <c r="BH339" t="s">
        <v>74</v>
      </c>
      <c r="BI339">
        <v>15</v>
      </c>
      <c r="BJ339" t="s">
        <v>6986</v>
      </c>
      <c r="BK339" t="s">
        <v>101</v>
      </c>
      <c r="BL339" t="s">
        <v>6987</v>
      </c>
      <c r="BM339" t="s">
        <v>6988</v>
      </c>
      <c r="BN339" t="s">
        <v>74</v>
      </c>
      <c r="BO339" t="s">
        <v>3123</v>
      </c>
      <c r="BP339" t="s">
        <v>74</v>
      </c>
      <c r="BQ339" t="s">
        <v>74</v>
      </c>
      <c r="BR339" t="s">
        <v>105</v>
      </c>
      <c r="BS339" t="s">
        <v>6989</v>
      </c>
      <c r="BT339" t="str">
        <f>HYPERLINK("https%3A%2F%2Fwww.webofscience.com%2Fwos%2Fwoscc%2Ffull-record%2FWOS:000429436300001","View Full Record in Web of Science")</f>
        <v>View Full Record in Web of Science</v>
      </c>
    </row>
    <row r="340" spans="1:72" x14ac:dyDescent="0.15">
      <c r="A340" t="s">
        <v>72</v>
      </c>
      <c r="B340" t="s">
        <v>6990</v>
      </c>
      <c r="C340" t="s">
        <v>74</v>
      </c>
      <c r="D340" t="s">
        <v>74</v>
      </c>
      <c r="E340" t="s">
        <v>74</v>
      </c>
      <c r="F340" t="s">
        <v>6991</v>
      </c>
      <c r="G340" t="s">
        <v>74</v>
      </c>
      <c r="H340" t="s">
        <v>74</v>
      </c>
      <c r="I340" t="s">
        <v>6992</v>
      </c>
      <c r="J340" t="s">
        <v>2139</v>
      </c>
      <c r="K340" t="s">
        <v>74</v>
      </c>
      <c r="L340" t="s">
        <v>74</v>
      </c>
      <c r="M340" t="s">
        <v>78</v>
      </c>
      <c r="N340" t="s">
        <v>79</v>
      </c>
      <c r="O340" t="s">
        <v>74</v>
      </c>
      <c r="P340" t="s">
        <v>74</v>
      </c>
      <c r="Q340" t="s">
        <v>74</v>
      </c>
      <c r="R340" t="s">
        <v>74</v>
      </c>
      <c r="S340" t="s">
        <v>74</v>
      </c>
      <c r="T340" t="s">
        <v>6993</v>
      </c>
      <c r="U340" t="s">
        <v>6994</v>
      </c>
      <c r="V340" t="s">
        <v>6995</v>
      </c>
      <c r="W340" t="s">
        <v>6996</v>
      </c>
      <c r="X340" t="s">
        <v>6997</v>
      </c>
      <c r="Y340" t="s">
        <v>6998</v>
      </c>
      <c r="Z340" t="s">
        <v>6999</v>
      </c>
      <c r="AA340" t="s">
        <v>7000</v>
      </c>
      <c r="AB340" t="s">
        <v>7001</v>
      </c>
      <c r="AC340" t="s">
        <v>7002</v>
      </c>
      <c r="AD340" t="s">
        <v>7003</v>
      </c>
      <c r="AE340" t="s">
        <v>7004</v>
      </c>
      <c r="AF340" t="s">
        <v>74</v>
      </c>
      <c r="AG340">
        <v>87</v>
      </c>
      <c r="AH340">
        <v>18</v>
      </c>
      <c r="AI340">
        <v>20</v>
      </c>
      <c r="AJ340">
        <v>0</v>
      </c>
      <c r="AK340">
        <v>14</v>
      </c>
      <c r="AL340" t="s">
        <v>2152</v>
      </c>
      <c r="AM340" t="s">
        <v>2153</v>
      </c>
      <c r="AN340" t="s">
        <v>2154</v>
      </c>
      <c r="AO340" t="s">
        <v>74</v>
      </c>
      <c r="AP340" t="s">
        <v>2155</v>
      </c>
      <c r="AQ340" t="s">
        <v>74</v>
      </c>
      <c r="AR340" t="s">
        <v>2156</v>
      </c>
      <c r="AS340" t="s">
        <v>2157</v>
      </c>
      <c r="AT340" t="s">
        <v>7005</v>
      </c>
      <c r="AU340">
        <v>2018</v>
      </c>
      <c r="AV340">
        <v>5</v>
      </c>
      <c r="AW340" t="s">
        <v>74</v>
      </c>
      <c r="AX340" t="s">
        <v>74</v>
      </c>
      <c r="AY340" t="s">
        <v>74</v>
      </c>
      <c r="AZ340" t="s">
        <v>74</v>
      </c>
      <c r="BA340" t="s">
        <v>74</v>
      </c>
      <c r="BB340" t="s">
        <v>74</v>
      </c>
      <c r="BC340" t="s">
        <v>74</v>
      </c>
      <c r="BD340">
        <v>104</v>
      </c>
      <c r="BE340" t="s">
        <v>7006</v>
      </c>
      <c r="BF340" t="str">
        <f>HYPERLINK("http://dx.doi.org/10.3389/fmars.2018.00104","http://dx.doi.org/10.3389/fmars.2018.00104")</f>
        <v>http://dx.doi.org/10.3389/fmars.2018.00104</v>
      </c>
      <c r="BG340" t="s">
        <v>74</v>
      </c>
      <c r="BH340" t="s">
        <v>74</v>
      </c>
      <c r="BI340">
        <v>8</v>
      </c>
      <c r="BJ340" t="s">
        <v>2159</v>
      </c>
      <c r="BK340" t="s">
        <v>101</v>
      </c>
      <c r="BL340" t="s">
        <v>1268</v>
      </c>
      <c r="BM340" t="s">
        <v>7007</v>
      </c>
      <c r="BN340" t="s">
        <v>74</v>
      </c>
      <c r="BO340" t="s">
        <v>3105</v>
      </c>
      <c r="BP340" t="s">
        <v>74</v>
      </c>
      <c r="BQ340" t="s">
        <v>74</v>
      </c>
      <c r="BR340" t="s">
        <v>105</v>
      </c>
      <c r="BS340" t="s">
        <v>7008</v>
      </c>
      <c r="BT340" t="str">
        <f>HYPERLINK("https%3A%2F%2Fwww.webofscience.com%2Fwos%2Fwoscc%2Ffull-record%2FWOS:000457076200001","View Full Record in Web of Science")</f>
        <v>View Full Record in Web of Science</v>
      </c>
    </row>
    <row r="341" spans="1:72" x14ac:dyDescent="0.15">
      <c r="A341" t="s">
        <v>72</v>
      </c>
      <c r="B341" t="s">
        <v>7009</v>
      </c>
      <c r="C341" t="s">
        <v>74</v>
      </c>
      <c r="D341" t="s">
        <v>74</v>
      </c>
      <c r="E341" t="s">
        <v>74</v>
      </c>
      <c r="F341" t="s">
        <v>7010</v>
      </c>
      <c r="G341" t="s">
        <v>74</v>
      </c>
      <c r="H341" t="s">
        <v>74</v>
      </c>
      <c r="I341" t="s">
        <v>7011</v>
      </c>
      <c r="J341" t="s">
        <v>6518</v>
      </c>
      <c r="K341" t="s">
        <v>74</v>
      </c>
      <c r="L341" t="s">
        <v>74</v>
      </c>
      <c r="M341" t="s">
        <v>78</v>
      </c>
      <c r="N341" t="s">
        <v>79</v>
      </c>
      <c r="O341" t="s">
        <v>74</v>
      </c>
      <c r="P341" t="s">
        <v>74</v>
      </c>
      <c r="Q341" t="s">
        <v>74</v>
      </c>
      <c r="R341" t="s">
        <v>74</v>
      </c>
      <c r="S341" t="s">
        <v>74</v>
      </c>
      <c r="T341" t="s">
        <v>74</v>
      </c>
      <c r="U341" t="s">
        <v>7012</v>
      </c>
      <c r="V341" t="s">
        <v>7013</v>
      </c>
      <c r="W341" t="s">
        <v>7014</v>
      </c>
      <c r="X341" t="s">
        <v>7015</v>
      </c>
      <c r="Y341" t="s">
        <v>7016</v>
      </c>
      <c r="Z341" t="s">
        <v>7017</v>
      </c>
      <c r="AA341" t="s">
        <v>7018</v>
      </c>
      <c r="AB341" t="s">
        <v>7019</v>
      </c>
      <c r="AC341" t="s">
        <v>7020</v>
      </c>
      <c r="AD341" t="s">
        <v>7021</v>
      </c>
      <c r="AE341" t="s">
        <v>7022</v>
      </c>
      <c r="AF341" t="s">
        <v>74</v>
      </c>
      <c r="AG341">
        <v>72</v>
      </c>
      <c r="AH341">
        <v>31</v>
      </c>
      <c r="AI341">
        <v>33</v>
      </c>
      <c r="AJ341">
        <v>2</v>
      </c>
      <c r="AK341">
        <v>30</v>
      </c>
      <c r="AL341" t="s">
        <v>1563</v>
      </c>
      <c r="AM341" t="s">
        <v>1564</v>
      </c>
      <c r="AN341" t="s">
        <v>1565</v>
      </c>
      <c r="AO341" t="s">
        <v>6530</v>
      </c>
      <c r="AP341" t="s">
        <v>6531</v>
      </c>
      <c r="AQ341" t="s">
        <v>74</v>
      </c>
      <c r="AR341" t="s">
        <v>6532</v>
      </c>
      <c r="AS341" t="s">
        <v>6533</v>
      </c>
      <c r="AT341" t="s">
        <v>7005</v>
      </c>
      <c r="AU341">
        <v>2018</v>
      </c>
      <c r="AV341">
        <v>9</v>
      </c>
      <c r="AW341">
        <v>2</v>
      </c>
      <c r="AX341" t="s">
        <v>74</v>
      </c>
      <c r="AY341" t="s">
        <v>74</v>
      </c>
      <c r="AZ341" t="s">
        <v>74</v>
      </c>
      <c r="BA341" t="s">
        <v>74</v>
      </c>
      <c r="BB341">
        <v>339</v>
      </c>
      <c r="BC341">
        <v>357</v>
      </c>
      <c r="BD341" t="s">
        <v>74</v>
      </c>
      <c r="BE341" t="s">
        <v>7023</v>
      </c>
      <c r="BF341" t="str">
        <f>HYPERLINK("http://dx.doi.org/10.5194/esd-9-339-2018","http://dx.doi.org/10.5194/esd-9-339-2018")</f>
        <v>http://dx.doi.org/10.5194/esd-9-339-2018</v>
      </c>
      <c r="BG341" t="s">
        <v>74</v>
      </c>
      <c r="BH341" t="s">
        <v>74</v>
      </c>
      <c r="BI341">
        <v>19</v>
      </c>
      <c r="BJ341" t="s">
        <v>1243</v>
      </c>
      <c r="BK341" t="s">
        <v>101</v>
      </c>
      <c r="BL341" t="s">
        <v>1181</v>
      </c>
      <c r="BM341" t="s">
        <v>7024</v>
      </c>
      <c r="BN341" t="s">
        <v>74</v>
      </c>
      <c r="BO341" t="s">
        <v>2339</v>
      </c>
      <c r="BP341" t="s">
        <v>74</v>
      </c>
      <c r="BQ341" t="s">
        <v>74</v>
      </c>
      <c r="BR341" t="s">
        <v>105</v>
      </c>
      <c r="BS341" t="s">
        <v>7025</v>
      </c>
      <c r="BT341" t="str">
        <f>HYPERLINK("https%3A%2F%2Fwww.webofscience.com%2Fwos%2Fwoscc%2Ffull-record%2FWOS:000429356300001","View Full Record in Web of Science")</f>
        <v>View Full Record in Web of Science</v>
      </c>
    </row>
    <row r="342" spans="1:72" x14ac:dyDescent="0.15">
      <c r="A342" t="s">
        <v>72</v>
      </c>
      <c r="B342" t="s">
        <v>7026</v>
      </c>
      <c r="C342" t="s">
        <v>74</v>
      </c>
      <c r="D342" t="s">
        <v>74</v>
      </c>
      <c r="E342" t="s">
        <v>74</v>
      </c>
      <c r="F342" t="s">
        <v>7027</v>
      </c>
      <c r="G342" t="s">
        <v>74</v>
      </c>
      <c r="H342" t="s">
        <v>74</v>
      </c>
      <c r="I342" t="s">
        <v>7028</v>
      </c>
      <c r="J342" t="s">
        <v>7029</v>
      </c>
      <c r="K342" t="s">
        <v>74</v>
      </c>
      <c r="L342" t="s">
        <v>74</v>
      </c>
      <c r="M342" t="s">
        <v>78</v>
      </c>
      <c r="N342" t="s">
        <v>79</v>
      </c>
      <c r="O342" t="s">
        <v>74</v>
      </c>
      <c r="P342" t="s">
        <v>74</v>
      </c>
      <c r="Q342" t="s">
        <v>74</v>
      </c>
      <c r="R342" t="s">
        <v>74</v>
      </c>
      <c r="S342" t="s">
        <v>74</v>
      </c>
      <c r="T342" t="s">
        <v>7030</v>
      </c>
      <c r="U342" t="s">
        <v>7031</v>
      </c>
      <c r="V342" t="s">
        <v>7032</v>
      </c>
      <c r="W342" t="s">
        <v>7033</v>
      </c>
      <c r="X342" t="s">
        <v>7034</v>
      </c>
      <c r="Y342" t="s">
        <v>7035</v>
      </c>
      <c r="Z342" t="s">
        <v>7036</v>
      </c>
      <c r="AA342" t="s">
        <v>7037</v>
      </c>
      <c r="AB342" t="s">
        <v>7038</v>
      </c>
      <c r="AC342" t="s">
        <v>7039</v>
      </c>
      <c r="AD342" t="s">
        <v>7040</v>
      </c>
      <c r="AE342" t="s">
        <v>7041</v>
      </c>
      <c r="AF342" t="s">
        <v>74</v>
      </c>
      <c r="AG342">
        <v>64</v>
      </c>
      <c r="AH342">
        <v>46</v>
      </c>
      <c r="AI342">
        <v>48</v>
      </c>
      <c r="AJ342">
        <v>0</v>
      </c>
      <c r="AK342">
        <v>10</v>
      </c>
      <c r="AL342" t="s">
        <v>7042</v>
      </c>
      <c r="AM342" t="s">
        <v>7043</v>
      </c>
      <c r="AN342" t="s">
        <v>7044</v>
      </c>
      <c r="AO342" t="s">
        <v>74</v>
      </c>
      <c r="AP342" t="s">
        <v>7045</v>
      </c>
      <c r="AQ342" t="s">
        <v>74</v>
      </c>
      <c r="AR342" t="s">
        <v>7046</v>
      </c>
      <c r="AS342" t="s">
        <v>7047</v>
      </c>
      <c r="AT342" t="s">
        <v>7005</v>
      </c>
      <c r="AU342">
        <v>2018</v>
      </c>
      <c r="AV342">
        <v>70</v>
      </c>
      <c r="AW342" t="s">
        <v>74</v>
      </c>
      <c r="AX342" t="s">
        <v>74</v>
      </c>
      <c r="AY342" t="s">
        <v>74</v>
      </c>
      <c r="AZ342" t="s">
        <v>74</v>
      </c>
      <c r="BA342" t="s">
        <v>74</v>
      </c>
      <c r="BB342" t="s">
        <v>74</v>
      </c>
      <c r="BC342" t="s">
        <v>74</v>
      </c>
      <c r="BD342">
        <v>1454808</v>
      </c>
      <c r="BE342" t="s">
        <v>7048</v>
      </c>
      <c r="BF342" t="str">
        <f>HYPERLINK("http://dx.doi.org/10.1080/16000870.2018.1454808","http://dx.doi.org/10.1080/16000870.2018.1454808")</f>
        <v>http://dx.doi.org/10.1080/16000870.2018.1454808</v>
      </c>
      <c r="BG342" t="s">
        <v>74</v>
      </c>
      <c r="BH342" t="s">
        <v>74</v>
      </c>
      <c r="BI342">
        <v>18</v>
      </c>
      <c r="BJ342" t="s">
        <v>3871</v>
      </c>
      <c r="BK342" t="s">
        <v>101</v>
      </c>
      <c r="BL342" t="s">
        <v>3871</v>
      </c>
      <c r="BM342" t="s">
        <v>7049</v>
      </c>
      <c r="BN342" t="s">
        <v>74</v>
      </c>
      <c r="BO342" t="s">
        <v>764</v>
      </c>
      <c r="BP342" t="s">
        <v>74</v>
      </c>
      <c r="BQ342" t="s">
        <v>74</v>
      </c>
      <c r="BR342" t="s">
        <v>105</v>
      </c>
      <c r="BS342" t="s">
        <v>7050</v>
      </c>
      <c r="BT342" t="str">
        <f>HYPERLINK("https%3A%2F%2Fwww.webofscience.com%2Fwos%2Fwoscc%2Ffull-record%2FWOS:000429359500001","View Full Record in Web of Science")</f>
        <v>View Full Record in Web of Science</v>
      </c>
    </row>
    <row r="343" spans="1:72" x14ac:dyDescent="0.15">
      <c r="A343" t="s">
        <v>72</v>
      </c>
      <c r="B343" t="s">
        <v>7051</v>
      </c>
      <c r="C343" t="s">
        <v>74</v>
      </c>
      <c r="D343" t="s">
        <v>74</v>
      </c>
      <c r="E343" t="s">
        <v>74</v>
      </c>
      <c r="F343" t="s">
        <v>7052</v>
      </c>
      <c r="G343" t="s">
        <v>74</v>
      </c>
      <c r="H343" t="s">
        <v>74</v>
      </c>
      <c r="I343" t="s">
        <v>7053</v>
      </c>
      <c r="J343" t="s">
        <v>1576</v>
      </c>
      <c r="K343" t="s">
        <v>74</v>
      </c>
      <c r="L343" t="s">
        <v>74</v>
      </c>
      <c r="M343" t="s">
        <v>78</v>
      </c>
      <c r="N343" t="s">
        <v>79</v>
      </c>
      <c r="O343" t="s">
        <v>74</v>
      </c>
      <c r="P343" t="s">
        <v>74</v>
      </c>
      <c r="Q343" t="s">
        <v>74</v>
      </c>
      <c r="R343" t="s">
        <v>74</v>
      </c>
      <c r="S343" t="s">
        <v>74</v>
      </c>
      <c r="T343" t="s">
        <v>74</v>
      </c>
      <c r="U343" t="s">
        <v>7054</v>
      </c>
      <c r="V343" t="s">
        <v>7055</v>
      </c>
      <c r="W343" t="s">
        <v>7056</v>
      </c>
      <c r="X343" t="s">
        <v>7057</v>
      </c>
      <c r="Y343" t="s">
        <v>7058</v>
      </c>
      <c r="Z343" t="s">
        <v>7059</v>
      </c>
      <c r="AA343" t="s">
        <v>7060</v>
      </c>
      <c r="AB343" t="s">
        <v>7061</v>
      </c>
      <c r="AC343" t="s">
        <v>7062</v>
      </c>
      <c r="AD343" t="s">
        <v>7063</v>
      </c>
      <c r="AE343" t="s">
        <v>7064</v>
      </c>
      <c r="AF343" t="s">
        <v>74</v>
      </c>
      <c r="AG343">
        <v>100</v>
      </c>
      <c r="AH343">
        <v>16</v>
      </c>
      <c r="AI343">
        <v>20</v>
      </c>
      <c r="AJ343">
        <v>1</v>
      </c>
      <c r="AK343">
        <v>29</v>
      </c>
      <c r="AL343" t="s">
        <v>1563</v>
      </c>
      <c r="AM343" t="s">
        <v>1564</v>
      </c>
      <c r="AN343" t="s">
        <v>1565</v>
      </c>
      <c r="AO343" t="s">
        <v>1588</v>
      </c>
      <c r="AP343" t="s">
        <v>1589</v>
      </c>
      <c r="AQ343" t="s">
        <v>74</v>
      </c>
      <c r="AR343" t="s">
        <v>1576</v>
      </c>
      <c r="AS343" t="s">
        <v>1590</v>
      </c>
      <c r="AT343" t="s">
        <v>7065</v>
      </c>
      <c r="AU343">
        <v>2018</v>
      </c>
      <c r="AV343">
        <v>12</v>
      </c>
      <c r="AW343">
        <v>4</v>
      </c>
      <c r="AX343" t="s">
        <v>74</v>
      </c>
      <c r="AY343" t="s">
        <v>74</v>
      </c>
      <c r="AZ343" t="s">
        <v>74</v>
      </c>
      <c r="BA343" t="s">
        <v>74</v>
      </c>
      <c r="BB343">
        <v>1177</v>
      </c>
      <c r="BC343">
        <v>1194</v>
      </c>
      <c r="BD343" t="s">
        <v>74</v>
      </c>
      <c r="BE343" t="s">
        <v>7066</v>
      </c>
      <c r="BF343" t="str">
        <f>HYPERLINK("http://dx.doi.org/10.5194/tc-12-1177-2018","http://dx.doi.org/10.5194/tc-12-1177-2018")</f>
        <v>http://dx.doi.org/10.5194/tc-12-1177-2018</v>
      </c>
      <c r="BG343" t="s">
        <v>74</v>
      </c>
      <c r="BH343" t="s">
        <v>74</v>
      </c>
      <c r="BI343">
        <v>18</v>
      </c>
      <c r="BJ343" t="s">
        <v>338</v>
      </c>
      <c r="BK343" t="s">
        <v>101</v>
      </c>
      <c r="BL343" t="s">
        <v>339</v>
      </c>
      <c r="BM343" t="s">
        <v>7067</v>
      </c>
      <c r="BN343" t="s">
        <v>74</v>
      </c>
      <c r="BO343" t="s">
        <v>830</v>
      </c>
      <c r="BP343" t="s">
        <v>74</v>
      </c>
      <c r="BQ343" t="s">
        <v>74</v>
      </c>
      <c r="BR343" t="s">
        <v>105</v>
      </c>
      <c r="BS343" t="s">
        <v>7068</v>
      </c>
      <c r="BT343" t="str">
        <f>HYPERLINK("https%3A%2F%2Fwww.webofscience.com%2Fwos%2Fwoscc%2Ffull-record%2FWOS:000429244400001","View Full Record in Web of Science")</f>
        <v>View Full Record in Web of Science</v>
      </c>
    </row>
    <row r="344" spans="1:72" x14ac:dyDescent="0.15">
      <c r="A344" t="s">
        <v>72</v>
      </c>
      <c r="B344" t="s">
        <v>7069</v>
      </c>
      <c r="C344" t="s">
        <v>74</v>
      </c>
      <c r="D344" t="s">
        <v>74</v>
      </c>
      <c r="E344" t="s">
        <v>74</v>
      </c>
      <c r="F344" t="s">
        <v>7070</v>
      </c>
      <c r="G344" t="s">
        <v>74</v>
      </c>
      <c r="H344" t="s">
        <v>74</v>
      </c>
      <c r="I344" t="s">
        <v>7071</v>
      </c>
      <c r="J344" t="s">
        <v>2322</v>
      </c>
      <c r="K344" t="s">
        <v>74</v>
      </c>
      <c r="L344" t="s">
        <v>74</v>
      </c>
      <c r="M344" t="s">
        <v>78</v>
      </c>
      <c r="N344" t="s">
        <v>79</v>
      </c>
      <c r="O344" t="s">
        <v>74</v>
      </c>
      <c r="P344" t="s">
        <v>74</v>
      </c>
      <c r="Q344" t="s">
        <v>74</v>
      </c>
      <c r="R344" t="s">
        <v>74</v>
      </c>
      <c r="S344" t="s">
        <v>74</v>
      </c>
      <c r="T344" t="s">
        <v>74</v>
      </c>
      <c r="U344" t="s">
        <v>7072</v>
      </c>
      <c r="V344" t="s">
        <v>7073</v>
      </c>
      <c r="W344" t="s">
        <v>7074</v>
      </c>
      <c r="X344" t="s">
        <v>7075</v>
      </c>
      <c r="Y344" t="s">
        <v>7076</v>
      </c>
      <c r="Z344" t="s">
        <v>7077</v>
      </c>
      <c r="AA344" t="s">
        <v>7078</v>
      </c>
      <c r="AB344" t="s">
        <v>7079</v>
      </c>
      <c r="AC344" t="s">
        <v>7080</v>
      </c>
      <c r="AD344" t="s">
        <v>7081</v>
      </c>
      <c r="AE344" t="s">
        <v>7082</v>
      </c>
      <c r="AF344" t="s">
        <v>74</v>
      </c>
      <c r="AG344">
        <v>100</v>
      </c>
      <c r="AH344">
        <v>26</v>
      </c>
      <c r="AI344">
        <v>29</v>
      </c>
      <c r="AJ344">
        <v>0</v>
      </c>
      <c r="AK344">
        <v>25</v>
      </c>
      <c r="AL344" t="s">
        <v>1563</v>
      </c>
      <c r="AM344" t="s">
        <v>1564</v>
      </c>
      <c r="AN344" t="s">
        <v>1565</v>
      </c>
      <c r="AO344" t="s">
        <v>2334</v>
      </c>
      <c r="AP344" t="s">
        <v>2335</v>
      </c>
      <c r="AQ344" t="s">
        <v>74</v>
      </c>
      <c r="AR344" t="s">
        <v>2322</v>
      </c>
      <c r="AS344" t="s">
        <v>2336</v>
      </c>
      <c r="AT344" t="s">
        <v>7083</v>
      </c>
      <c r="AU344">
        <v>2018</v>
      </c>
      <c r="AV344">
        <v>15</v>
      </c>
      <c r="AW344">
        <v>7</v>
      </c>
      <c r="AX344" t="s">
        <v>74</v>
      </c>
      <c r="AY344" t="s">
        <v>74</v>
      </c>
      <c r="AZ344" t="s">
        <v>74</v>
      </c>
      <c r="BA344" t="s">
        <v>74</v>
      </c>
      <c r="BB344">
        <v>1987</v>
      </c>
      <c r="BC344">
        <v>2006</v>
      </c>
      <c r="BD344" t="s">
        <v>74</v>
      </c>
      <c r="BE344" t="s">
        <v>7084</v>
      </c>
      <c r="BF344" t="str">
        <f>HYPERLINK("http://dx.doi.org/10.5194/bg-15-1987-2018","http://dx.doi.org/10.5194/bg-15-1987-2018")</f>
        <v>http://dx.doi.org/10.5194/bg-15-1987-2018</v>
      </c>
      <c r="BG344" t="s">
        <v>74</v>
      </c>
      <c r="BH344" t="s">
        <v>74</v>
      </c>
      <c r="BI344">
        <v>20</v>
      </c>
      <c r="BJ344" t="s">
        <v>803</v>
      </c>
      <c r="BK344" t="s">
        <v>101</v>
      </c>
      <c r="BL344" t="s">
        <v>804</v>
      </c>
      <c r="BM344" t="s">
        <v>7085</v>
      </c>
      <c r="BN344" t="s">
        <v>74</v>
      </c>
      <c r="BO344" t="s">
        <v>7086</v>
      </c>
      <c r="BP344" t="s">
        <v>74</v>
      </c>
      <c r="BQ344" t="s">
        <v>74</v>
      </c>
      <c r="BR344" t="s">
        <v>105</v>
      </c>
      <c r="BS344" t="s">
        <v>7087</v>
      </c>
      <c r="BT344" t="str">
        <f>HYPERLINK("https%3A%2F%2Fwww.webofscience.com%2Fwos%2Fwoscc%2Ffull-record%2FWOS:000429157700003","View Full Record in Web of Science")</f>
        <v>View Full Record in Web of Science</v>
      </c>
    </row>
    <row r="345" spans="1:72" x14ac:dyDescent="0.15">
      <c r="A345" t="s">
        <v>72</v>
      </c>
      <c r="B345" t="s">
        <v>7088</v>
      </c>
      <c r="C345" t="s">
        <v>74</v>
      </c>
      <c r="D345" t="s">
        <v>74</v>
      </c>
      <c r="E345" t="s">
        <v>74</v>
      </c>
      <c r="F345" t="s">
        <v>7089</v>
      </c>
      <c r="G345" t="s">
        <v>74</v>
      </c>
      <c r="H345" t="s">
        <v>74</v>
      </c>
      <c r="I345" t="s">
        <v>7090</v>
      </c>
      <c r="J345" t="s">
        <v>1552</v>
      </c>
      <c r="K345" t="s">
        <v>74</v>
      </c>
      <c r="L345" t="s">
        <v>74</v>
      </c>
      <c r="M345" t="s">
        <v>78</v>
      </c>
      <c r="N345" t="s">
        <v>79</v>
      </c>
      <c r="O345" t="s">
        <v>74</v>
      </c>
      <c r="P345" t="s">
        <v>74</v>
      </c>
      <c r="Q345" t="s">
        <v>74</v>
      </c>
      <c r="R345" t="s">
        <v>74</v>
      </c>
      <c r="S345" t="s">
        <v>74</v>
      </c>
      <c r="T345" t="s">
        <v>74</v>
      </c>
      <c r="U345" t="s">
        <v>7091</v>
      </c>
      <c r="V345" t="s">
        <v>7092</v>
      </c>
      <c r="W345" t="s">
        <v>7093</v>
      </c>
      <c r="X345" t="s">
        <v>7094</v>
      </c>
      <c r="Y345" t="s">
        <v>7095</v>
      </c>
      <c r="Z345" t="s">
        <v>7096</v>
      </c>
      <c r="AA345" t="s">
        <v>7097</v>
      </c>
      <c r="AB345" t="s">
        <v>74</v>
      </c>
      <c r="AC345" t="s">
        <v>7098</v>
      </c>
      <c r="AD345" t="s">
        <v>7099</v>
      </c>
      <c r="AE345" t="s">
        <v>7100</v>
      </c>
      <c r="AF345" t="s">
        <v>74</v>
      </c>
      <c r="AG345">
        <v>108</v>
      </c>
      <c r="AH345">
        <v>3</v>
      </c>
      <c r="AI345">
        <v>3</v>
      </c>
      <c r="AJ345">
        <v>1</v>
      </c>
      <c r="AK345">
        <v>4</v>
      </c>
      <c r="AL345" t="s">
        <v>1563</v>
      </c>
      <c r="AM345" t="s">
        <v>1564</v>
      </c>
      <c r="AN345" t="s">
        <v>1565</v>
      </c>
      <c r="AO345" t="s">
        <v>1566</v>
      </c>
      <c r="AP345" t="s">
        <v>1567</v>
      </c>
      <c r="AQ345" t="s">
        <v>74</v>
      </c>
      <c r="AR345" t="s">
        <v>1568</v>
      </c>
      <c r="AS345" t="s">
        <v>1569</v>
      </c>
      <c r="AT345" t="s">
        <v>7101</v>
      </c>
      <c r="AU345">
        <v>2018</v>
      </c>
      <c r="AV345">
        <v>18</v>
      </c>
      <c r="AW345">
        <v>7</v>
      </c>
      <c r="AX345" t="s">
        <v>74</v>
      </c>
      <c r="AY345" t="s">
        <v>74</v>
      </c>
      <c r="AZ345" t="s">
        <v>74</v>
      </c>
      <c r="BA345" t="s">
        <v>74</v>
      </c>
      <c r="BB345">
        <v>4403</v>
      </c>
      <c r="BC345">
        <v>4423</v>
      </c>
      <c r="BD345" t="s">
        <v>74</v>
      </c>
      <c r="BE345" t="s">
        <v>7102</v>
      </c>
      <c r="BF345" t="str">
        <f>HYPERLINK("http://dx.doi.org/10.5194/acp-18-4403-2018","http://dx.doi.org/10.5194/acp-18-4403-2018")</f>
        <v>http://dx.doi.org/10.5194/acp-18-4403-2018</v>
      </c>
      <c r="BG345" t="s">
        <v>74</v>
      </c>
      <c r="BH345" t="s">
        <v>74</v>
      </c>
      <c r="BI345">
        <v>21</v>
      </c>
      <c r="BJ345" t="s">
        <v>285</v>
      </c>
      <c r="BK345" t="s">
        <v>101</v>
      </c>
      <c r="BL345" t="s">
        <v>286</v>
      </c>
      <c r="BM345" t="s">
        <v>7103</v>
      </c>
      <c r="BN345" t="s">
        <v>74</v>
      </c>
      <c r="BO345" t="s">
        <v>830</v>
      </c>
      <c r="BP345" t="s">
        <v>74</v>
      </c>
      <c r="BQ345" t="s">
        <v>74</v>
      </c>
      <c r="BR345" t="s">
        <v>105</v>
      </c>
      <c r="BS345" t="s">
        <v>7104</v>
      </c>
      <c r="BT345" t="str">
        <f>HYPERLINK("https%3A%2F%2Fwww.webofscience.com%2Fwos%2Fwoscc%2Ffull-record%2FWOS:000429011100001","View Full Record in Web of Science")</f>
        <v>View Full Record in Web of Science</v>
      </c>
    </row>
    <row r="346" spans="1:72" x14ac:dyDescent="0.15">
      <c r="A346" t="s">
        <v>72</v>
      </c>
      <c r="B346" t="s">
        <v>7105</v>
      </c>
      <c r="C346" t="s">
        <v>74</v>
      </c>
      <c r="D346" t="s">
        <v>74</v>
      </c>
      <c r="E346" t="s">
        <v>74</v>
      </c>
      <c r="F346" t="s">
        <v>7106</v>
      </c>
      <c r="G346" t="s">
        <v>74</v>
      </c>
      <c r="H346" t="s">
        <v>74</v>
      </c>
      <c r="I346" t="s">
        <v>7107</v>
      </c>
      <c r="J346" t="s">
        <v>2979</v>
      </c>
      <c r="K346" t="s">
        <v>74</v>
      </c>
      <c r="L346" t="s">
        <v>74</v>
      </c>
      <c r="M346" t="s">
        <v>78</v>
      </c>
      <c r="N346" t="s">
        <v>79</v>
      </c>
      <c r="O346" t="s">
        <v>74</v>
      </c>
      <c r="P346" t="s">
        <v>74</v>
      </c>
      <c r="Q346" t="s">
        <v>74</v>
      </c>
      <c r="R346" t="s">
        <v>74</v>
      </c>
      <c r="S346" t="s">
        <v>74</v>
      </c>
      <c r="T346" t="s">
        <v>7108</v>
      </c>
      <c r="U346" t="s">
        <v>7109</v>
      </c>
      <c r="V346" t="s">
        <v>7110</v>
      </c>
      <c r="W346" t="s">
        <v>7111</v>
      </c>
      <c r="X346" t="s">
        <v>7112</v>
      </c>
      <c r="Y346" t="s">
        <v>7113</v>
      </c>
      <c r="Z346" t="s">
        <v>7114</v>
      </c>
      <c r="AA346" t="s">
        <v>7115</v>
      </c>
      <c r="AB346" t="s">
        <v>7116</v>
      </c>
      <c r="AC346" t="s">
        <v>7117</v>
      </c>
      <c r="AD346" t="s">
        <v>7118</v>
      </c>
      <c r="AE346" t="s">
        <v>7119</v>
      </c>
      <c r="AF346" t="s">
        <v>74</v>
      </c>
      <c r="AG346">
        <v>70</v>
      </c>
      <c r="AH346">
        <v>10</v>
      </c>
      <c r="AI346">
        <v>11</v>
      </c>
      <c r="AJ346">
        <v>1</v>
      </c>
      <c r="AK346">
        <v>7</v>
      </c>
      <c r="AL346" t="s">
        <v>2152</v>
      </c>
      <c r="AM346" t="s">
        <v>2153</v>
      </c>
      <c r="AN346" t="s">
        <v>2154</v>
      </c>
      <c r="AO346" t="s">
        <v>74</v>
      </c>
      <c r="AP346" t="s">
        <v>2992</v>
      </c>
      <c r="AQ346" t="s">
        <v>74</v>
      </c>
      <c r="AR346" t="s">
        <v>2993</v>
      </c>
      <c r="AS346" t="s">
        <v>2994</v>
      </c>
      <c r="AT346" t="s">
        <v>7101</v>
      </c>
      <c r="AU346">
        <v>2018</v>
      </c>
      <c r="AV346">
        <v>6</v>
      </c>
      <c r="AW346" t="s">
        <v>74</v>
      </c>
      <c r="AX346" t="s">
        <v>74</v>
      </c>
      <c r="AY346" t="s">
        <v>74</v>
      </c>
      <c r="AZ346" t="s">
        <v>74</v>
      </c>
      <c r="BA346" t="s">
        <v>74</v>
      </c>
      <c r="BB346" t="s">
        <v>74</v>
      </c>
      <c r="BC346" t="s">
        <v>74</v>
      </c>
      <c r="BD346">
        <v>27</v>
      </c>
      <c r="BE346" t="s">
        <v>7120</v>
      </c>
      <c r="BF346" t="str">
        <f>HYPERLINK("http://dx.doi.org/10.3389/feart.2018.00027","http://dx.doi.org/10.3389/feart.2018.00027")</f>
        <v>http://dx.doi.org/10.3389/feart.2018.00027</v>
      </c>
      <c r="BG346" t="s">
        <v>74</v>
      </c>
      <c r="BH346" t="s">
        <v>74</v>
      </c>
      <c r="BI346">
        <v>17</v>
      </c>
      <c r="BJ346" t="s">
        <v>1243</v>
      </c>
      <c r="BK346" t="s">
        <v>101</v>
      </c>
      <c r="BL346" t="s">
        <v>1181</v>
      </c>
      <c r="BM346" t="s">
        <v>7121</v>
      </c>
      <c r="BN346" t="s">
        <v>74</v>
      </c>
      <c r="BO346" t="s">
        <v>764</v>
      </c>
      <c r="BP346" t="s">
        <v>74</v>
      </c>
      <c r="BQ346" t="s">
        <v>74</v>
      </c>
      <c r="BR346" t="s">
        <v>105</v>
      </c>
      <c r="BS346" t="s">
        <v>7122</v>
      </c>
      <c r="BT346" t="str">
        <f>HYPERLINK("https%3A%2F%2Fwww.webofscience.com%2Fwos%2Fwoscc%2Ffull-record%2FWOS:000432385900001","View Full Record in Web of Science")</f>
        <v>View Full Record in Web of Science</v>
      </c>
    </row>
    <row r="347" spans="1:72" x14ac:dyDescent="0.15">
      <c r="A347" t="s">
        <v>72</v>
      </c>
      <c r="B347" t="s">
        <v>7123</v>
      </c>
      <c r="C347" t="s">
        <v>74</v>
      </c>
      <c r="D347" t="s">
        <v>74</v>
      </c>
      <c r="E347" t="s">
        <v>74</v>
      </c>
      <c r="F347" t="s">
        <v>7124</v>
      </c>
      <c r="G347" t="s">
        <v>74</v>
      </c>
      <c r="H347" t="s">
        <v>74</v>
      </c>
      <c r="I347" t="s">
        <v>7125</v>
      </c>
      <c r="J347" t="s">
        <v>7126</v>
      </c>
      <c r="K347" t="s">
        <v>74</v>
      </c>
      <c r="L347" t="s">
        <v>74</v>
      </c>
      <c r="M347" t="s">
        <v>78</v>
      </c>
      <c r="N347" t="s">
        <v>79</v>
      </c>
      <c r="O347" t="s">
        <v>74</v>
      </c>
      <c r="P347" t="s">
        <v>74</v>
      </c>
      <c r="Q347" t="s">
        <v>74</v>
      </c>
      <c r="R347" t="s">
        <v>74</v>
      </c>
      <c r="S347" t="s">
        <v>74</v>
      </c>
      <c r="T347" t="s">
        <v>7127</v>
      </c>
      <c r="U347" t="s">
        <v>7128</v>
      </c>
      <c r="V347" t="s">
        <v>7129</v>
      </c>
      <c r="W347" t="s">
        <v>7130</v>
      </c>
      <c r="X347" t="s">
        <v>7131</v>
      </c>
      <c r="Y347" t="s">
        <v>7132</v>
      </c>
      <c r="Z347" t="s">
        <v>7133</v>
      </c>
      <c r="AA347" t="s">
        <v>7134</v>
      </c>
      <c r="AB347" t="s">
        <v>7135</v>
      </c>
      <c r="AC347" t="s">
        <v>7136</v>
      </c>
      <c r="AD347" t="s">
        <v>7137</v>
      </c>
      <c r="AE347" t="s">
        <v>7138</v>
      </c>
      <c r="AF347" t="s">
        <v>74</v>
      </c>
      <c r="AG347">
        <v>75</v>
      </c>
      <c r="AH347">
        <v>18</v>
      </c>
      <c r="AI347">
        <v>19</v>
      </c>
      <c r="AJ347">
        <v>5</v>
      </c>
      <c r="AK347">
        <v>31</v>
      </c>
      <c r="AL347" t="s">
        <v>2968</v>
      </c>
      <c r="AM347" t="s">
        <v>1540</v>
      </c>
      <c r="AN347" t="s">
        <v>2969</v>
      </c>
      <c r="AO347" t="s">
        <v>7139</v>
      </c>
      <c r="AP347" t="s">
        <v>74</v>
      </c>
      <c r="AQ347" t="s">
        <v>74</v>
      </c>
      <c r="AR347" t="s">
        <v>7140</v>
      </c>
      <c r="AS347" t="s">
        <v>7141</v>
      </c>
      <c r="AT347" t="s">
        <v>7101</v>
      </c>
      <c r="AU347">
        <v>2018</v>
      </c>
      <c r="AV347">
        <v>18</v>
      </c>
      <c r="AW347" t="s">
        <v>74</v>
      </c>
      <c r="AX347" t="s">
        <v>74</v>
      </c>
      <c r="AY347" t="s">
        <v>74</v>
      </c>
      <c r="AZ347" t="s">
        <v>74</v>
      </c>
      <c r="BA347" t="s">
        <v>74</v>
      </c>
      <c r="BB347" t="s">
        <v>74</v>
      </c>
      <c r="BC347" t="s">
        <v>74</v>
      </c>
      <c r="BD347">
        <v>53</v>
      </c>
      <c r="BE347" t="s">
        <v>7142</v>
      </c>
      <c r="BF347" t="str">
        <f>HYPERLINK("http://dx.doi.org/10.1186/s12870-018-1273-x","http://dx.doi.org/10.1186/s12870-018-1273-x")</f>
        <v>http://dx.doi.org/10.1186/s12870-018-1273-x</v>
      </c>
      <c r="BG347" t="s">
        <v>74</v>
      </c>
      <c r="BH347" t="s">
        <v>74</v>
      </c>
      <c r="BI347">
        <v>12</v>
      </c>
      <c r="BJ347" t="s">
        <v>2542</v>
      </c>
      <c r="BK347" t="s">
        <v>101</v>
      </c>
      <c r="BL347" t="s">
        <v>2542</v>
      </c>
      <c r="BM347" t="s">
        <v>7143</v>
      </c>
      <c r="BN347">
        <v>29614974</v>
      </c>
      <c r="BO347" t="s">
        <v>2998</v>
      </c>
      <c r="BP347" t="s">
        <v>74</v>
      </c>
      <c r="BQ347" t="s">
        <v>74</v>
      </c>
      <c r="BR347" t="s">
        <v>105</v>
      </c>
      <c r="BS347" t="s">
        <v>7144</v>
      </c>
      <c r="BT347" t="str">
        <f>HYPERLINK("https%3A%2F%2Fwww.webofscience.com%2Fwos%2Fwoscc%2Ffull-record%2FWOS:000429068400001","View Full Record in Web of Science")</f>
        <v>View Full Record in Web of Science</v>
      </c>
    </row>
    <row r="348" spans="1:72" x14ac:dyDescent="0.15">
      <c r="A348" t="s">
        <v>72</v>
      </c>
      <c r="B348" t="s">
        <v>7145</v>
      </c>
      <c r="C348" t="s">
        <v>74</v>
      </c>
      <c r="D348" t="s">
        <v>74</v>
      </c>
      <c r="E348" t="s">
        <v>74</v>
      </c>
      <c r="F348" t="s">
        <v>7146</v>
      </c>
      <c r="G348" t="s">
        <v>74</v>
      </c>
      <c r="H348" t="s">
        <v>74</v>
      </c>
      <c r="I348" t="s">
        <v>7147</v>
      </c>
      <c r="J348" t="s">
        <v>3025</v>
      </c>
      <c r="K348" t="s">
        <v>74</v>
      </c>
      <c r="L348" t="s">
        <v>74</v>
      </c>
      <c r="M348" t="s">
        <v>78</v>
      </c>
      <c r="N348" t="s">
        <v>79</v>
      </c>
      <c r="O348" t="s">
        <v>74</v>
      </c>
      <c r="P348" t="s">
        <v>74</v>
      </c>
      <c r="Q348" t="s">
        <v>74</v>
      </c>
      <c r="R348" t="s">
        <v>74</v>
      </c>
      <c r="S348" t="s">
        <v>74</v>
      </c>
      <c r="T348" t="s">
        <v>7148</v>
      </c>
      <c r="U348" t="s">
        <v>7149</v>
      </c>
      <c r="V348" t="s">
        <v>7150</v>
      </c>
      <c r="W348" t="s">
        <v>7151</v>
      </c>
      <c r="X348" t="s">
        <v>7152</v>
      </c>
      <c r="Y348" t="s">
        <v>7153</v>
      </c>
      <c r="Z348" t="s">
        <v>7154</v>
      </c>
      <c r="AA348" t="s">
        <v>7155</v>
      </c>
      <c r="AB348" t="s">
        <v>7156</v>
      </c>
      <c r="AC348" t="s">
        <v>7157</v>
      </c>
      <c r="AD348" t="s">
        <v>7158</v>
      </c>
      <c r="AE348" t="s">
        <v>7159</v>
      </c>
      <c r="AF348" t="s">
        <v>74</v>
      </c>
      <c r="AG348">
        <v>57</v>
      </c>
      <c r="AH348">
        <v>17</v>
      </c>
      <c r="AI348">
        <v>20</v>
      </c>
      <c r="AJ348">
        <v>2</v>
      </c>
      <c r="AK348">
        <v>31</v>
      </c>
      <c r="AL348" t="s">
        <v>2152</v>
      </c>
      <c r="AM348" t="s">
        <v>2153</v>
      </c>
      <c r="AN348" t="s">
        <v>2154</v>
      </c>
      <c r="AO348" t="s">
        <v>74</v>
      </c>
      <c r="AP348" t="s">
        <v>3038</v>
      </c>
      <c r="AQ348" t="s">
        <v>74</v>
      </c>
      <c r="AR348" t="s">
        <v>3039</v>
      </c>
      <c r="AS348" t="s">
        <v>3040</v>
      </c>
      <c r="AT348" t="s">
        <v>7101</v>
      </c>
      <c r="AU348">
        <v>2018</v>
      </c>
      <c r="AV348">
        <v>9</v>
      </c>
      <c r="AW348" t="s">
        <v>74</v>
      </c>
      <c r="AX348" t="s">
        <v>74</v>
      </c>
      <c r="AY348" t="s">
        <v>74</v>
      </c>
      <c r="AZ348" t="s">
        <v>74</v>
      </c>
      <c r="BA348" t="s">
        <v>74</v>
      </c>
      <c r="BB348" t="s">
        <v>74</v>
      </c>
      <c r="BC348" t="s">
        <v>74</v>
      </c>
      <c r="BD348">
        <v>552</v>
      </c>
      <c r="BE348" t="s">
        <v>7160</v>
      </c>
      <c r="BF348" t="str">
        <f>HYPERLINK("http://dx.doi.org/10.3389/fmicb.2018.00552","http://dx.doi.org/10.3389/fmicb.2018.00552")</f>
        <v>http://dx.doi.org/10.3389/fmicb.2018.00552</v>
      </c>
      <c r="BG348" t="s">
        <v>74</v>
      </c>
      <c r="BH348" t="s">
        <v>74</v>
      </c>
      <c r="BI348">
        <v>13</v>
      </c>
      <c r="BJ348" t="s">
        <v>510</v>
      </c>
      <c r="BK348" t="s">
        <v>101</v>
      </c>
      <c r="BL348" t="s">
        <v>510</v>
      </c>
      <c r="BM348" t="s">
        <v>7161</v>
      </c>
      <c r="BN348">
        <v>29666609</v>
      </c>
      <c r="BO348" t="s">
        <v>2998</v>
      </c>
      <c r="BP348" t="s">
        <v>74</v>
      </c>
      <c r="BQ348" t="s">
        <v>74</v>
      </c>
      <c r="BR348" t="s">
        <v>105</v>
      </c>
      <c r="BS348" t="s">
        <v>7162</v>
      </c>
      <c r="BT348" t="str">
        <f>HYPERLINK("https%3A%2F%2Fwww.webofscience.com%2Fwos%2Fwoscc%2Ffull-record%2FWOS:000429026600001","View Full Record in Web of Science")</f>
        <v>View Full Record in Web of Science</v>
      </c>
    </row>
    <row r="349" spans="1:72" x14ac:dyDescent="0.15">
      <c r="A349" t="s">
        <v>72</v>
      </c>
      <c r="B349" t="s">
        <v>7163</v>
      </c>
      <c r="C349" t="s">
        <v>74</v>
      </c>
      <c r="D349" t="s">
        <v>74</v>
      </c>
      <c r="E349" t="s">
        <v>74</v>
      </c>
      <c r="F349" t="s">
        <v>7164</v>
      </c>
      <c r="G349" t="s">
        <v>74</v>
      </c>
      <c r="H349" t="s">
        <v>74</v>
      </c>
      <c r="I349" t="s">
        <v>7165</v>
      </c>
      <c r="J349" t="s">
        <v>1651</v>
      </c>
      <c r="K349" t="s">
        <v>74</v>
      </c>
      <c r="L349" t="s">
        <v>74</v>
      </c>
      <c r="M349" t="s">
        <v>78</v>
      </c>
      <c r="N349" t="s">
        <v>79</v>
      </c>
      <c r="O349" t="s">
        <v>74</v>
      </c>
      <c r="P349" t="s">
        <v>74</v>
      </c>
      <c r="Q349" t="s">
        <v>74</v>
      </c>
      <c r="R349" t="s">
        <v>74</v>
      </c>
      <c r="S349" t="s">
        <v>74</v>
      </c>
      <c r="T349" t="s">
        <v>74</v>
      </c>
      <c r="U349" t="s">
        <v>7166</v>
      </c>
      <c r="V349" t="s">
        <v>7167</v>
      </c>
      <c r="W349" t="s">
        <v>7168</v>
      </c>
      <c r="X349" t="s">
        <v>7169</v>
      </c>
      <c r="Y349" t="s">
        <v>7170</v>
      </c>
      <c r="Z349" t="s">
        <v>7171</v>
      </c>
      <c r="AA349" t="s">
        <v>74</v>
      </c>
      <c r="AB349" t="s">
        <v>7172</v>
      </c>
      <c r="AC349" t="s">
        <v>7173</v>
      </c>
      <c r="AD349" t="s">
        <v>7174</v>
      </c>
      <c r="AE349" t="s">
        <v>7175</v>
      </c>
      <c r="AF349" t="s">
        <v>74</v>
      </c>
      <c r="AG349">
        <v>80</v>
      </c>
      <c r="AH349">
        <v>18</v>
      </c>
      <c r="AI349">
        <v>19</v>
      </c>
      <c r="AJ349">
        <v>2</v>
      </c>
      <c r="AK349">
        <v>23</v>
      </c>
      <c r="AL349" t="s">
        <v>1663</v>
      </c>
      <c r="AM349" t="s">
        <v>1664</v>
      </c>
      <c r="AN349" t="s">
        <v>1665</v>
      </c>
      <c r="AO349" t="s">
        <v>1666</v>
      </c>
      <c r="AP349" t="s">
        <v>74</v>
      </c>
      <c r="AQ349" t="s">
        <v>74</v>
      </c>
      <c r="AR349" t="s">
        <v>1667</v>
      </c>
      <c r="AS349" t="s">
        <v>1668</v>
      </c>
      <c r="AT349" t="s">
        <v>7101</v>
      </c>
      <c r="AU349">
        <v>2018</v>
      </c>
      <c r="AV349">
        <v>8</v>
      </c>
      <c r="AW349" t="s">
        <v>74</v>
      </c>
      <c r="AX349" t="s">
        <v>74</v>
      </c>
      <c r="AY349" t="s">
        <v>74</v>
      </c>
      <c r="AZ349" t="s">
        <v>74</v>
      </c>
      <c r="BA349" t="s">
        <v>74</v>
      </c>
      <c r="BB349" t="s">
        <v>74</v>
      </c>
      <c r="BC349" t="s">
        <v>74</v>
      </c>
      <c r="BD349">
        <v>5429</v>
      </c>
      <c r="BE349" t="s">
        <v>7176</v>
      </c>
      <c r="BF349" t="str">
        <f>HYPERLINK("http://dx.doi.org/10.1038/s41598-018-23752-1","http://dx.doi.org/10.1038/s41598-018-23752-1")</f>
        <v>http://dx.doi.org/10.1038/s41598-018-23752-1</v>
      </c>
      <c r="BG349" t="s">
        <v>74</v>
      </c>
      <c r="BH349" t="s">
        <v>74</v>
      </c>
      <c r="BI349">
        <v>12</v>
      </c>
      <c r="BJ349" t="s">
        <v>1670</v>
      </c>
      <c r="BK349" t="s">
        <v>101</v>
      </c>
      <c r="BL349" t="s">
        <v>1671</v>
      </c>
      <c r="BM349" t="s">
        <v>7177</v>
      </c>
      <c r="BN349">
        <v>29615756</v>
      </c>
      <c r="BO349" t="s">
        <v>764</v>
      </c>
      <c r="BP349" t="s">
        <v>74</v>
      </c>
      <c r="BQ349" t="s">
        <v>74</v>
      </c>
      <c r="BR349" t="s">
        <v>105</v>
      </c>
      <c r="BS349" t="s">
        <v>7178</v>
      </c>
      <c r="BT349" t="str">
        <f>HYPERLINK("https%3A%2F%2Fwww.webofscience.com%2Fwos%2Fwoscc%2Ffull-record%2FWOS:000428994100022","View Full Record in Web of Science")</f>
        <v>View Full Record in Web of Science</v>
      </c>
    </row>
    <row r="350" spans="1:72" x14ac:dyDescent="0.15">
      <c r="A350" t="s">
        <v>72</v>
      </c>
      <c r="B350" t="s">
        <v>7179</v>
      </c>
      <c r="C350" t="s">
        <v>74</v>
      </c>
      <c r="D350" t="s">
        <v>74</v>
      </c>
      <c r="E350" t="s">
        <v>74</v>
      </c>
      <c r="F350" t="s">
        <v>7180</v>
      </c>
      <c r="G350" t="s">
        <v>74</v>
      </c>
      <c r="H350" t="s">
        <v>74</v>
      </c>
      <c r="I350" t="s">
        <v>7181</v>
      </c>
      <c r="J350" t="s">
        <v>2605</v>
      </c>
      <c r="K350" t="s">
        <v>74</v>
      </c>
      <c r="L350" t="s">
        <v>74</v>
      </c>
      <c r="M350" t="s">
        <v>78</v>
      </c>
      <c r="N350" t="s">
        <v>2606</v>
      </c>
      <c r="O350" t="s">
        <v>74</v>
      </c>
      <c r="P350" t="s">
        <v>74</v>
      </c>
      <c r="Q350" t="s">
        <v>74</v>
      </c>
      <c r="R350" t="s">
        <v>74</v>
      </c>
      <c r="S350" t="s">
        <v>74</v>
      </c>
      <c r="T350" t="s">
        <v>7182</v>
      </c>
      <c r="U350" t="s">
        <v>7183</v>
      </c>
      <c r="V350" t="s">
        <v>7184</v>
      </c>
      <c r="W350" t="s">
        <v>7185</v>
      </c>
      <c r="X350" t="s">
        <v>7186</v>
      </c>
      <c r="Y350" t="s">
        <v>7187</v>
      </c>
      <c r="Z350" t="s">
        <v>7188</v>
      </c>
      <c r="AA350" t="s">
        <v>7189</v>
      </c>
      <c r="AB350" t="s">
        <v>7190</v>
      </c>
      <c r="AC350" t="s">
        <v>7191</v>
      </c>
      <c r="AD350" t="s">
        <v>7192</v>
      </c>
      <c r="AE350" t="s">
        <v>7193</v>
      </c>
      <c r="AF350" t="s">
        <v>74</v>
      </c>
      <c r="AG350">
        <v>98</v>
      </c>
      <c r="AH350">
        <v>13</v>
      </c>
      <c r="AI350">
        <v>14</v>
      </c>
      <c r="AJ350">
        <v>1</v>
      </c>
      <c r="AK350">
        <v>11</v>
      </c>
      <c r="AL350" t="s">
        <v>2535</v>
      </c>
      <c r="AM350" t="s">
        <v>2536</v>
      </c>
      <c r="AN350" t="s">
        <v>2537</v>
      </c>
      <c r="AO350" t="s">
        <v>2620</v>
      </c>
      <c r="AP350" t="s">
        <v>2621</v>
      </c>
      <c r="AQ350" t="s">
        <v>74</v>
      </c>
      <c r="AR350" t="s">
        <v>2605</v>
      </c>
      <c r="AS350" t="s">
        <v>2622</v>
      </c>
      <c r="AT350" t="s">
        <v>7194</v>
      </c>
      <c r="AU350">
        <v>2018</v>
      </c>
      <c r="AV350" t="s">
        <v>74</v>
      </c>
      <c r="AW350">
        <v>747</v>
      </c>
      <c r="AX350" t="s">
        <v>74</v>
      </c>
      <c r="AY350" t="s">
        <v>74</v>
      </c>
      <c r="AZ350" t="s">
        <v>74</v>
      </c>
      <c r="BA350" t="s">
        <v>74</v>
      </c>
      <c r="BB350">
        <v>141</v>
      </c>
      <c r="BC350">
        <v>156</v>
      </c>
      <c r="BD350" t="s">
        <v>74</v>
      </c>
      <c r="BE350" t="s">
        <v>7195</v>
      </c>
      <c r="BF350" t="str">
        <f>HYPERLINK("http://dx.doi.org/10.3897/zookeys.747.22751","http://dx.doi.org/10.3897/zookeys.747.22751")</f>
        <v>http://dx.doi.org/10.3897/zookeys.747.22751</v>
      </c>
      <c r="BG350" t="s">
        <v>74</v>
      </c>
      <c r="BH350" t="s">
        <v>74</v>
      </c>
      <c r="BI350">
        <v>16</v>
      </c>
      <c r="BJ350" t="s">
        <v>2624</v>
      </c>
      <c r="BK350" t="s">
        <v>101</v>
      </c>
      <c r="BL350" t="s">
        <v>2624</v>
      </c>
      <c r="BM350" t="s">
        <v>7196</v>
      </c>
      <c r="BN350">
        <v>29674908</v>
      </c>
      <c r="BO350" t="s">
        <v>6698</v>
      </c>
      <c r="BP350" t="s">
        <v>74</v>
      </c>
      <c r="BQ350" t="s">
        <v>74</v>
      </c>
      <c r="BR350" t="s">
        <v>105</v>
      </c>
      <c r="BS350" t="s">
        <v>7197</v>
      </c>
      <c r="BT350" t="str">
        <f>HYPERLINK("https%3A%2F%2Fwww.webofscience.com%2Fwos%2Fwoscc%2Ffull-record%2FWOS:000429101600001","View Full Record in Web of Science")</f>
        <v>View Full Record in Web of Science</v>
      </c>
    </row>
    <row r="351" spans="1:72" x14ac:dyDescent="0.15">
      <c r="A351" t="s">
        <v>72</v>
      </c>
      <c r="B351" t="s">
        <v>7198</v>
      </c>
      <c r="C351" t="s">
        <v>74</v>
      </c>
      <c r="D351" t="s">
        <v>74</v>
      </c>
      <c r="E351" t="s">
        <v>74</v>
      </c>
      <c r="F351" t="s">
        <v>7199</v>
      </c>
      <c r="G351" t="s">
        <v>74</v>
      </c>
      <c r="H351" t="s">
        <v>74</v>
      </c>
      <c r="I351" t="s">
        <v>7200</v>
      </c>
      <c r="J351" t="s">
        <v>7201</v>
      </c>
      <c r="K351" t="s">
        <v>74</v>
      </c>
      <c r="L351" t="s">
        <v>74</v>
      </c>
      <c r="M351" t="s">
        <v>78</v>
      </c>
      <c r="N351" t="s">
        <v>466</v>
      </c>
      <c r="O351" t="s">
        <v>74</v>
      </c>
      <c r="P351" t="s">
        <v>74</v>
      </c>
      <c r="Q351" t="s">
        <v>74</v>
      </c>
      <c r="R351" t="s">
        <v>74</v>
      </c>
      <c r="S351" t="s">
        <v>74</v>
      </c>
      <c r="T351" t="s">
        <v>7202</v>
      </c>
      <c r="U351" t="s">
        <v>7203</v>
      </c>
      <c r="V351" t="s">
        <v>7204</v>
      </c>
      <c r="W351" t="s">
        <v>7205</v>
      </c>
      <c r="X351" t="s">
        <v>74</v>
      </c>
      <c r="Y351" t="s">
        <v>7206</v>
      </c>
      <c r="Z351" t="s">
        <v>7207</v>
      </c>
      <c r="AA351" t="s">
        <v>7208</v>
      </c>
      <c r="AB351" t="s">
        <v>7209</v>
      </c>
      <c r="AC351" t="s">
        <v>7210</v>
      </c>
      <c r="AD351" t="s">
        <v>7210</v>
      </c>
      <c r="AE351" t="s">
        <v>7211</v>
      </c>
      <c r="AF351" t="s">
        <v>74</v>
      </c>
      <c r="AG351">
        <v>281</v>
      </c>
      <c r="AH351">
        <v>104</v>
      </c>
      <c r="AI351">
        <v>115</v>
      </c>
      <c r="AJ351">
        <v>4</v>
      </c>
      <c r="AK351">
        <v>86</v>
      </c>
      <c r="AL351" t="s">
        <v>2968</v>
      </c>
      <c r="AM351" t="s">
        <v>1540</v>
      </c>
      <c r="AN351" t="s">
        <v>2969</v>
      </c>
      <c r="AO351" t="s">
        <v>7212</v>
      </c>
      <c r="AP351" t="s">
        <v>74</v>
      </c>
      <c r="AQ351" t="s">
        <v>74</v>
      </c>
      <c r="AR351" t="s">
        <v>7201</v>
      </c>
      <c r="AS351" t="s">
        <v>7213</v>
      </c>
      <c r="AT351" t="s">
        <v>7194</v>
      </c>
      <c r="AU351">
        <v>2018</v>
      </c>
      <c r="AV351">
        <v>6</v>
      </c>
      <c r="AW351" t="s">
        <v>74</v>
      </c>
      <c r="AX351" t="s">
        <v>74</v>
      </c>
      <c r="AY351" t="s">
        <v>74</v>
      </c>
      <c r="AZ351" t="s">
        <v>74</v>
      </c>
      <c r="BA351" t="s">
        <v>74</v>
      </c>
      <c r="BB351" t="s">
        <v>74</v>
      </c>
      <c r="BC351" t="s">
        <v>74</v>
      </c>
      <c r="BD351">
        <v>64</v>
      </c>
      <c r="BE351" t="s">
        <v>7214</v>
      </c>
      <c r="BF351" t="str">
        <f>HYPERLINK("http://dx.doi.org/10.1186/s40168-018-0431-6","http://dx.doi.org/10.1186/s40168-018-0431-6")</f>
        <v>http://dx.doi.org/10.1186/s40168-018-0431-6</v>
      </c>
      <c r="BG351" t="s">
        <v>74</v>
      </c>
      <c r="BH351" t="s">
        <v>74</v>
      </c>
      <c r="BI351">
        <v>28</v>
      </c>
      <c r="BJ351" t="s">
        <v>510</v>
      </c>
      <c r="BK351" t="s">
        <v>101</v>
      </c>
      <c r="BL351" t="s">
        <v>510</v>
      </c>
      <c r="BM351" t="s">
        <v>7215</v>
      </c>
      <c r="BN351">
        <v>29609655</v>
      </c>
      <c r="BO351" t="s">
        <v>764</v>
      </c>
      <c r="BP351" t="s">
        <v>74</v>
      </c>
      <c r="BQ351" t="s">
        <v>74</v>
      </c>
      <c r="BR351" t="s">
        <v>105</v>
      </c>
      <c r="BS351" t="s">
        <v>7216</v>
      </c>
      <c r="BT351" t="str">
        <f>HYPERLINK("https%3A%2F%2Fwww.webofscience.com%2Fwos%2Fwoscc%2Ffull-record%2FWOS:000428911300002","View Full Record in Web of Science")</f>
        <v>View Full Record in Web of Science</v>
      </c>
    </row>
    <row r="352" spans="1:72" x14ac:dyDescent="0.15">
      <c r="A352" t="s">
        <v>72</v>
      </c>
      <c r="B352" t="s">
        <v>7217</v>
      </c>
      <c r="C352" t="s">
        <v>74</v>
      </c>
      <c r="D352" t="s">
        <v>74</v>
      </c>
      <c r="E352" t="s">
        <v>74</v>
      </c>
      <c r="F352" t="s">
        <v>7218</v>
      </c>
      <c r="G352" t="s">
        <v>74</v>
      </c>
      <c r="H352" t="s">
        <v>74</v>
      </c>
      <c r="I352" t="s">
        <v>7219</v>
      </c>
      <c r="J352" t="s">
        <v>7220</v>
      </c>
      <c r="K352" t="s">
        <v>74</v>
      </c>
      <c r="L352" t="s">
        <v>74</v>
      </c>
      <c r="M352" t="s">
        <v>78</v>
      </c>
      <c r="N352" t="s">
        <v>79</v>
      </c>
      <c r="O352" t="s">
        <v>74</v>
      </c>
      <c r="P352" t="s">
        <v>74</v>
      </c>
      <c r="Q352" t="s">
        <v>74</v>
      </c>
      <c r="R352" t="s">
        <v>74</v>
      </c>
      <c r="S352" t="s">
        <v>74</v>
      </c>
      <c r="T352" t="s">
        <v>7221</v>
      </c>
      <c r="U352" t="s">
        <v>7222</v>
      </c>
      <c r="V352" t="s">
        <v>7223</v>
      </c>
      <c r="W352" t="s">
        <v>7224</v>
      </c>
      <c r="X352" t="s">
        <v>7225</v>
      </c>
      <c r="Y352" t="s">
        <v>7226</v>
      </c>
      <c r="Z352" t="s">
        <v>7227</v>
      </c>
      <c r="AA352" t="s">
        <v>7228</v>
      </c>
      <c r="AB352" t="s">
        <v>7229</v>
      </c>
      <c r="AC352" t="s">
        <v>7230</v>
      </c>
      <c r="AD352" t="s">
        <v>7230</v>
      </c>
      <c r="AE352" t="s">
        <v>7231</v>
      </c>
      <c r="AF352" t="s">
        <v>74</v>
      </c>
      <c r="AG352">
        <v>6</v>
      </c>
      <c r="AH352">
        <v>3</v>
      </c>
      <c r="AI352">
        <v>4</v>
      </c>
      <c r="AJ352">
        <v>0</v>
      </c>
      <c r="AK352">
        <v>22</v>
      </c>
      <c r="AL352" t="s">
        <v>91</v>
      </c>
      <c r="AM352" t="s">
        <v>92</v>
      </c>
      <c r="AN352" t="s">
        <v>93</v>
      </c>
      <c r="AO352" t="s">
        <v>7232</v>
      </c>
      <c r="AP352" t="s">
        <v>74</v>
      </c>
      <c r="AQ352" t="s">
        <v>74</v>
      </c>
      <c r="AR352" t="s">
        <v>7233</v>
      </c>
      <c r="AS352" t="s">
        <v>7234</v>
      </c>
      <c r="AT352" t="s">
        <v>7235</v>
      </c>
      <c r="AU352">
        <v>2018</v>
      </c>
      <c r="AV352">
        <v>46</v>
      </c>
      <c r="AW352">
        <v>1</v>
      </c>
      <c r="AX352" t="s">
        <v>74</v>
      </c>
      <c r="AY352" t="s">
        <v>74</v>
      </c>
      <c r="AZ352" t="s">
        <v>74</v>
      </c>
      <c r="BA352" t="s">
        <v>74</v>
      </c>
      <c r="BB352">
        <v>143</v>
      </c>
      <c r="BC352">
        <v>149</v>
      </c>
      <c r="BD352" t="s">
        <v>74</v>
      </c>
      <c r="BE352" t="s">
        <v>7236</v>
      </c>
      <c r="BF352" t="str">
        <f>HYPERLINK("http://dx.doi.org/10.1007/s40857-018-0131-1","http://dx.doi.org/10.1007/s40857-018-0131-1")</f>
        <v>http://dx.doi.org/10.1007/s40857-018-0131-1</v>
      </c>
      <c r="BG352" t="s">
        <v>74</v>
      </c>
      <c r="BH352" t="s">
        <v>74</v>
      </c>
      <c r="BI352">
        <v>7</v>
      </c>
      <c r="BJ352" t="s">
        <v>7237</v>
      </c>
      <c r="BK352" t="s">
        <v>101</v>
      </c>
      <c r="BL352" t="s">
        <v>7237</v>
      </c>
      <c r="BM352" t="s">
        <v>7238</v>
      </c>
      <c r="BN352" t="s">
        <v>74</v>
      </c>
      <c r="BO352" t="s">
        <v>74</v>
      </c>
      <c r="BP352" t="s">
        <v>74</v>
      </c>
      <c r="BQ352" t="s">
        <v>74</v>
      </c>
      <c r="BR352" t="s">
        <v>105</v>
      </c>
      <c r="BS352" t="s">
        <v>7239</v>
      </c>
      <c r="BT352" t="str">
        <f>HYPERLINK("https%3A%2F%2Fwww.webofscience.com%2Fwos%2Fwoscc%2Ffull-record%2FWOS:000433922300014","View Full Record in Web of Science")</f>
        <v>View Full Record in Web of Science</v>
      </c>
    </row>
    <row r="353" spans="1:72" x14ac:dyDescent="0.15">
      <c r="A353" t="s">
        <v>72</v>
      </c>
      <c r="B353" t="s">
        <v>7240</v>
      </c>
      <c r="C353" t="s">
        <v>74</v>
      </c>
      <c r="D353" t="s">
        <v>74</v>
      </c>
      <c r="E353" t="s">
        <v>74</v>
      </c>
      <c r="F353" t="s">
        <v>7241</v>
      </c>
      <c r="G353" t="s">
        <v>74</v>
      </c>
      <c r="H353" t="s">
        <v>74</v>
      </c>
      <c r="I353" t="s">
        <v>7242</v>
      </c>
      <c r="J353" t="s">
        <v>7243</v>
      </c>
      <c r="K353" t="s">
        <v>74</v>
      </c>
      <c r="L353" t="s">
        <v>74</v>
      </c>
      <c r="M353" t="s">
        <v>78</v>
      </c>
      <c r="N353" t="s">
        <v>79</v>
      </c>
      <c r="O353" t="s">
        <v>74</v>
      </c>
      <c r="P353" t="s">
        <v>74</v>
      </c>
      <c r="Q353" t="s">
        <v>74</v>
      </c>
      <c r="R353" t="s">
        <v>74</v>
      </c>
      <c r="S353" t="s">
        <v>74</v>
      </c>
      <c r="T353" t="s">
        <v>7244</v>
      </c>
      <c r="U353" t="s">
        <v>7245</v>
      </c>
      <c r="V353" t="s">
        <v>7246</v>
      </c>
      <c r="W353" t="s">
        <v>7247</v>
      </c>
      <c r="X353" t="s">
        <v>7248</v>
      </c>
      <c r="Y353" t="s">
        <v>7249</v>
      </c>
      <c r="Z353" t="s">
        <v>7250</v>
      </c>
      <c r="AA353" t="s">
        <v>7251</v>
      </c>
      <c r="AB353" t="s">
        <v>7252</v>
      </c>
      <c r="AC353" t="s">
        <v>7253</v>
      </c>
      <c r="AD353" t="s">
        <v>7254</v>
      </c>
      <c r="AE353" t="s">
        <v>7255</v>
      </c>
      <c r="AF353" t="s">
        <v>74</v>
      </c>
      <c r="AG353">
        <v>81</v>
      </c>
      <c r="AH353">
        <v>39</v>
      </c>
      <c r="AI353">
        <v>42</v>
      </c>
      <c r="AJ353">
        <v>1</v>
      </c>
      <c r="AK353">
        <v>18</v>
      </c>
      <c r="AL353" t="s">
        <v>372</v>
      </c>
      <c r="AM353" t="s">
        <v>4100</v>
      </c>
      <c r="AN353" t="s">
        <v>7256</v>
      </c>
      <c r="AO353" t="s">
        <v>7257</v>
      </c>
      <c r="AP353" t="s">
        <v>7258</v>
      </c>
      <c r="AQ353" t="s">
        <v>74</v>
      </c>
      <c r="AR353" t="s">
        <v>7259</v>
      </c>
      <c r="AS353" t="s">
        <v>7260</v>
      </c>
      <c r="AT353" t="s">
        <v>7235</v>
      </c>
      <c r="AU353">
        <v>2018</v>
      </c>
      <c r="AV353">
        <v>59</v>
      </c>
      <c r="AW353">
        <v>76</v>
      </c>
      <c r="AX353">
        <v>1</v>
      </c>
      <c r="AY353" t="s">
        <v>74</v>
      </c>
      <c r="AZ353" t="s">
        <v>74</v>
      </c>
      <c r="BA353" t="s">
        <v>74</v>
      </c>
      <c r="BB353">
        <v>29</v>
      </c>
      <c r="BC353">
        <v>41</v>
      </c>
      <c r="BD353" t="s">
        <v>74</v>
      </c>
      <c r="BE353" t="s">
        <v>7261</v>
      </c>
      <c r="BF353" t="str">
        <f>HYPERLINK("http://dx.doi.org/10.1017/aog.2017.42","http://dx.doi.org/10.1017/aog.2017.42")</f>
        <v>http://dx.doi.org/10.1017/aog.2017.42</v>
      </c>
      <c r="BG353" t="s">
        <v>74</v>
      </c>
      <c r="BH353" t="s">
        <v>74</v>
      </c>
      <c r="BI353">
        <v>13</v>
      </c>
      <c r="BJ353" t="s">
        <v>338</v>
      </c>
      <c r="BK353" t="s">
        <v>101</v>
      </c>
      <c r="BL353" t="s">
        <v>339</v>
      </c>
      <c r="BM353" t="s">
        <v>7262</v>
      </c>
      <c r="BN353" t="s">
        <v>74</v>
      </c>
      <c r="BO353" t="s">
        <v>695</v>
      </c>
      <c r="BP353" t="s">
        <v>74</v>
      </c>
      <c r="BQ353" t="s">
        <v>74</v>
      </c>
      <c r="BR353" t="s">
        <v>105</v>
      </c>
      <c r="BS353" t="s">
        <v>7263</v>
      </c>
      <c r="BT353" t="str">
        <f>HYPERLINK("https%3A%2F%2Fwww.webofscience.com%2Fwos%2Fwoscc%2Ffull-record%2FWOS:000440821000005","View Full Record in Web of Science")</f>
        <v>View Full Record in Web of Science</v>
      </c>
    </row>
    <row r="354" spans="1:72" x14ac:dyDescent="0.15">
      <c r="A354" t="s">
        <v>72</v>
      </c>
      <c r="B354" t="s">
        <v>7264</v>
      </c>
      <c r="C354" t="s">
        <v>74</v>
      </c>
      <c r="D354" t="s">
        <v>74</v>
      </c>
      <c r="E354" t="s">
        <v>74</v>
      </c>
      <c r="F354" t="s">
        <v>7265</v>
      </c>
      <c r="G354" t="s">
        <v>74</v>
      </c>
      <c r="H354" t="s">
        <v>74</v>
      </c>
      <c r="I354" t="s">
        <v>7266</v>
      </c>
      <c r="J354" t="s">
        <v>7267</v>
      </c>
      <c r="K354" t="s">
        <v>74</v>
      </c>
      <c r="L354" t="s">
        <v>74</v>
      </c>
      <c r="M354" t="s">
        <v>78</v>
      </c>
      <c r="N354" t="s">
        <v>79</v>
      </c>
      <c r="O354" t="s">
        <v>74</v>
      </c>
      <c r="P354" t="s">
        <v>74</v>
      </c>
      <c r="Q354" t="s">
        <v>74</v>
      </c>
      <c r="R354" t="s">
        <v>74</v>
      </c>
      <c r="S354" t="s">
        <v>74</v>
      </c>
      <c r="T354" t="s">
        <v>7268</v>
      </c>
      <c r="U354" t="s">
        <v>7269</v>
      </c>
      <c r="V354" t="s">
        <v>7270</v>
      </c>
      <c r="W354" t="s">
        <v>7271</v>
      </c>
      <c r="X354" t="s">
        <v>7272</v>
      </c>
      <c r="Y354" t="s">
        <v>7273</v>
      </c>
      <c r="Z354" t="s">
        <v>7274</v>
      </c>
      <c r="AA354" t="s">
        <v>7275</v>
      </c>
      <c r="AB354" t="s">
        <v>7276</v>
      </c>
      <c r="AC354" t="s">
        <v>7277</v>
      </c>
      <c r="AD354" t="s">
        <v>7278</v>
      </c>
      <c r="AE354" t="s">
        <v>7279</v>
      </c>
      <c r="AF354" t="s">
        <v>74</v>
      </c>
      <c r="AG354">
        <v>55</v>
      </c>
      <c r="AH354">
        <v>18</v>
      </c>
      <c r="AI354">
        <v>18</v>
      </c>
      <c r="AJ354">
        <v>2</v>
      </c>
      <c r="AK354">
        <v>9</v>
      </c>
      <c r="AL354" t="s">
        <v>91</v>
      </c>
      <c r="AM354" t="s">
        <v>92</v>
      </c>
      <c r="AN354" t="s">
        <v>93</v>
      </c>
      <c r="AO354" t="s">
        <v>7280</v>
      </c>
      <c r="AP354" t="s">
        <v>7281</v>
      </c>
      <c r="AQ354" t="s">
        <v>74</v>
      </c>
      <c r="AR354" t="s">
        <v>7282</v>
      </c>
      <c r="AS354" t="s">
        <v>7283</v>
      </c>
      <c r="AT354" t="s">
        <v>7235</v>
      </c>
      <c r="AU354">
        <v>2018</v>
      </c>
      <c r="AV354">
        <v>80</v>
      </c>
      <c r="AW354">
        <v>4</v>
      </c>
      <c r="AX354" t="s">
        <v>74</v>
      </c>
      <c r="AY354" t="s">
        <v>74</v>
      </c>
      <c r="AZ354" t="s">
        <v>74</v>
      </c>
      <c r="BA354" t="s">
        <v>74</v>
      </c>
      <c r="BB354" t="s">
        <v>74</v>
      </c>
      <c r="BC354" t="s">
        <v>74</v>
      </c>
      <c r="BD354">
        <v>41</v>
      </c>
      <c r="BE354" t="s">
        <v>7284</v>
      </c>
      <c r="BF354" t="str">
        <f>HYPERLINK("http://dx.doi.org/10.1007/s00445-018-1216-2","http://dx.doi.org/10.1007/s00445-018-1216-2")</f>
        <v>http://dx.doi.org/10.1007/s00445-018-1216-2</v>
      </c>
      <c r="BG354" t="s">
        <v>74</v>
      </c>
      <c r="BH354" t="s">
        <v>74</v>
      </c>
      <c r="BI354">
        <v>12</v>
      </c>
      <c r="BJ354" t="s">
        <v>1243</v>
      </c>
      <c r="BK354" t="s">
        <v>101</v>
      </c>
      <c r="BL354" t="s">
        <v>1181</v>
      </c>
      <c r="BM354" t="s">
        <v>7285</v>
      </c>
      <c r="BN354" t="s">
        <v>74</v>
      </c>
      <c r="BO354" t="s">
        <v>74</v>
      </c>
      <c r="BP354" t="s">
        <v>74</v>
      </c>
      <c r="BQ354" t="s">
        <v>74</v>
      </c>
      <c r="BR354" t="s">
        <v>105</v>
      </c>
      <c r="BS354" t="s">
        <v>7286</v>
      </c>
      <c r="BT354" t="str">
        <f>HYPERLINK("https%3A%2F%2Fwww.webofscience.com%2Fwos%2Fwoscc%2Ffull-record%2FWOS:000429259700001","View Full Record in Web of Science")</f>
        <v>View Full Record in Web of Science</v>
      </c>
    </row>
    <row r="355" spans="1:72" x14ac:dyDescent="0.15">
      <c r="A355" t="s">
        <v>72</v>
      </c>
      <c r="B355" t="s">
        <v>7287</v>
      </c>
      <c r="C355" t="s">
        <v>74</v>
      </c>
      <c r="D355" t="s">
        <v>74</v>
      </c>
      <c r="E355" t="s">
        <v>74</v>
      </c>
      <c r="F355" t="s">
        <v>7288</v>
      </c>
      <c r="G355" t="s">
        <v>74</v>
      </c>
      <c r="H355" t="s">
        <v>74</v>
      </c>
      <c r="I355" t="s">
        <v>7289</v>
      </c>
      <c r="J355" t="s">
        <v>7290</v>
      </c>
      <c r="K355" t="s">
        <v>74</v>
      </c>
      <c r="L355" t="s">
        <v>74</v>
      </c>
      <c r="M355" t="s">
        <v>78</v>
      </c>
      <c r="N355" t="s">
        <v>79</v>
      </c>
      <c r="O355" t="s">
        <v>74</v>
      </c>
      <c r="P355" t="s">
        <v>74</v>
      </c>
      <c r="Q355" t="s">
        <v>74</v>
      </c>
      <c r="R355" t="s">
        <v>74</v>
      </c>
      <c r="S355" t="s">
        <v>74</v>
      </c>
      <c r="T355" t="s">
        <v>7291</v>
      </c>
      <c r="U355" t="s">
        <v>7292</v>
      </c>
      <c r="V355" t="s">
        <v>7293</v>
      </c>
      <c r="W355" t="s">
        <v>7294</v>
      </c>
      <c r="X355" t="s">
        <v>7295</v>
      </c>
      <c r="Y355" t="s">
        <v>7296</v>
      </c>
      <c r="Z355" t="s">
        <v>7297</v>
      </c>
      <c r="AA355" t="s">
        <v>7298</v>
      </c>
      <c r="AB355" t="s">
        <v>7299</v>
      </c>
      <c r="AC355" t="s">
        <v>7300</v>
      </c>
      <c r="AD355" t="s">
        <v>7301</v>
      </c>
      <c r="AE355" t="s">
        <v>7302</v>
      </c>
      <c r="AF355" t="s">
        <v>74</v>
      </c>
      <c r="AG355">
        <v>54</v>
      </c>
      <c r="AH355">
        <v>12</v>
      </c>
      <c r="AI355">
        <v>12</v>
      </c>
      <c r="AJ355">
        <v>1</v>
      </c>
      <c r="AK355">
        <v>45</v>
      </c>
      <c r="AL355" t="s">
        <v>277</v>
      </c>
      <c r="AM355" t="s">
        <v>278</v>
      </c>
      <c r="AN355" t="s">
        <v>279</v>
      </c>
      <c r="AO355" t="s">
        <v>7303</v>
      </c>
      <c r="AP355" t="s">
        <v>7304</v>
      </c>
      <c r="AQ355" t="s">
        <v>74</v>
      </c>
      <c r="AR355" t="s">
        <v>7290</v>
      </c>
      <c r="AS355" t="s">
        <v>7305</v>
      </c>
      <c r="AT355" t="s">
        <v>7235</v>
      </c>
      <c r="AU355">
        <v>2018</v>
      </c>
      <c r="AV355">
        <v>197</v>
      </c>
      <c r="AW355" t="s">
        <v>74</v>
      </c>
      <c r="AX355" t="s">
        <v>74</v>
      </c>
      <c r="AY355" t="s">
        <v>74</v>
      </c>
      <c r="AZ355" t="s">
        <v>74</v>
      </c>
      <c r="BA355" t="s">
        <v>74</v>
      </c>
      <c r="BB355">
        <v>306</v>
      </c>
      <c r="BC355">
        <v>317</v>
      </c>
      <c r="BD355" t="s">
        <v>74</v>
      </c>
      <c r="BE355" t="s">
        <v>7306</v>
      </c>
      <c r="BF355" t="str">
        <f>HYPERLINK("http://dx.doi.org/10.1016/j.chemosphere.2017.12.180","http://dx.doi.org/10.1016/j.chemosphere.2017.12.180")</f>
        <v>http://dx.doi.org/10.1016/j.chemosphere.2017.12.180</v>
      </c>
      <c r="BG355" t="s">
        <v>74</v>
      </c>
      <c r="BH355" t="s">
        <v>74</v>
      </c>
      <c r="BI355">
        <v>12</v>
      </c>
      <c r="BJ355" t="s">
        <v>921</v>
      </c>
      <c r="BK355" t="s">
        <v>101</v>
      </c>
      <c r="BL355" t="s">
        <v>315</v>
      </c>
      <c r="BM355" t="s">
        <v>7307</v>
      </c>
      <c r="BN355">
        <v>29353680</v>
      </c>
      <c r="BO355" t="s">
        <v>74</v>
      </c>
      <c r="BP355" t="s">
        <v>74</v>
      </c>
      <c r="BQ355" t="s">
        <v>74</v>
      </c>
      <c r="BR355" t="s">
        <v>105</v>
      </c>
      <c r="BS355" t="s">
        <v>7308</v>
      </c>
      <c r="BT355" t="str">
        <f>HYPERLINK("https%3A%2F%2Fwww.webofscience.com%2Fwos%2Fwoscc%2Ffull-record%2FWOS:000426231900035","View Full Record in Web of Science")</f>
        <v>View Full Record in Web of Science</v>
      </c>
    </row>
    <row r="356" spans="1:72" x14ac:dyDescent="0.15">
      <c r="A356" t="s">
        <v>72</v>
      </c>
      <c r="B356" t="s">
        <v>7309</v>
      </c>
      <c r="C356" t="s">
        <v>74</v>
      </c>
      <c r="D356" t="s">
        <v>74</v>
      </c>
      <c r="E356" t="s">
        <v>74</v>
      </c>
      <c r="F356" t="s">
        <v>7310</v>
      </c>
      <c r="G356" t="s">
        <v>74</v>
      </c>
      <c r="H356" t="s">
        <v>74</v>
      </c>
      <c r="I356" t="s">
        <v>7311</v>
      </c>
      <c r="J356" t="s">
        <v>7312</v>
      </c>
      <c r="K356" t="s">
        <v>74</v>
      </c>
      <c r="L356" t="s">
        <v>74</v>
      </c>
      <c r="M356" t="s">
        <v>78</v>
      </c>
      <c r="N356" t="s">
        <v>79</v>
      </c>
      <c r="O356" t="s">
        <v>74</v>
      </c>
      <c r="P356" t="s">
        <v>74</v>
      </c>
      <c r="Q356" t="s">
        <v>74</v>
      </c>
      <c r="R356" t="s">
        <v>74</v>
      </c>
      <c r="S356" t="s">
        <v>74</v>
      </c>
      <c r="T356" t="s">
        <v>7313</v>
      </c>
      <c r="U356" t="s">
        <v>7314</v>
      </c>
      <c r="V356" t="s">
        <v>7315</v>
      </c>
      <c r="W356" t="s">
        <v>7316</v>
      </c>
      <c r="X356" t="s">
        <v>7317</v>
      </c>
      <c r="Y356" t="s">
        <v>7318</v>
      </c>
      <c r="Z356" t="s">
        <v>6331</v>
      </c>
      <c r="AA356" t="s">
        <v>7319</v>
      </c>
      <c r="AB356" t="s">
        <v>7320</v>
      </c>
      <c r="AC356" t="s">
        <v>7321</v>
      </c>
      <c r="AD356" t="s">
        <v>7322</v>
      </c>
      <c r="AE356" t="s">
        <v>7323</v>
      </c>
      <c r="AF356" t="s">
        <v>74</v>
      </c>
      <c r="AG356">
        <v>73</v>
      </c>
      <c r="AH356">
        <v>67</v>
      </c>
      <c r="AI356">
        <v>67</v>
      </c>
      <c r="AJ356">
        <v>3</v>
      </c>
      <c r="AK356">
        <v>44</v>
      </c>
      <c r="AL356" t="s">
        <v>179</v>
      </c>
      <c r="AM356" t="s">
        <v>180</v>
      </c>
      <c r="AN356" t="s">
        <v>181</v>
      </c>
      <c r="AO356" t="s">
        <v>7324</v>
      </c>
      <c r="AP356" t="s">
        <v>7325</v>
      </c>
      <c r="AQ356" t="s">
        <v>74</v>
      </c>
      <c r="AR356" t="s">
        <v>7326</v>
      </c>
      <c r="AS356" t="s">
        <v>7327</v>
      </c>
      <c r="AT356" t="s">
        <v>7235</v>
      </c>
      <c r="AU356">
        <v>2018</v>
      </c>
      <c r="AV356">
        <v>24</v>
      </c>
      <c r="AW356">
        <v>4</v>
      </c>
      <c r="AX356" t="s">
        <v>74</v>
      </c>
      <c r="AY356" t="s">
        <v>74</v>
      </c>
      <c r="AZ356" t="s">
        <v>74</v>
      </c>
      <c r="BA356" t="s">
        <v>74</v>
      </c>
      <c r="BB356">
        <v>535</v>
      </c>
      <c r="BC356">
        <v>550</v>
      </c>
      <c r="BD356" t="s">
        <v>74</v>
      </c>
      <c r="BE356" t="s">
        <v>7328</v>
      </c>
      <c r="BF356" t="str">
        <f>HYPERLINK("http://dx.doi.org/10.1111/ddi.12702","http://dx.doi.org/10.1111/ddi.12702")</f>
        <v>http://dx.doi.org/10.1111/ddi.12702</v>
      </c>
      <c r="BG356" t="s">
        <v>74</v>
      </c>
      <c r="BH356" t="s">
        <v>74</v>
      </c>
      <c r="BI356">
        <v>16</v>
      </c>
      <c r="BJ356" t="s">
        <v>100</v>
      </c>
      <c r="BK356" t="s">
        <v>101</v>
      </c>
      <c r="BL356" t="s">
        <v>102</v>
      </c>
      <c r="BM356" t="s">
        <v>7329</v>
      </c>
      <c r="BN356" t="s">
        <v>74</v>
      </c>
      <c r="BO356" t="s">
        <v>1933</v>
      </c>
      <c r="BP356" t="s">
        <v>74</v>
      </c>
      <c r="BQ356" t="s">
        <v>74</v>
      </c>
      <c r="BR356" t="s">
        <v>105</v>
      </c>
      <c r="BS356" t="s">
        <v>7330</v>
      </c>
      <c r="BT356" t="str">
        <f>HYPERLINK("https%3A%2F%2Fwww.webofscience.com%2Fwos%2Fwoscc%2Ffull-record%2FWOS:000427246300010","View Full Record in Web of Science")</f>
        <v>View Full Record in Web of Science</v>
      </c>
    </row>
    <row r="357" spans="1:72" x14ac:dyDescent="0.15">
      <c r="A357" t="s">
        <v>72</v>
      </c>
      <c r="B357" t="s">
        <v>7331</v>
      </c>
      <c r="C357" t="s">
        <v>74</v>
      </c>
      <c r="D357" t="s">
        <v>74</v>
      </c>
      <c r="E357" t="s">
        <v>74</v>
      </c>
      <c r="F357" t="s">
        <v>7332</v>
      </c>
      <c r="G357" t="s">
        <v>74</v>
      </c>
      <c r="H357" t="s">
        <v>74</v>
      </c>
      <c r="I357" t="s">
        <v>7333</v>
      </c>
      <c r="J357" t="s">
        <v>1274</v>
      </c>
      <c r="K357" t="s">
        <v>74</v>
      </c>
      <c r="L357" t="s">
        <v>74</v>
      </c>
      <c r="M357" t="s">
        <v>78</v>
      </c>
      <c r="N357" t="s">
        <v>79</v>
      </c>
      <c r="O357" t="s">
        <v>74</v>
      </c>
      <c r="P357" t="s">
        <v>74</v>
      </c>
      <c r="Q357" t="s">
        <v>74</v>
      </c>
      <c r="R357" t="s">
        <v>74</v>
      </c>
      <c r="S357" t="s">
        <v>74</v>
      </c>
      <c r="T357" t="s">
        <v>7334</v>
      </c>
      <c r="U357" t="s">
        <v>7335</v>
      </c>
      <c r="V357" t="s">
        <v>7336</v>
      </c>
      <c r="W357" t="s">
        <v>7337</v>
      </c>
      <c r="X357" t="s">
        <v>7338</v>
      </c>
      <c r="Y357" t="s">
        <v>7339</v>
      </c>
      <c r="Z357" t="s">
        <v>7340</v>
      </c>
      <c r="AA357" t="s">
        <v>74</v>
      </c>
      <c r="AB357" t="s">
        <v>7341</v>
      </c>
      <c r="AC357" t="s">
        <v>7342</v>
      </c>
      <c r="AD357" t="s">
        <v>7343</v>
      </c>
      <c r="AE357" t="s">
        <v>7344</v>
      </c>
      <c r="AF357" t="s">
        <v>74</v>
      </c>
      <c r="AG357">
        <v>48</v>
      </c>
      <c r="AH357">
        <v>19</v>
      </c>
      <c r="AI357">
        <v>24</v>
      </c>
      <c r="AJ357">
        <v>1</v>
      </c>
      <c r="AK357">
        <v>84</v>
      </c>
      <c r="AL357" t="s">
        <v>425</v>
      </c>
      <c r="AM357" t="s">
        <v>278</v>
      </c>
      <c r="AN357" t="s">
        <v>426</v>
      </c>
      <c r="AO357" t="s">
        <v>1286</v>
      </c>
      <c r="AP357" t="s">
        <v>1287</v>
      </c>
      <c r="AQ357" t="s">
        <v>74</v>
      </c>
      <c r="AR357" t="s">
        <v>1288</v>
      </c>
      <c r="AS357" t="s">
        <v>1289</v>
      </c>
      <c r="AT357" t="s">
        <v>7235</v>
      </c>
      <c r="AU357">
        <v>2018</v>
      </c>
      <c r="AV357">
        <v>235</v>
      </c>
      <c r="AW357" t="s">
        <v>74</v>
      </c>
      <c r="AX357" t="s">
        <v>74</v>
      </c>
      <c r="AY357" t="s">
        <v>74</v>
      </c>
      <c r="AZ357" t="s">
        <v>74</v>
      </c>
      <c r="BA357" t="s">
        <v>74</v>
      </c>
      <c r="BB357">
        <v>302</v>
      </c>
      <c r="BC357">
        <v>311</v>
      </c>
      <c r="BD357" t="s">
        <v>74</v>
      </c>
      <c r="BE357" t="s">
        <v>7345</v>
      </c>
      <c r="BF357" t="str">
        <f>HYPERLINK("http://dx.doi.org/10.1016/j.envpol.2017.12.080","http://dx.doi.org/10.1016/j.envpol.2017.12.080")</f>
        <v>http://dx.doi.org/10.1016/j.envpol.2017.12.080</v>
      </c>
      <c r="BG357" t="s">
        <v>74</v>
      </c>
      <c r="BH357" t="s">
        <v>74</v>
      </c>
      <c r="BI357">
        <v>10</v>
      </c>
      <c r="BJ357" t="s">
        <v>921</v>
      </c>
      <c r="BK357" t="s">
        <v>101</v>
      </c>
      <c r="BL357" t="s">
        <v>315</v>
      </c>
      <c r="BM357" t="s">
        <v>7346</v>
      </c>
      <c r="BN357">
        <v>29294456</v>
      </c>
      <c r="BO357" t="s">
        <v>74</v>
      </c>
      <c r="BP357" t="s">
        <v>74</v>
      </c>
      <c r="BQ357" t="s">
        <v>74</v>
      </c>
      <c r="BR357" t="s">
        <v>105</v>
      </c>
      <c r="BS357" t="s">
        <v>7347</v>
      </c>
      <c r="BT357" t="str">
        <f>HYPERLINK("https%3A%2F%2Fwww.webofscience.com%2Fwos%2Fwoscc%2Ffull-record%2FWOS:000428100200033","View Full Record in Web of Science")</f>
        <v>View Full Record in Web of Science</v>
      </c>
    </row>
    <row r="358" spans="1:72" x14ac:dyDescent="0.15">
      <c r="A358" t="s">
        <v>72</v>
      </c>
      <c r="B358" t="s">
        <v>7348</v>
      </c>
      <c r="C358" t="s">
        <v>74</v>
      </c>
      <c r="D358" t="s">
        <v>74</v>
      </c>
      <c r="E358" t="s">
        <v>74</v>
      </c>
      <c r="F358" t="s">
        <v>7349</v>
      </c>
      <c r="G358" t="s">
        <v>74</v>
      </c>
      <c r="H358" t="s">
        <v>74</v>
      </c>
      <c r="I358" t="s">
        <v>7350</v>
      </c>
      <c r="J358" t="s">
        <v>1274</v>
      </c>
      <c r="K358" t="s">
        <v>74</v>
      </c>
      <c r="L358" t="s">
        <v>74</v>
      </c>
      <c r="M358" t="s">
        <v>78</v>
      </c>
      <c r="N358" t="s">
        <v>79</v>
      </c>
      <c r="O358" t="s">
        <v>74</v>
      </c>
      <c r="P358" t="s">
        <v>74</v>
      </c>
      <c r="Q358" t="s">
        <v>74</v>
      </c>
      <c r="R358" t="s">
        <v>74</v>
      </c>
      <c r="S358" t="s">
        <v>74</v>
      </c>
      <c r="T358" t="s">
        <v>7351</v>
      </c>
      <c r="U358" t="s">
        <v>7352</v>
      </c>
      <c r="V358" t="s">
        <v>7353</v>
      </c>
      <c r="W358" t="s">
        <v>7354</v>
      </c>
      <c r="X358" t="s">
        <v>7355</v>
      </c>
      <c r="Y358" t="s">
        <v>7356</v>
      </c>
      <c r="Z358" t="s">
        <v>7357</v>
      </c>
      <c r="AA358" t="s">
        <v>7358</v>
      </c>
      <c r="AB358" t="s">
        <v>7359</v>
      </c>
      <c r="AC358" t="s">
        <v>7360</v>
      </c>
      <c r="AD358" t="s">
        <v>7361</v>
      </c>
      <c r="AE358" t="s">
        <v>7362</v>
      </c>
      <c r="AF358" t="s">
        <v>74</v>
      </c>
      <c r="AG358">
        <v>61</v>
      </c>
      <c r="AH358">
        <v>35</v>
      </c>
      <c r="AI358">
        <v>35</v>
      </c>
      <c r="AJ358">
        <v>1</v>
      </c>
      <c r="AK358">
        <v>22</v>
      </c>
      <c r="AL358" t="s">
        <v>425</v>
      </c>
      <c r="AM358" t="s">
        <v>278</v>
      </c>
      <c r="AN358" t="s">
        <v>426</v>
      </c>
      <c r="AO358" t="s">
        <v>1286</v>
      </c>
      <c r="AP358" t="s">
        <v>1287</v>
      </c>
      <c r="AQ358" t="s">
        <v>74</v>
      </c>
      <c r="AR358" t="s">
        <v>1288</v>
      </c>
      <c r="AS358" t="s">
        <v>1289</v>
      </c>
      <c r="AT358" t="s">
        <v>7235</v>
      </c>
      <c r="AU358">
        <v>2018</v>
      </c>
      <c r="AV358">
        <v>235</v>
      </c>
      <c r="AW358" t="s">
        <v>74</v>
      </c>
      <c r="AX358" t="s">
        <v>74</v>
      </c>
      <c r="AY358" t="s">
        <v>74</v>
      </c>
      <c r="AZ358" t="s">
        <v>74</v>
      </c>
      <c r="BA358" t="s">
        <v>74</v>
      </c>
      <c r="BB358">
        <v>739</v>
      </c>
      <c r="BC358">
        <v>749</v>
      </c>
      <c r="BD358" t="s">
        <v>74</v>
      </c>
      <c r="BE358" t="s">
        <v>7363</v>
      </c>
      <c r="BF358" t="str">
        <f>HYPERLINK("http://dx.doi.org/10.1016/j.envpol.2017.12.109","http://dx.doi.org/10.1016/j.envpol.2017.12.109")</f>
        <v>http://dx.doi.org/10.1016/j.envpol.2017.12.109</v>
      </c>
      <c r="BG358" t="s">
        <v>74</v>
      </c>
      <c r="BH358" t="s">
        <v>74</v>
      </c>
      <c r="BI358">
        <v>11</v>
      </c>
      <c r="BJ358" t="s">
        <v>921</v>
      </c>
      <c r="BK358" t="s">
        <v>101</v>
      </c>
      <c r="BL358" t="s">
        <v>315</v>
      </c>
      <c r="BM358" t="s">
        <v>7346</v>
      </c>
      <c r="BN358">
        <v>29339343</v>
      </c>
      <c r="BO358" t="s">
        <v>74</v>
      </c>
      <c r="BP358" t="s">
        <v>74</v>
      </c>
      <c r="BQ358" t="s">
        <v>74</v>
      </c>
      <c r="BR358" t="s">
        <v>105</v>
      </c>
      <c r="BS358" t="s">
        <v>7364</v>
      </c>
      <c r="BT358" t="str">
        <f>HYPERLINK("https%3A%2F%2Fwww.webofscience.com%2Fwos%2Fwoscc%2Ffull-record%2FWOS:000428100200079","View Full Record in Web of Science")</f>
        <v>View Full Record in Web of Science</v>
      </c>
    </row>
    <row r="359" spans="1:72" x14ac:dyDescent="0.15">
      <c r="A359" t="s">
        <v>72</v>
      </c>
      <c r="B359" t="s">
        <v>7365</v>
      </c>
      <c r="C359" t="s">
        <v>74</v>
      </c>
      <c r="D359" t="s">
        <v>74</v>
      </c>
      <c r="E359" t="s">
        <v>74</v>
      </c>
      <c r="F359" t="s">
        <v>7366</v>
      </c>
      <c r="G359" t="s">
        <v>74</v>
      </c>
      <c r="H359" t="s">
        <v>74</v>
      </c>
      <c r="I359" t="s">
        <v>7367</v>
      </c>
      <c r="J359" t="s">
        <v>3450</v>
      </c>
      <c r="K359" t="s">
        <v>74</v>
      </c>
      <c r="L359" t="s">
        <v>74</v>
      </c>
      <c r="M359" t="s">
        <v>78</v>
      </c>
      <c r="N359" t="s">
        <v>79</v>
      </c>
      <c r="O359" t="s">
        <v>74</v>
      </c>
      <c r="P359" t="s">
        <v>74</v>
      </c>
      <c r="Q359" t="s">
        <v>74</v>
      </c>
      <c r="R359" t="s">
        <v>74</v>
      </c>
      <c r="S359" t="s">
        <v>74</v>
      </c>
      <c r="T359" t="s">
        <v>7368</v>
      </c>
      <c r="U359" t="s">
        <v>7369</v>
      </c>
      <c r="V359" t="s">
        <v>7370</v>
      </c>
      <c r="W359" t="s">
        <v>7371</v>
      </c>
      <c r="X359" t="s">
        <v>7372</v>
      </c>
      <c r="Y359" t="s">
        <v>7373</v>
      </c>
      <c r="Z359" t="s">
        <v>7374</v>
      </c>
      <c r="AA359" t="s">
        <v>7375</v>
      </c>
      <c r="AB359" t="s">
        <v>7376</v>
      </c>
      <c r="AC359" t="s">
        <v>7377</v>
      </c>
      <c r="AD359" t="s">
        <v>7378</v>
      </c>
      <c r="AE359" t="s">
        <v>7377</v>
      </c>
      <c r="AF359" t="s">
        <v>74</v>
      </c>
      <c r="AG359">
        <v>53</v>
      </c>
      <c r="AH359">
        <v>7</v>
      </c>
      <c r="AI359">
        <v>7</v>
      </c>
      <c r="AJ359">
        <v>1</v>
      </c>
      <c r="AK359">
        <v>35</v>
      </c>
      <c r="AL359" t="s">
        <v>179</v>
      </c>
      <c r="AM359" t="s">
        <v>180</v>
      </c>
      <c r="AN359" t="s">
        <v>181</v>
      </c>
      <c r="AO359" t="s">
        <v>3462</v>
      </c>
      <c r="AP359" t="s">
        <v>3463</v>
      </c>
      <c r="AQ359" t="s">
        <v>74</v>
      </c>
      <c r="AR359" t="s">
        <v>3464</v>
      </c>
      <c r="AS359" t="s">
        <v>3465</v>
      </c>
      <c r="AT359" t="s">
        <v>7235</v>
      </c>
      <c r="AU359">
        <v>2018</v>
      </c>
      <c r="AV359">
        <v>32</v>
      </c>
      <c r="AW359">
        <v>4</v>
      </c>
      <c r="AX359" t="s">
        <v>74</v>
      </c>
      <c r="AY359" t="s">
        <v>74</v>
      </c>
      <c r="AZ359" t="s">
        <v>74</v>
      </c>
      <c r="BA359" t="s">
        <v>74</v>
      </c>
      <c r="BB359">
        <v>882</v>
      </c>
      <c r="BC359">
        <v>893</v>
      </c>
      <c r="BD359" t="s">
        <v>74</v>
      </c>
      <c r="BE359" t="s">
        <v>7379</v>
      </c>
      <c r="BF359" t="str">
        <f>HYPERLINK("http://dx.doi.org/10.1111/1365-2435.13048","http://dx.doi.org/10.1111/1365-2435.13048")</f>
        <v>http://dx.doi.org/10.1111/1365-2435.13048</v>
      </c>
      <c r="BG359" t="s">
        <v>74</v>
      </c>
      <c r="BH359" t="s">
        <v>74</v>
      </c>
      <c r="BI359">
        <v>12</v>
      </c>
      <c r="BJ359" t="s">
        <v>314</v>
      </c>
      <c r="BK359" t="s">
        <v>101</v>
      </c>
      <c r="BL359" t="s">
        <v>315</v>
      </c>
      <c r="BM359" t="s">
        <v>7380</v>
      </c>
      <c r="BN359" t="s">
        <v>74</v>
      </c>
      <c r="BO359" t="s">
        <v>162</v>
      </c>
      <c r="BP359" t="s">
        <v>74</v>
      </c>
      <c r="BQ359" t="s">
        <v>74</v>
      </c>
      <c r="BR359" t="s">
        <v>105</v>
      </c>
      <c r="BS359" t="s">
        <v>7381</v>
      </c>
      <c r="BT359" t="str">
        <f>HYPERLINK("https%3A%2F%2Fwww.webofscience.com%2Fwos%2Fwoscc%2Ffull-record%2FWOS:000429323400004","View Full Record in Web of Science")</f>
        <v>View Full Record in Web of Science</v>
      </c>
    </row>
    <row r="360" spans="1:72" x14ac:dyDescent="0.15">
      <c r="A360" t="s">
        <v>72</v>
      </c>
      <c r="B360" t="s">
        <v>7382</v>
      </c>
      <c r="C360" t="s">
        <v>74</v>
      </c>
      <c r="D360" t="s">
        <v>74</v>
      </c>
      <c r="E360" t="s">
        <v>74</v>
      </c>
      <c r="F360" t="s">
        <v>7383</v>
      </c>
      <c r="G360" t="s">
        <v>74</v>
      </c>
      <c r="H360" t="s">
        <v>74</v>
      </c>
      <c r="I360" t="s">
        <v>7384</v>
      </c>
      <c r="J360" t="s">
        <v>7385</v>
      </c>
      <c r="K360" t="s">
        <v>74</v>
      </c>
      <c r="L360" t="s">
        <v>74</v>
      </c>
      <c r="M360" t="s">
        <v>78</v>
      </c>
      <c r="N360" t="s">
        <v>79</v>
      </c>
      <c r="O360" t="s">
        <v>74</v>
      </c>
      <c r="P360" t="s">
        <v>74</v>
      </c>
      <c r="Q360" t="s">
        <v>74</v>
      </c>
      <c r="R360" t="s">
        <v>74</v>
      </c>
      <c r="S360" t="s">
        <v>74</v>
      </c>
      <c r="T360" t="s">
        <v>74</v>
      </c>
      <c r="U360" t="s">
        <v>7386</v>
      </c>
      <c r="V360" t="s">
        <v>7387</v>
      </c>
      <c r="W360" t="s">
        <v>7388</v>
      </c>
      <c r="X360" t="s">
        <v>7389</v>
      </c>
      <c r="Y360" t="s">
        <v>7390</v>
      </c>
      <c r="Z360" t="s">
        <v>7391</v>
      </c>
      <c r="AA360" t="s">
        <v>7392</v>
      </c>
      <c r="AB360" t="s">
        <v>7393</v>
      </c>
      <c r="AC360" t="s">
        <v>7394</v>
      </c>
      <c r="AD360" t="s">
        <v>7395</v>
      </c>
      <c r="AE360" t="s">
        <v>7396</v>
      </c>
      <c r="AF360" t="s">
        <v>74</v>
      </c>
      <c r="AG360">
        <v>16</v>
      </c>
      <c r="AH360">
        <v>3</v>
      </c>
      <c r="AI360">
        <v>3</v>
      </c>
      <c r="AJ360">
        <v>2</v>
      </c>
      <c r="AK360">
        <v>14</v>
      </c>
      <c r="AL360" t="s">
        <v>7397</v>
      </c>
      <c r="AM360" t="s">
        <v>575</v>
      </c>
      <c r="AN360" t="s">
        <v>7398</v>
      </c>
      <c r="AO360" t="s">
        <v>74</v>
      </c>
      <c r="AP360" t="s">
        <v>7399</v>
      </c>
      <c r="AQ360" t="s">
        <v>74</v>
      </c>
      <c r="AR360" t="s">
        <v>7385</v>
      </c>
      <c r="AS360" t="s">
        <v>7400</v>
      </c>
      <c r="AT360" t="s">
        <v>7235</v>
      </c>
      <c r="AU360">
        <v>2018</v>
      </c>
      <c r="AV360">
        <v>6</v>
      </c>
      <c r="AW360">
        <v>15</v>
      </c>
      <c r="AX360" t="s">
        <v>74</v>
      </c>
      <c r="AY360" t="s">
        <v>74</v>
      </c>
      <c r="AZ360" t="s">
        <v>74</v>
      </c>
      <c r="BA360" t="s">
        <v>74</v>
      </c>
      <c r="BB360" t="s">
        <v>74</v>
      </c>
      <c r="BC360" t="s">
        <v>74</v>
      </c>
      <c r="BD360" t="s">
        <v>7401</v>
      </c>
      <c r="BE360" t="s">
        <v>7402</v>
      </c>
      <c r="BF360" t="str">
        <f>HYPERLINK("http://dx.doi.org/10.1128/genomeA.01553-17","http://dx.doi.org/10.1128/genomeA.01553-17")</f>
        <v>http://dx.doi.org/10.1128/genomeA.01553-17</v>
      </c>
      <c r="BG360" t="s">
        <v>74</v>
      </c>
      <c r="BH360" t="s">
        <v>74</v>
      </c>
      <c r="BI360">
        <v>2</v>
      </c>
      <c r="BJ360" t="s">
        <v>510</v>
      </c>
      <c r="BK360" t="s">
        <v>261</v>
      </c>
      <c r="BL360" t="s">
        <v>510</v>
      </c>
      <c r="BM360" t="s">
        <v>7403</v>
      </c>
      <c r="BN360">
        <v>29650588</v>
      </c>
      <c r="BO360" t="s">
        <v>764</v>
      </c>
      <c r="BP360" t="s">
        <v>74</v>
      </c>
      <c r="BQ360" t="s">
        <v>74</v>
      </c>
      <c r="BR360" t="s">
        <v>105</v>
      </c>
      <c r="BS360" t="s">
        <v>7404</v>
      </c>
      <c r="BT360" t="str">
        <f>HYPERLINK("https%3A%2F%2Fwww.webofscience.com%2Fwos%2Fwoscc%2Ffull-record%2FWOS:000452333100024","View Full Record in Web of Science")</f>
        <v>View Full Record in Web of Science</v>
      </c>
    </row>
    <row r="361" spans="1:72" x14ac:dyDescent="0.15">
      <c r="A361" t="s">
        <v>72</v>
      </c>
      <c r="B361" t="s">
        <v>7405</v>
      </c>
      <c r="C361" t="s">
        <v>74</v>
      </c>
      <c r="D361" t="s">
        <v>74</v>
      </c>
      <c r="E361" t="s">
        <v>74</v>
      </c>
      <c r="F361" t="s">
        <v>7406</v>
      </c>
      <c r="G361" t="s">
        <v>74</v>
      </c>
      <c r="H361" t="s">
        <v>74</v>
      </c>
      <c r="I361" t="s">
        <v>7407</v>
      </c>
      <c r="J361" t="s">
        <v>7408</v>
      </c>
      <c r="K361" t="s">
        <v>74</v>
      </c>
      <c r="L361" t="s">
        <v>74</v>
      </c>
      <c r="M361" t="s">
        <v>78</v>
      </c>
      <c r="N361" t="s">
        <v>79</v>
      </c>
      <c r="O361" t="s">
        <v>74</v>
      </c>
      <c r="P361" t="s">
        <v>74</v>
      </c>
      <c r="Q361" t="s">
        <v>74</v>
      </c>
      <c r="R361" t="s">
        <v>74</v>
      </c>
      <c r="S361" t="s">
        <v>74</v>
      </c>
      <c r="T361" t="s">
        <v>7409</v>
      </c>
      <c r="U361" t="s">
        <v>7410</v>
      </c>
      <c r="V361" t="s">
        <v>7411</v>
      </c>
      <c r="W361" t="s">
        <v>7412</v>
      </c>
      <c r="X361" t="s">
        <v>7413</v>
      </c>
      <c r="Y361" t="s">
        <v>7414</v>
      </c>
      <c r="Z361" t="s">
        <v>7415</v>
      </c>
      <c r="AA361" t="s">
        <v>7416</v>
      </c>
      <c r="AB361" t="s">
        <v>7417</v>
      </c>
      <c r="AC361" t="s">
        <v>7418</v>
      </c>
      <c r="AD361" t="s">
        <v>7419</v>
      </c>
      <c r="AE361" t="s">
        <v>7420</v>
      </c>
      <c r="AF361" t="s">
        <v>74</v>
      </c>
      <c r="AG361">
        <v>51</v>
      </c>
      <c r="AH361">
        <v>9</v>
      </c>
      <c r="AI361">
        <v>12</v>
      </c>
      <c r="AJ361">
        <v>1</v>
      </c>
      <c r="AK361">
        <v>21</v>
      </c>
      <c r="AL361" t="s">
        <v>451</v>
      </c>
      <c r="AM361" t="s">
        <v>452</v>
      </c>
      <c r="AN361" t="s">
        <v>453</v>
      </c>
      <c r="AO361" t="s">
        <v>7421</v>
      </c>
      <c r="AP361" t="s">
        <v>7422</v>
      </c>
      <c r="AQ361" t="s">
        <v>74</v>
      </c>
      <c r="AR361" t="s">
        <v>7408</v>
      </c>
      <c r="AS361" t="s">
        <v>7423</v>
      </c>
      <c r="AT361" t="s">
        <v>7424</v>
      </c>
      <c r="AU361">
        <v>2018</v>
      </c>
      <c r="AV361">
        <v>315</v>
      </c>
      <c r="AW361" t="s">
        <v>74</v>
      </c>
      <c r="AX361" t="s">
        <v>74</v>
      </c>
      <c r="AY361" t="s">
        <v>74</v>
      </c>
      <c r="AZ361" t="s">
        <v>74</v>
      </c>
      <c r="BA361" t="s">
        <v>74</v>
      </c>
      <c r="BB361">
        <v>149</v>
      </c>
      <c r="BC361">
        <v>159</v>
      </c>
      <c r="BD361" t="s">
        <v>74</v>
      </c>
      <c r="BE361" t="s">
        <v>7425</v>
      </c>
      <c r="BF361" t="str">
        <f>HYPERLINK("http://dx.doi.org/10.1016/j.geoderma.2017.11.010","http://dx.doi.org/10.1016/j.geoderma.2017.11.010")</f>
        <v>http://dx.doi.org/10.1016/j.geoderma.2017.11.010</v>
      </c>
      <c r="BG361" t="s">
        <v>74</v>
      </c>
      <c r="BH361" t="s">
        <v>74</v>
      </c>
      <c r="BI361">
        <v>11</v>
      </c>
      <c r="BJ361" t="s">
        <v>7426</v>
      </c>
      <c r="BK361" t="s">
        <v>101</v>
      </c>
      <c r="BL361" t="s">
        <v>2414</v>
      </c>
      <c r="BM361" t="s">
        <v>7427</v>
      </c>
      <c r="BN361" t="s">
        <v>74</v>
      </c>
      <c r="BO361" t="s">
        <v>74</v>
      </c>
      <c r="BP361" t="s">
        <v>74</v>
      </c>
      <c r="BQ361" t="s">
        <v>74</v>
      </c>
      <c r="BR361" t="s">
        <v>105</v>
      </c>
      <c r="BS361" t="s">
        <v>7428</v>
      </c>
      <c r="BT361" t="str">
        <f>HYPERLINK("https%3A%2F%2Fwww.webofscience.com%2Fwos%2Fwoscc%2Ffull-record%2FWOS:000424178600017","View Full Record in Web of Science")</f>
        <v>View Full Record in Web of Science</v>
      </c>
    </row>
    <row r="362" spans="1:72" x14ac:dyDescent="0.15">
      <c r="A362" t="s">
        <v>72</v>
      </c>
      <c r="B362" t="s">
        <v>7429</v>
      </c>
      <c r="C362" t="s">
        <v>74</v>
      </c>
      <c r="D362" t="s">
        <v>74</v>
      </c>
      <c r="E362" t="s">
        <v>74</v>
      </c>
      <c r="F362" t="s">
        <v>7430</v>
      </c>
      <c r="G362" t="s">
        <v>74</v>
      </c>
      <c r="H362" t="s">
        <v>74</v>
      </c>
      <c r="I362" t="s">
        <v>7431</v>
      </c>
      <c r="J362" t="s">
        <v>7432</v>
      </c>
      <c r="K362" t="s">
        <v>74</v>
      </c>
      <c r="L362" t="s">
        <v>74</v>
      </c>
      <c r="M362" t="s">
        <v>78</v>
      </c>
      <c r="N362" t="s">
        <v>79</v>
      </c>
      <c r="O362" t="s">
        <v>74</v>
      </c>
      <c r="P362" t="s">
        <v>74</v>
      </c>
      <c r="Q362" t="s">
        <v>74</v>
      </c>
      <c r="R362" t="s">
        <v>74</v>
      </c>
      <c r="S362" t="s">
        <v>74</v>
      </c>
      <c r="T362" t="s">
        <v>7433</v>
      </c>
      <c r="U362" t="s">
        <v>7434</v>
      </c>
      <c r="V362" t="s">
        <v>7435</v>
      </c>
      <c r="W362" t="s">
        <v>7436</v>
      </c>
      <c r="X362" t="s">
        <v>7437</v>
      </c>
      <c r="Y362" t="s">
        <v>7438</v>
      </c>
      <c r="Z362" t="s">
        <v>7439</v>
      </c>
      <c r="AA362" t="s">
        <v>7440</v>
      </c>
      <c r="AB362" t="s">
        <v>7441</v>
      </c>
      <c r="AC362" t="s">
        <v>7442</v>
      </c>
      <c r="AD362" t="s">
        <v>7443</v>
      </c>
      <c r="AE362" t="s">
        <v>7444</v>
      </c>
      <c r="AF362" t="s">
        <v>74</v>
      </c>
      <c r="AG362">
        <v>68</v>
      </c>
      <c r="AH362">
        <v>17</v>
      </c>
      <c r="AI362">
        <v>21</v>
      </c>
      <c r="AJ362">
        <v>3</v>
      </c>
      <c r="AK362">
        <v>64</v>
      </c>
      <c r="AL362" t="s">
        <v>179</v>
      </c>
      <c r="AM362" t="s">
        <v>180</v>
      </c>
      <c r="AN362" t="s">
        <v>181</v>
      </c>
      <c r="AO362" t="s">
        <v>7445</v>
      </c>
      <c r="AP362" t="s">
        <v>7446</v>
      </c>
      <c r="AQ362" t="s">
        <v>74</v>
      </c>
      <c r="AR362" t="s">
        <v>7447</v>
      </c>
      <c r="AS362" t="s">
        <v>7448</v>
      </c>
      <c r="AT362" t="s">
        <v>7235</v>
      </c>
      <c r="AU362">
        <v>2018</v>
      </c>
      <c r="AV362">
        <v>38</v>
      </c>
      <c r="AW362">
        <v>5</v>
      </c>
      <c r="AX362" t="s">
        <v>74</v>
      </c>
      <c r="AY362" t="s">
        <v>74</v>
      </c>
      <c r="AZ362" t="s">
        <v>74</v>
      </c>
      <c r="BA362" t="s">
        <v>74</v>
      </c>
      <c r="BB362">
        <v>2423</v>
      </c>
      <c r="BC362">
        <v>2434</v>
      </c>
      <c r="BD362" t="s">
        <v>74</v>
      </c>
      <c r="BE362" t="s">
        <v>7449</v>
      </c>
      <c r="BF362" t="str">
        <f>HYPERLINK("http://dx.doi.org/10.1002/joc.5345","http://dx.doi.org/10.1002/joc.5345")</f>
        <v>http://dx.doi.org/10.1002/joc.5345</v>
      </c>
      <c r="BG362" t="s">
        <v>74</v>
      </c>
      <c r="BH362" t="s">
        <v>74</v>
      </c>
      <c r="BI362">
        <v>12</v>
      </c>
      <c r="BJ362" t="s">
        <v>131</v>
      </c>
      <c r="BK362" t="s">
        <v>101</v>
      </c>
      <c r="BL362" t="s">
        <v>131</v>
      </c>
      <c r="BM362" t="s">
        <v>7450</v>
      </c>
      <c r="BN362" t="s">
        <v>74</v>
      </c>
      <c r="BO362" t="s">
        <v>74</v>
      </c>
      <c r="BP362" t="s">
        <v>74</v>
      </c>
      <c r="BQ362" t="s">
        <v>74</v>
      </c>
      <c r="BR362" t="s">
        <v>105</v>
      </c>
      <c r="BS362" t="s">
        <v>7451</v>
      </c>
      <c r="BT362" t="str">
        <f>HYPERLINK("https%3A%2F%2Fwww.webofscience.com%2Fwos%2Fwoscc%2Ffull-record%2FWOS:000428880600021","View Full Record in Web of Science")</f>
        <v>View Full Record in Web of Science</v>
      </c>
    </row>
    <row r="363" spans="1:72" x14ac:dyDescent="0.15">
      <c r="A363" t="s">
        <v>72</v>
      </c>
      <c r="B363" t="s">
        <v>7452</v>
      </c>
      <c r="C363" t="s">
        <v>74</v>
      </c>
      <c r="D363" t="s">
        <v>74</v>
      </c>
      <c r="E363" t="s">
        <v>74</v>
      </c>
      <c r="F363" t="s">
        <v>7453</v>
      </c>
      <c r="G363" t="s">
        <v>74</v>
      </c>
      <c r="H363" t="s">
        <v>74</v>
      </c>
      <c r="I363" t="s">
        <v>7454</v>
      </c>
      <c r="J363" t="s">
        <v>7432</v>
      </c>
      <c r="K363" t="s">
        <v>74</v>
      </c>
      <c r="L363" t="s">
        <v>74</v>
      </c>
      <c r="M363" t="s">
        <v>78</v>
      </c>
      <c r="N363" t="s">
        <v>79</v>
      </c>
      <c r="O363" t="s">
        <v>74</v>
      </c>
      <c r="P363" t="s">
        <v>74</v>
      </c>
      <c r="Q363" t="s">
        <v>74</v>
      </c>
      <c r="R363" t="s">
        <v>74</v>
      </c>
      <c r="S363" t="s">
        <v>74</v>
      </c>
      <c r="T363" t="s">
        <v>7455</v>
      </c>
      <c r="U363" t="s">
        <v>7456</v>
      </c>
      <c r="V363" t="s">
        <v>7457</v>
      </c>
      <c r="W363" t="s">
        <v>7458</v>
      </c>
      <c r="X363" t="s">
        <v>7459</v>
      </c>
      <c r="Y363" t="s">
        <v>7460</v>
      </c>
      <c r="Z363" t="s">
        <v>7461</v>
      </c>
      <c r="AA363" t="s">
        <v>7462</v>
      </c>
      <c r="AB363" t="s">
        <v>7463</v>
      </c>
      <c r="AC363" t="s">
        <v>7464</v>
      </c>
      <c r="AD363" t="s">
        <v>7465</v>
      </c>
      <c r="AE363" t="s">
        <v>7466</v>
      </c>
      <c r="AF363" t="s">
        <v>74</v>
      </c>
      <c r="AG363">
        <v>19</v>
      </c>
      <c r="AH363">
        <v>26</v>
      </c>
      <c r="AI363">
        <v>27</v>
      </c>
      <c r="AJ363">
        <v>1</v>
      </c>
      <c r="AK363">
        <v>11</v>
      </c>
      <c r="AL363" t="s">
        <v>179</v>
      </c>
      <c r="AM363" t="s">
        <v>180</v>
      </c>
      <c r="AN363" t="s">
        <v>181</v>
      </c>
      <c r="AO363" t="s">
        <v>7445</v>
      </c>
      <c r="AP363" t="s">
        <v>7446</v>
      </c>
      <c r="AQ363" t="s">
        <v>74</v>
      </c>
      <c r="AR363" t="s">
        <v>7447</v>
      </c>
      <c r="AS363" t="s">
        <v>7448</v>
      </c>
      <c r="AT363" t="s">
        <v>7235</v>
      </c>
      <c r="AU363">
        <v>2018</v>
      </c>
      <c r="AV363">
        <v>38</v>
      </c>
      <c r="AW363" t="s">
        <v>74</v>
      </c>
      <c r="AX363" t="s">
        <v>74</v>
      </c>
      <c r="AY363">
        <v>1</v>
      </c>
      <c r="AZ363" t="s">
        <v>74</v>
      </c>
      <c r="BA363" t="s">
        <v>74</v>
      </c>
      <c r="BB363" t="s">
        <v>7467</v>
      </c>
      <c r="BC363" t="s">
        <v>7468</v>
      </c>
      <c r="BD363" t="s">
        <v>74</v>
      </c>
      <c r="BE363" t="s">
        <v>7469</v>
      </c>
      <c r="BF363" t="str">
        <f>HYPERLINK("http://dx.doi.org/10.1002/joc.5419","http://dx.doi.org/10.1002/joc.5419")</f>
        <v>http://dx.doi.org/10.1002/joc.5419</v>
      </c>
      <c r="BG363" t="s">
        <v>74</v>
      </c>
      <c r="BH363" t="s">
        <v>74</v>
      </c>
      <c r="BI363">
        <v>8</v>
      </c>
      <c r="BJ363" t="s">
        <v>131</v>
      </c>
      <c r="BK363" t="s">
        <v>101</v>
      </c>
      <c r="BL363" t="s">
        <v>131</v>
      </c>
      <c r="BM363" t="s">
        <v>7470</v>
      </c>
      <c r="BN363" t="s">
        <v>74</v>
      </c>
      <c r="BO363" t="s">
        <v>74</v>
      </c>
      <c r="BP363" t="s">
        <v>74</v>
      </c>
      <c r="BQ363" t="s">
        <v>74</v>
      </c>
      <c r="BR363" t="s">
        <v>105</v>
      </c>
      <c r="BS363" t="s">
        <v>7471</v>
      </c>
      <c r="BT363" t="str">
        <f>HYPERLINK("https%3A%2F%2Fwww.webofscience.com%2Fwos%2Fwoscc%2Ffull-record%2FWOS:000431999600087","View Full Record in Web of Science")</f>
        <v>View Full Record in Web of Science</v>
      </c>
    </row>
    <row r="364" spans="1:72" x14ac:dyDescent="0.15">
      <c r="A364" t="s">
        <v>72</v>
      </c>
      <c r="B364" t="s">
        <v>7472</v>
      </c>
      <c r="C364" t="s">
        <v>74</v>
      </c>
      <c r="D364" t="s">
        <v>74</v>
      </c>
      <c r="E364" t="s">
        <v>74</v>
      </c>
      <c r="F364" t="s">
        <v>7473</v>
      </c>
      <c r="G364" t="s">
        <v>74</v>
      </c>
      <c r="H364" t="s">
        <v>74</v>
      </c>
      <c r="I364" t="s">
        <v>7474</v>
      </c>
      <c r="J364" t="s">
        <v>3563</v>
      </c>
      <c r="K364" t="s">
        <v>74</v>
      </c>
      <c r="L364" t="s">
        <v>74</v>
      </c>
      <c r="M364" t="s">
        <v>78</v>
      </c>
      <c r="N364" t="s">
        <v>79</v>
      </c>
      <c r="O364" t="s">
        <v>74</v>
      </c>
      <c r="P364" t="s">
        <v>74</v>
      </c>
      <c r="Q364" t="s">
        <v>74</v>
      </c>
      <c r="R364" t="s">
        <v>74</v>
      </c>
      <c r="S364" t="s">
        <v>74</v>
      </c>
      <c r="T364" t="s">
        <v>7475</v>
      </c>
      <c r="U364" t="s">
        <v>7476</v>
      </c>
      <c r="V364" t="s">
        <v>7477</v>
      </c>
      <c r="W364" t="s">
        <v>7478</v>
      </c>
      <c r="X364" t="s">
        <v>7479</v>
      </c>
      <c r="Y364" t="s">
        <v>7480</v>
      </c>
      <c r="Z364" t="s">
        <v>7481</v>
      </c>
      <c r="AA364" t="s">
        <v>7482</v>
      </c>
      <c r="AB364" t="s">
        <v>74</v>
      </c>
      <c r="AC364" t="s">
        <v>7483</v>
      </c>
      <c r="AD364" t="s">
        <v>7484</v>
      </c>
      <c r="AE364" t="s">
        <v>7483</v>
      </c>
      <c r="AF364" t="s">
        <v>74</v>
      </c>
      <c r="AG364">
        <v>64</v>
      </c>
      <c r="AH364">
        <v>9</v>
      </c>
      <c r="AI364">
        <v>9</v>
      </c>
      <c r="AJ364">
        <v>1</v>
      </c>
      <c r="AK364">
        <v>45</v>
      </c>
      <c r="AL364" t="s">
        <v>179</v>
      </c>
      <c r="AM364" t="s">
        <v>180</v>
      </c>
      <c r="AN364" t="s">
        <v>181</v>
      </c>
      <c r="AO364" t="s">
        <v>3573</v>
      </c>
      <c r="AP364" t="s">
        <v>3574</v>
      </c>
      <c r="AQ364" t="s">
        <v>74</v>
      </c>
      <c r="AR364" t="s">
        <v>3575</v>
      </c>
      <c r="AS364" t="s">
        <v>3576</v>
      </c>
      <c r="AT364" t="s">
        <v>7235</v>
      </c>
      <c r="AU364">
        <v>2018</v>
      </c>
      <c r="AV364">
        <v>58</v>
      </c>
      <c r="AW364">
        <v>4</v>
      </c>
      <c r="AX364" t="s">
        <v>74</v>
      </c>
      <c r="AY364" t="s">
        <v>74</v>
      </c>
      <c r="AZ364" t="s">
        <v>508</v>
      </c>
      <c r="BA364" t="s">
        <v>74</v>
      </c>
      <c r="BB364">
        <v>286</v>
      </c>
      <c r="BC364">
        <v>295</v>
      </c>
      <c r="BD364" t="s">
        <v>74</v>
      </c>
      <c r="BE364" t="s">
        <v>7485</v>
      </c>
      <c r="BF364" t="str">
        <f>HYPERLINK("http://dx.doi.org/10.1002/jobm.201700496","http://dx.doi.org/10.1002/jobm.201700496")</f>
        <v>http://dx.doi.org/10.1002/jobm.201700496</v>
      </c>
      <c r="BG364" t="s">
        <v>74</v>
      </c>
      <c r="BH364" t="s">
        <v>74</v>
      </c>
      <c r="BI364">
        <v>10</v>
      </c>
      <c r="BJ364" t="s">
        <v>510</v>
      </c>
      <c r="BK364" t="s">
        <v>101</v>
      </c>
      <c r="BL364" t="s">
        <v>510</v>
      </c>
      <c r="BM364" t="s">
        <v>7486</v>
      </c>
      <c r="BN364" t="s">
        <v>74</v>
      </c>
      <c r="BO364" t="s">
        <v>74</v>
      </c>
      <c r="BP364" t="s">
        <v>74</v>
      </c>
      <c r="BQ364" t="s">
        <v>74</v>
      </c>
      <c r="BR364" t="s">
        <v>105</v>
      </c>
      <c r="BS364" t="s">
        <v>7487</v>
      </c>
      <c r="BT364" t="str">
        <f>HYPERLINK("https%3A%2F%2Fwww.webofscience.com%2Fwos%2Fwoscc%2Ffull-record%2FWOS:000429001400002","View Full Record in Web of Science")</f>
        <v>View Full Record in Web of Science</v>
      </c>
    </row>
    <row r="365" spans="1:72" x14ac:dyDescent="0.15">
      <c r="A365" t="s">
        <v>72</v>
      </c>
      <c r="B365" t="s">
        <v>7488</v>
      </c>
      <c r="C365" t="s">
        <v>74</v>
      </c>
      <c r="D365" t="s">
        <v>74</v>
      </c>
      <c r="E365" t="s">
        <v>74</v>
      </c>
      <c r="F365" t="s">
        <v>7489</v>
      </c>
      <c r="G365" t="s">
        <v>74</v>
      </c>
      <c r="H365" t="s">
        <v>74</v>
      </c>
      <c r="I365" t="s">
        <v>7490</v>
      </c>
      <c r="J365" t="s">
        <v>3633</v>
      </c>
      <c r="K365" t="s">
        <v>74</v>
      </c>
      <c r="L365" t="s">
        <v>74</v>
      </c>
      <c r="M365" t="s">
        <v>78</v>
      </c>
      <c r="N365" t="s">
        <v>79</v>
      </c>
      <c r="O365" t="s">
        <v>74</v>
      </c>
      <c r="P365" t="s">
        <v>74</v>
      </c>
      <c r="Q365" t="s">
        <v>74</v>
      </c>
      <c r="R365" t="s">
        <v>74</v>
      </c>
      <c r="S365" t="s">
        <v>74</v>
      </c>
      <c r="T365" t="s">
        <v>7491</v>
      </c>
      <c r="U365" t="s">
        <v>7492</v>
      </c>
      <c r="V365" t="s">
        <v>7493</v>
      </c>
      <c r="W365" t="s">
        <v>7494</v>
      </c>
      <c r="X365" t="s">
        <v>7495</v>
      </c>
      <c r="Y365" t="s">
        <v>7496</v>
      </c>
      <c r="Z365" t="s">
        <v>7497</v>
      </c>
      <c r="AA365" t="s">
        <v>7498</v>
      </c>
      <c r="AB365" t="s">
        <v>7499</v>
      </c>
      <c r="AC365" t="s">
        <v>7500</v>
      </c>
      <c r="AD365" t="s">
        <v>7501</v>
      </c>
      <c r="AE365" t="s">
        <v>7502</v>
      </c>
      <c r="AF365" t="s">
        <v>74</v>
      </c>
      <c r="AG365">
        <v>41</v>
      </c>
      <c r="AH365">
        <v>16</v>
      </c>
      <c r="AI365">
        <v>20</v>
      </c>
      <c r="AJ365">
        <v>0</v>
      </c>
      <c r="AK365">
        <v>26</v>
      </c>
      <c r="AL365" t="s">
        <v>574</v>
      </c>
      <c r="AM365" t="s">
        <v>575</v>
      </c>
      <c r="AN365" t="s">
        <v>576</v>
      </c>
      <c r="AO365" t="s">
        <v>3646</v>
      </c>
      <c r="AP365" t="s">
        <v>3647</v>
      </c>
      <c r="AQ365" t="s">
        <v>74</v>
      </c>
      <c r="AR365" t="s">
        <v>3648</v>
      </c>
      <c r="AS365" t="s">
        <v>3649</v>
      </c>
      <c r="AT365" t="s">
        <v>7235</v>
      </c>
      <c r="AU365">
        <v>2018</v>
      </c>
      <c r="AV365">
        <v>123</v>
      </c>
      <c r="AW365">
        <v>4</v>
      </c>
      <c r="AX365" t="s">
        <v>74</v>
      </c>
      <c r="AY365" t="s">
        <v>74</v>
      </c>
      <c r="AZ365" t="s">
        <v>74</v>
      </c>
      <c r="BA365" t="s">
        <v>74</v>
      </c>
      <c r="BB365">
        <v>837</v>
      </c>
      <c r="BC365">
        <v>850</v>
      </c>
      <c r="BD365" t="s">
        <v>74</v>
      </c>
      <c r="BE365" t="s">
        <v>7503</v>
      </c>
      <c r="BF365" t="str">
        <f>HYPERLINK("http://dx.doi.org/10.1002/2017JF004409","http://dx.doi.org/10.1002/2017JF004409")</f>
        <v>http://dx.doi.org/10.1002/2017JF004409</v>
      </c>
      <c r="BG365" t="s">
        <v>74</v>
      </c>
      <c r="BH365" t="s">
        <v>74</v>
      </c>
      <c r="BI365">
        <v>14</v>
      </c>
      <c r="BJ365" t="s">
        <v>1243</v>
      </c>
      <c r="BK365" t="s">
        <v>101</v>
      </c>
      <c r="BL365" t="s">
        <v>1181</v>
      </c>
      <c r="BM365" t="s">
        <v>7504</v>
      </c>
      <c r="BN365">
        <v>32601580</v>
      </c>
      <c r="BO365" t="s">
        <v>1111</v>
      </c>
      <c r="BP365" t="s">
        <v>74</v>
      </c>
      <c r="BQ365" t="s">
        <v>74</v>
      </c>
      <c r="BR365" t="s">
        <v>105</v>
      </c>
      <c r="BS365" t="s">
        <v>7505</v>
      </c>
      <c r="BT365" t="str">
        <f>HYPERLINK("https%3A%2F%2Fwww.webofscience.com%2Fwos%2Fwoscc%2Ffull-record%2FWOS:000432012800012","View Full Record in Web of Science")</f>
        <v>View Full Record in Web of Science</v>
      </c>
    </row>
    <row r="366" spans="1:72" x14ac:dyDescent="0.15">
      <c r="A366" t="s">
        <v>72</v>
      </c>
      <c r="B366" t="s">
        <v>7506</v>
      </c>
      <c r="C366" t="s">
        <v>74</v>
      </c>
      <c r="D366" t="s">
        <v>74</v>
      </c>
      <c r="E366" t="s">
        <v>74</v>
      </c>
      <c r="F366" t="s">
        <v>7507</v>
      </c>
      <c r="G366" t="s">
        <v>74</v>
      </c>
      <c r="H366" t="s">
        <v>74</v>
      </c>
      <c r="I366" t="s">
        <v>7508</v>
      </c>
      <c r="J366" t="s">
        <v>3656</v>
      </c>
      <c r="K366" t="s">
        <v>74</v>
      </c>
      <c r="L366" t="s">
        <v>74</v>
      </c>
      <c r="M366" t="s">
        <v>78</v>
      </c>
      <c r="N366" t="s">
        <v>79</v>
      </c>
      <c r="O366" t="s">
        <v>74</v>
      </c>
      <c r="P366" t="s">
        <v>74</v>
      </c>
      <c r="Q366" t="s">
        <v>74</v>
      </c>
      <c r="R366" t="s">
        <v>74</v>
      </c>
      <c r="S366" t="s">
        <v>74</v>
      </c>
      <c r="T366" t="s">
        <v>7509</v>
      </c>
      <c r="U366" t="s">
        <v>7510</v>
      </c>
      <c r="V366" t="s">
        <v>7511</v>
      </c>
      <c r="W366" t="s">
        <v>7512</v>
      </c>
      <c r="X366" t="s">
        <v>7513</v>
      </c>
      <c r="Y366" t="s">
        <v>7514</v>
      </c>
      <c r="Z366" t="s">
        <v>7515</v>
      </c>
      <c r="AA366" t="s">
        <v>7516</v>
      </c>
      <c r="AB366" t="s">
        <v>7517</v>
      </c>
      <c r="AC366" t="s">
        <v>7518</v>
      </c>
      <c r="AD366" t="s">
        <v>7519</v>
      </c>
      <c r="AE366" t="s">
        <v>7520</v>
      </c>
      <c r="AF366" t="s">
        <v>74</v>
      </c>
      <c r="AG366">
        <v>51</v>
      </c>
      <c r="AH366">
        <v>8</v>
      </c>
      <c r="AI366">
        <v>8</v>
      </c>
      <c r="AJ366">
        <v>0</v>
      </c>
      <c r="AK366">
        <v>9</v>
      </c>
      <c r="AL366" t="s">
        <v>574</v>
      </c>
      <c r="AM366" t="s">
        <v>575</v>
      </c>
      <c r="AN366" t="s">
        <v>576</v>
      </c>
      <c r="AO366" t="s">
        <v>3669</v>
      </c>
      <c r="AP366" t="s">
        <v>3670</v>
      </c>
      <c r="AQ366" t="s">
        <v>74</v>
      </c>
      <c r="AR366" t="s">
        <v>3671</v>
      </c>
      <c r="AS366" t="s">
        <v>3672</v>
      </c>
      <c r="AT366" t="s">
        <v>7235</v>
      </c>
      <c r="AU366">
        <v>2018</v>
      </c>
      <c r="AV366">
        <v>123</v>
      </c>
      <c r="AW366">
        <v>4</v>
      </c>
      <c r="AX366" t="s">
        <v>74</v>
      </c>
      <c r="AY366" t="s">
        <v>74</v>
      </c>
      <c r="AZ366" t="s">
        <v>74</v>
      </c>
      <c r="BA366" t="s">
        <v>74</v>
      </c>
      <c r="BB366">
        <v>2332</v>
      </c>
      <c r="BC366">
        <v>2352</v>
      </c>
      <c r="BD366" t="s">
        <v>74</v>
      </c>
      <c r="BE366" t="s">
        <v>7521</v>
      </c>
      <c r="BF366" t="str">
        <f>HYPERLINK("http://dx.doi.org/10.1002/2017JC013698","http://dx.doi.org/10.1002/2017JC013698")</f>
        <v>http://dx.doi.org/10.1002/2017JC013698</v>
      </c>
      <c r="BG366" t="s">
        <v>74</v>
      </c>
      <c r="BH366" t="s">
        <v>74</v>
      </c>
      <c r="BI366">
        <v>21</v>
      </c>
      <c r="BJ366" t="s">
        <v>364</v>
      </c>
      <c r="BK366" t="s">
        <v>101</v>
      </c>
      <c r="BL366" t="s">
        <v>364</v>
      </c>
      <c r="BM366" t="s">
        <v>7522</v>
      </c>
      <c r="BN366" t="s">
        <v>74</v>
      </c>
      <c r="BO366" t="s">
        <v>162</v>
      </c>
      <c r="BP366" t="s">
        <v>74</v>
      </c>
      <c r="BQ366" t="s">
        <v>74</v>
      </c>
      <c r="BR366" t="s">
        <v>105</v>
      </c>
      <c r="BS366" t="s">
        <v>7523</v>
      </c>
      <c r="BT366" t="str">
        <f>HYPERLINK("https%3A%2F%2Fwww.webofscience.com%2Fwos%2Fwoscc%2Ffull-record%2FWOS:000434131900002","View Full Record in Web of Science")</f>
        <v>View Full Record in Web of Science</v>
      </c>
    </row>
    <row r="367" spans="1:72" x14ac:dyDescent="0.15">
      <c r="A367" t="s">
        <v>72</v>
      </c>
      <c r="B367" t="s">
        <v>7524</v>
      </c>
      <c r="C367" t="s">
        <v>74</v>
      </c>
      <c r="D367" t="s">
        <v>74</v>
      </c>
      <c r="E367" t="s">
        <v>74</v>
      </c>
      <c r="F367" t="s">
        <v>7525</v>
      </c>
      <c r="G367" t="s">
        <v>74</v>
      </c>
      <c r="H367" t="s">
        <v>74</v>
      </c>
      <c r="I367" t="s">
        <v>7526</v>
      </c>
      <c r="J367" t="s">
        <v>7527</v>
      </c>
      <c r="K367" t="s">
        <v>74</v>
      </c>
      <c r="L367" t="s">
        <v>74</v>
      </c>
      <c r="M367" t="s">
        <v>78</v>
      </c>
      <c r="N367" t="s">
        <v>79</v>
      </c>
      <c r="O367" t="s">
        <v>74</v>
      </c>
      <c r="P367" t="s">
        <v>74</v>
      </c>
      <c r="Q367" t="s">
        <v>74</v>
      </c>
      <c r="R367" t="s">
        <v>74</v>
      </c>
      <c r="S367" t="s">
        <v>74</v>
      </c>
      <c r="T367" t="s">
        <v>7528</v>
      </c>
      <c r="U367" t="s">
        <v>7529</v>
      </c>
      <c r="V367" t="s">
        <v>7530</v>
      </c>
      <c r="W367" t="s">
        <v>7531</v>
      </c>
      <c r="X367" t="s">
        <v>7532</v>
      </c>
      <c r="Y367" t="s">
        <v>7533</v>
      </c>
      <c r="Z367" t="s">
        <v>7534</v>
      </c>
      <c r="AA367" t="s">
        <v>7535</v>
      </c>
      <c r="AB367" t="s">
        <v>7536</v>
      </c>
      <c r="AC367" t="s">
        <v>7537</v>
      </c>
      <c r="AD367" t="s">
        <v>7538</v>
      </c>
      <c r="AE367" t="s">
        <v>7539</v>
      </c>
      <c r="AF367" t="s">
        <v>74</v>
      </c>
      <c r="AG367">
        <v>47</v>
      </c>
      <c r="AH367">
        <v>15</v>
      </c>
      <c r="AI367">
        <v>15</v>
      </c>
      <c r="AJ367">
        <v>2</v>
      </c>
      <c r="AK367">
        <v>11</v>
      </c>
      <c r="AL367" t="s">
        <v>372</v>
      </c>
      <c r="AM367" t="s">
        <v>4100</v>
      </c>
      <c r="AN367" t="s">
        <v>7256</v>
      </c>
      <c r="AO367" t="s">
        <v>7540</v>
      </c>
      <c r="AP367" t="s">
        <v>7541</v>
      </c>
      <c r="AQ367" t="s">
        <v>74</v>
      </c>
      <c r="AR367" t="s">
        <v>7542</v>
      </c>
      <c r="AS367" t="s">
        <v>7543</v>
      </c>
      <c r="AT367" t="s">
        <v>7235</v>
      </c>
      <c r="AU367">
        <v>2018</v>
      </c>
      <c r="AV367">
        <v>64</v>
      </c>
      <c r="AW367">
        <v>244</v>
      </c>
      <c r="AX367" t="s">
        <v>74</v>
      </c>
      <c r="AY367" t="s">
        <v>74</v>
      </c>
      <c r="AZ367" t="s">
        <v>74</v>
      </c>
      <c r="BA367" t="s">
        <v>74</v>
      </c>
      <c r="BB367">
        <v>333</v>
      </c>
      <c r="BC367">
        <v>342</v>
      </c>
      <c r="BD367" t="s">
        <v>74</v>
      </c>
      <c r="BE367" t="s">
        <v>7544</v>
      </c>
      <c r="BF367" t="str">
        <f>HYPERLINK("http://dx.doi.org/10.1017/jog.2018.24","http://dx.doi.org/10.1017/jog.2018.24")</f>
        <v>http://dx.doi.org/10.1017/jog.2018.24</v>
      </c>
      <c r="BG367" t="s">
        <v>74</v>
      </c>
      <c r="BH367" t="s">
        <v>74</v>
      </c>
      <c r="BI367">
        <v>10</v>
      </c>
      <c r="BJ367" t="s">
        <v>338</v>
      </c>
      <c r="BK367" t="s">
        <v>101</v>
      </c>
      <c r="BL367" t="s">
        <v>339</v>
      </c>
      <c r="BM367" t="s">
        <v>7545</v>
      </c>
      <c r="BN367" t="s">
        <v>74</v>
      </c>
      <c r="BO367" t="s">
        <v>1593</v>
      </c>
      <c r="BP367" t="s">
        <v>74</v>
      </c>
      <c r="BQ367" t="s">
        <v>74</v>
      </c>
      <c r="BR367" t="s">
        <v>105</v>
      </c>
      <c r="BS367" t="s">
        <v>7546</v>
      </c>
      <c r="BT367" t="str">
        <f>HYPERLINK("https%3A%2F%2Fwww.webofscience.com%2Fwos%2Fwoscc%2Ffull-record%2FWOS:000430422000014","View Full Record in Web of Science")</f>
        <v>View Full Record in Web of Science</v>
      </c>
    </row>
    <row r="368" spans="1:72" x14ac:dyDescent="0.15">
      <c r="A368" t="s">
        <v>72</v>
      </c>
      <c r="B368" t="s">
        <v>7547</v>
      </c>
      <c r="C368" t="s">
        <v>74</v>
      </c>
      <c r="D368" t="s">
        <v>74</v>
      </c>
      <c r="E368" t="s">
        <v>74</v>
      </c>
      <c r="F368" t="s">
        <v>7548</v>
      </c>
      <c r="G368" t="s">
        <v>74</v>
      </c>
      <c r="H368" t="s">
        <v>74</v>
      </c>
      <c r="I368" t="s">
        <v>7549</v>
      </c>
      <c r="J368" t="s">
        <v>7550</v>
      </c>
      <c r="K368" t="s">
        <v>74</v>
      </c>
      <c r="L368" t="s">
        <v>74</v>
      </c>
      <c r="M368" t="s">
        <v>78</v>
      </c>
      <c r="N368" t="s">
        <v>79</v>
      </c>
      <c r="O368" t="s">
        <v>74</v>
      </c>
      <c r="P368" t="s">
        <v>74</v>
      </c>
      <c r="Q368" t="s">
        <v>74</v>
      </c>
      <c r="R368" t="s">
        <v>74</v>
      </c>
      <c r="S368" t="s">
        <v>74</v>
      </c>
      <c r="T368" t="s">
        <v>7551</v>
      </c>
      <c r="U368" t="s">
        <v>7552</v>
      </c>
      <c r="V368" t="s">
        <v>7553</v>
      </c>
      <c r="W368" t="s">
        <v>7554</v>
      </c>
      <c r="X368" t="s">
        <v>7555</v>
      </c>
      <c r="Y368" t="s">
        <v>7556</v>
      </c>
      <c r="Z368" t="s">
        <v>7557</v>
      </c>
      <c r="AA368" t="s">
        <v>7558</v>
      </c>
      <c r="AB368" t="s">
        <v>7559</v>
      </c>
      <c r="AC368" t="s">
        <v>7560</v>
      </c>
      <c r="AD368" t="s">
        <v>7561</v>
      </c>
      <c r="AE368" t="s">
        <v>7562</v>
      </c>
      <c r="AF368" t="s">
        <v>74</v>
      </c>
      <c r="AG368">
        <v>30</v>
      </c>
      <c r="AH368">
        <v>35</v>
      </c>
      <c r="AI368">
        <v>40</v>
      </c>
      <c r="AJ368">
        <v>0</v>
      </c>
      <c r="AK368">
        <v>8</v>
      </c>
      <c r="AL368" t="s">
        <v>91</v>
      </c>
      <c r="AM368" t="s">
        <v>1468</v>
      </c>
      <c r="AN368" t="s">
        <v>1469</v>
      </c>
      <c r="AO368" t="s">
        <v>7563</v>
      </c>
      <c r="AP368" t="s">
        <v>7564</v>
      </c>
      <c r="AQ368" t="s">
        <v>74</v>
      </c>
      <c r="AR368" t="s">
        <v>7565</v>
      </c>
      <c r="AS368" t="s">
        <v>7566</v>
      </c>
      <c r="AT368" t="s">
        <v>7235</v>
      </c>
      <c r="AU368">
        <v>2018</v>
      </c>
      <c r="AV368">
        <v>74</v>
      </c>
      <c r="AW368">
        <v>2</v>
      </c>
      <c r="AX368" t="s">
        <v>74</v>
      </c>
      <c r="AY368" t="s">
        <v>74</v>
      </c>
      <c r="AZ368" t="s">
        <v>74</v>
      </c>
      <c r="BA368" t="s">
        <v>74</v>
      </c>
      <c r="BB368">
        <v>147</v>
      </c>
      <c r="BC368">
        <v>167</v>
      </c>
      <c r="BD368" t="s">
        <v>74</v>
      </c>
      <c r="BE368" t="s">
        <v>7567</v>
      </c>
      <c r="BF368" t="str">
        <f>HYPERLINK("http://dx.doi.org/10.1007/s10872-017-0445-x","http://dx.doi.org/10.1007/s10872-017-0445-x")</f>
        <v>http://dx.doi.org/10.1007/s10872-017-0445-x</v>
      </c>
      <c r="BG368" t="s">
        <v>74</v>
      </c>
      <c r="BH368" t="s">
        <v>74</v>
      </c>
      <c r="BI368">
        <v>21</v>
      </c>
      <c r="BJ368" t="s">
        <v>364</v>
      </c>
      <c r="BK368" t="s">
        <v>101</v>
      </c>
      <c r="BL368" t="s">
        <v>364</v>
      </c>
      <c r="BM368" t="s">
        <v>7568</v>
      </c>
      <c r="BN368" t="s">
        <v>74</v>
      </c>
      <c r="BO368" t="s">
        <v>162</v>
      </c>
      <c r="BP368" t="s">
        <v>74</v>
      </c>
      <c r="BQ368" t="s">
        <v>74</v>
      </c>
      <c r="BR368" t="s">
        <v>105</v>
      </c>
      <c r="BS368" t="s">
        <v>7569</v>
      </c>
      <c r="BT368" t="str">
        <f>HYPERLINK("https%3A%2F%2Fwww.webofscience.com%2Fwos%2Fwoscc%2Ffull-record%2FWOS:000426283100002","View Full Record in Web of Science")</f>
        <v>View Full Record in Web of Science</v>
      </c>
    </row>
    <row r="369" spans="1:72" x14ac:dyDescent="0.15">
      <c r="A369" t="s">
        <v>72</v>
      </c>
      <c r="B369" t="s">
        <v>7570</v>
      </c>
      <c r="C369" t="s">
        <v>74</v>
      </c>
      <c r="D369" t="s">
        <v>74</v>
      </c>
      <c r="E369" t="s">
        <v>74</v>
      </c>
      <c r="F369" t="s">
        <v>7571</v>
      </c>
      <c r="G369" t="s">
        <v>74</v>
      </c>
      <c r="H369" t="s">
        <v>74</v>
      </c>
      <c r="I369" t="s">
        <v>7572</v>
      </c>
      <c r="J369" t="s">
        <v>7573</v>
      </c>
      <c r="K369" t="s">
        <v>74</v>
      </c>
      <c r="L369" t="s">
        <v>74</v>
      </c>
      <c r="M369" t="s">
        <v>78</v>
      </c>
      <c r="N369" t="s">
        <v>79</v>
      </c>
      <c r="O369" t="s">
        <v>74</v>
      </c>
      <c r="P369" t="s">
        <v>74</v>
      </c>
      <c r="Q369" t="s">
        <v>74</v>
      </c>
      <c r="R369" t="s">
        <v>74</v>
      </c>
      <c r="S369" t="s">
        <v>74</v>
      </c>
      <c r="T369" t="s">
        <v>7574</v>
      </c>
      <c r="U369" t="s">
        <v>7575</v>
      </c>
      <c r="V369" t="s">
        <v>7576</v>
      </c>
      <c r="W369" t="s">
        <v>7577</v>
      </c>
      <c r="X369" t="s">
        <v>7578</v>
      </c>
      <c r="Y369" t="s">
        <v>7579</v>
      </c>
      <c r="Z369" t="s">
        <v>7580</v>
      </c>
      <c r="AA369" t="s">
        <v>7581</v>
      </c>
      <c r="AB369" t="s">
        <v>7582</v>
      </c>
      <c r="AC369" t="s">
        <v>7583</v>
      </c>
      <c r="AD369" t="s">
        <v>7584</v>
      </c>
      <c r="AE369" t="s">
        <v>7585</v>
      </c>
      <c r="AF369" t="s">
        <v>74</v>
      </c>
      <c r="AG369">
        <v>23</v>
      </c>
      <c r="AH369">
        <v>15</v>
      </c>
      <c r="AI369">
        <v>19</v>
      </c>
      <c r="AJ369">
        <v>3</v>
      </c>
      <c r="AK369">
        <v>13</v>
      </c>
      <c r="AL369" t="s">
        <v>627</v>
      </c>
      <c r="AM369" t="s">
        <v>628</v>
      </c>
      <c r="AN369" t="s">
        <v>629</v>
      </c>
      <c r="AO369" t="s">
        <v>7586</v>
      </c>
      <c r="AP369" t="s">
        <v>74</v>
      </c>
      <c r="AQ369" t="s">
        <v>74</v>
      </c>
      <c r="AR369" t="s">
        <v>7587</v>
      </c>
      <c r="AS369" t="s">
        <v>7588</v>
      </c>
      <c r="AT369" t="s">
        <v>7235</v>
      </c>
      <c r="AU369">
        <v>2018</v>
      </c>
      <c r="AV369">
        <v>16</v>
      </c>
      <c r="AW369">
        <v>4</v>
      </c>
      <c r="AX369" t="s">
        <v>74</v>
      </c>
      <c r="AY369" t="s">
        <v>74</v>
      </c>
      <c r="AZ369" t="s">
        <v>74</v>
      </c>
      <c r="BA369" t="s">
        <v>74</v>
      </c>
      <c r="BB369" t="s">
        <v>74</v>
      </c>
      <c r="BC369" t="s">
        <v>74</v>
      </c>
      <c r="BD369">
        <v>130</v>
      </c>
      <c r="BE369" t="s">
        <v>7589</v>
      </c>
      <c r="BF369" t="str">
        <f>HYPERLINK("http://dx.doi.org/10.3390/md16040130","http://dx.doi.org/10.3390/md16040130")</f>
        <v>http://dx.doi.org/10.3390/md16040130</v>
      </c>
      <c r="BG369" t="s">
        <v>74</v>
      </c>
      <c r="BH369" t="s">
        <v>74</v>
      </c>
      <c r="BI369">
        <v>10</v>
      </c>
      <c r="BJ369" t="s">
        <v>7590</v>
      </c>
      <c r="BK369" t="s">
        <v>101</v>
      </c>
      <c r="BL369" t="s">
        <v>7591</v>
      </c>
      <c r="BM369" t="s">
        <v>7592</v>
      </c>
      <c r="BN369">
        <v>29659509</v>
      </c>
      <c r="BO369" t="s">
        <v>2293</v>
      </c>
      <c r="BP369" t="s">
        <v>74</v>
      </c>
      <c r="BQ369" t="s">
        <v>74</v>
      </c>
      <c r="BR369" t="s">
        <v>105</v>
      </c>
      <c r="BS369" t="s">
        <v>7593</v>
      </c>
      <c r="BT369" t="str">
        <f>HYPERLINK("https%3A%2F%2Fwww.webofscience.com%2Fwos%2Fwoscc%2Ffull-record%2FWOS:000431068000032","View Full Record in Web of Science")</f>
        <v>View Full Record in Web of Science</v>
      </c>
    </row>
    <row r="370" spans="1:72" x14ac:dyDescent="0.15">
      <c r="A370" t="s">
        <v>72</v>
      </c>
      <c r="B370" t="s">
        <v>7594</v>
      </c>
      <c r="C370" t="s">
        <v>74</v>
      </c>
      <c r="D370" t="s">
        <v>74</v>
      </c>
      <c r="E370" t="s">
        <v>74</v>
      </c>
      <c r="F370" t="s">
        <v>7595</v>
      </c>
      <c r="G370" t="s">
        <v>74</v>
      </c>
      <c r="H370" t="s">
        <v>74</v>
      </c>
      <c r="I370" t="s">
        <v>7596</v>
      </c>
      <c r="J370" t="s">
        <v>7597</v>
      </c>
      <c r="K370" t="s">
        <v>74</v>
      </c>
      <c r="L370" t="s">
        <v>74</v>
      </c>
      <c r="M370" t="s">
        <v>78</v>
      </c>
      <c r="N370" t="s">
        <v>79</v>
      </c>
      <c r="O370" t="s">
        <v>74</v>
      </c>
      <c r="P370" t="s">
        <v>74</v>
      </c>
      <c r="Q370" t="s">
        <v>74</v>
      </c>
      <c r="R370" t="s">
        <v>74</v>
      </c>
      <c r="S370" t="s">
        <v>74</v>
      </c>
      <c r="T370" t="s">
        <v>7598</v>
      </c>
      <c r="U370" t="s">
        <v>7599</v>
      </c>
      <c r="V370" t="s">
        <v>7600</v>
      </c>
      <c r="W370" t="s">
        <v>7601</v>
      </c>
      <c r="X370" t="s">
        <v>7602</v>
      </c>
      <c r="Y370" t="s">
        <v>7603</v>
      </c>
      <c r="Z370" t="s">
        <v>7604</v>
      </c>
      <c r="AA370" t="s">
        <v>7605</v>
      </c>
      <c r="AB370" t="s">
        <v>7606</v>
      </c>
      <c r="AC370" t="s">
        <v>7607</v>
      </c>
      <c r="AD370" t="s">
        <v>7607</v>
      </c>
      <c r="AE370" t="s">
        <v>7608</v>
      </c>
      <c r="AF370" t="s">
        <v>74</v>
      </c>
      <c r="AG370">
        <v>44</v>
      </c>
      <c r="AH370">
        <v>21</v>
      </c>
      <c r="AI370">
        <v>21</v>
      </c>
      <c r="AJ370">
        <v>0</v>
      </c>
      <c r="AK370">
        <v>15</v>
      </c>
      <c r="AL370" t="s">
        <v>179</v>
      </c>
      <c r="AM370" t="s">
        <v>180</v>
      </c>
      <c r="AN370" t="s">
        <v>181</v>
      </c>
      <c r="AO370" t="s">
        <v>7609</v>
      </c>
      <c r="AP370" t="s">
        <v>7610</v>
      </c>
      <c r="AQ370" t="s">
        <v>74</v>
      </c>
      <c r="AR370" t="s">
        <v>7611</v>
      </c>
      <c r="AS370" t="s">
        <v>7612</v>
      </c>
      <c r="AT370" t="s">
        <v>7235</v>
      </c>
      <c r="AU370">
        <v>2018</v>
      </c>
      <c r="AV370">
        <v>34</v>
      </c>
      <c r="AW370">
        <v>2</v>
      </c>
      <c r="AX370" t="s">
        <v>74</v>
      </c>
      <c r="AY370" t="s">
        <v>74</v>
      </c>
      <c r="AZ370" t="s">
        <v>74</v>
      </c>
      <c r="BA370" t="s">
        <v>74</v>
      </c>
      <c r="BB370">
        <v>294</v>
      </c>
      <c r="BC370">
        <v>310</v>
      </c>
      <c r="BD370" t="s">
        <v>74</v>
      </c>
      <c r="BE370" t="s">
        <v>7613</v>
      </c>
      <c r="BF370" t="str">
        <f>HYPERLINK("http://dx.doi.org/10.1111/mms.12456","http://dx.doi.org/10.1111/mms.12456")</f>
        <v>http://dx.doi.org/10.1111/mms.12456</v>
      </c>
      <c r="BG370" t="s">
        <v>74</v>
      </c>
      <c r="BH370" t="s">
        <v>74</v>
      </c>
      <c r="BI370">
        <v>17</v>
      </c>
      <c r="BJ370" t="s">
        <v>4680</v>
      </c>
      <c r="BK370" t="s">
        <v>101</v>
      </c>
      <c r="BL370" t="s">
        <v>4680</v>
      </c>
      <c r="BM370" t="s">
        <v>7614</v>
      </c>
      <c r="BN370" t="s">
        <v>74</v>
      </c>
      <c r="BO370" t="s">
        <v>74</v>
      </c>
      <c r="BP370" t="s">
        <v>74</v>
      </c>
      <c r="BQ370" t="s">
        <v>74</v>
      </c>
      <c r="BR370" t="s">
        <v>105</v>
      </c>
      <c r="BS370" t="s">
        <v>7615</v>
      </c>
      <c r="BT370" t="str">
        <f>HYPERLINK("https%3A%2F%2Fwww.webofscience.com%2Fwos%2Fwoscc%2Ffull-record%2FWOS:000430918200002","View Full Record in Web of Science")</f>
        <v>View Full Record in Web of Science</v>
      </c>
    </row>
    <row r="371" spans="1:72" x14ac:dyDescent="0.15">
      <c r="A371" t="s">
        <v>72</v>
      </c>
      <c r="B371" t="s">
        <v>7616</v>
      </c>
      <c r="C371" t="s">
        <v>74</v>
      </c>
      <c r="D371" t="s">
        <v>74</v>
      </c>
      <c r="E371" t="s">
        <v>74</v>
      </c>
      <c r="F371" t="s">
        <v>7617</v>
      </c>
      <c r="G371" t="s">
        <v>74</v>
      </c>
      <c r="H371" t="s">
        <v>74</v>
      </c>
      <c r="I371" t="s">
        <v>7618</v>
      </c>
      <c r="J371" t="s">
        <v>4306</v>
      </c>
      <c r="K371" t="s">
        <v>74</v>
      </c>
      <c r="L371" t="s">
        <v>74</v>
      </c>
      <c r="M371" t="s">
        <v>78</v>
      </c>
      <c r="N371" t="s">
        <v>79</v>
      </c>
      <c r="O371" t="s">
        <v>74</v>
      </c>
      <c r="P371" t="s">
        <v>74</v>
      </c>
      <c r="Q371" t="s">
        <v>74</v>
      </c>
      <c r="R371" t="s">
        <v>74</v>
      </c>
      <c r="S371" t="s">
        <v>74</v>
      </c>
      <c r="T371" t="s">
        <v>7619</v>
      </c>
      <c r="U371" t="s">
        <v>7620</v>
      </c>
      <c r="V371" t="s">
        <v>7621</v>
      </c>
      <c r="W371" t="s">
        <v>7622</v>
      </c>
      <c r="X371" t="s">
        <v>7623</v>
      </c>
      <c r="Y371" t="s">
        <v>7624</v>
      </c>
      <c r="Z371" t="s">
        <v>7625</v>
      </c>
      <c r="AA371" t="s">
        <v>7626</v>
      </c>
      <c r="AB371" t="s">
        <v>7627</v>
      </c>
      <c r="AC371" t="s">
        <v>7628</v>
      </c>
      <c r="AD371" t="s">
        <v>7629</v>
      </c>
      <c r="AE371" t="s">
        <v>7630</v>
      </c>
      <c r="AF371" t="s">
        <v>74</v>
      </c>
      <c r="AG371">
        <v>102</v>
      </c>
      <c r="AH371">
        <v>13</v>
      </c>
      <c r="AI371">
        <v>14</v>
      </c>
      <c r="AJ371">
        <v>1</v>
      </c>
      <c r="AK371">
        <v>16</v>
      </c>
      <c r="AL371" t="s">
        <v>914</v>
      </c>
      <c r="AM371" t="s">
        <v>452</v>
      </c>
      <c r="AN371" t="s">
        <v>915</v>
      </c>
      <c r="AO371" t="s">
        <v>4318</v>
      </c>
      <c r="AP371" t="s">
        <v>4319</v>
      </c>
      <c r="AQ371" t="s">
        <v>74</v>
      </c>
      <c r="AR371" t="s">
        <v>4320</v>
      </c>
      <c r="AS371" t="s">
        <v>4321</v>
      </c>
      <c r="AT371" t="s">
        <v>7235</v>
      </c>
      <c r="AU371">
        <v>2018</v>
      </c>
      <c r="AV371">
        <v>140</v>
      </c>
      <c r="AW371" t="s">
        <v>74</v>
      </c>
      <c r="AX371" t="s">
        <v>74</v>
      </c>
      <c r="AY371" t="s">
        <v>74</v>
      </c>
      <c r="AZ371" t="s">
        <v>74</v>
      </c>
      <c r="BA371" t="s">
        <v>74</v>
      </c>
      <c r="BB371">
        <v>56</v>
      </c>
      <c r="BC371">
        <v>68</v>
      </c>
      <c r="BD371" t="s">
        <v>74</v>
      </c>
      <c r="BE371" t="s">
        <v>7631</v>
      </c>
      <c r="BF371" t="str">
        <f>HYPERLINK("http://dx.doi.org/10.1016/j.marmicro.2017.12.002","http://dx.doi.org/10.1016/j.marmicro.2017.12.002")</f>
        <v>http://dx.doi.org/10.1016/j.marmicro.2017.12.002</v>
      </c>
      <c r="BG371" t="s">
        <v>74</v>
      </c>
      <c r="BH371" t="s">
        <v>74</v>
      </c>
      <c r="BI371">
        <v>13</v>
      </c>
      <c r="BJ371" t="s">
        <v>4323</v>
      </c>
      <c r="BK371" t="s">
        <v>101</v>
      </c>
      <c r="BL371" t="s">
        <v>4323</v>
      </c>
      <c r="BM371" t="s">
        <v>7632</v>
      </c>
      <c r="BN371" t="s">
        <v>74</v>
      </c>
      <c r="BO371" t="s">
        <v>1085</v>
      </c>
      <c r="BP371" t="s">
        <v>74</v>
      </c>
      <c r="BQ371" t="s">
        <v>74</v>
      </c>
      <c r="BR371" t="s">
        <v>105</v>
      </c>
      <c r="BS371" t="s">
        <v>7633</v>
      </c>
      <c r="BT371" t="str">
        <f>HYPERLINK("https%3A%2F%2Fwww.webofscience.com%2Fwos%2Fwoscc%2Ffull-record%2FWOS:000430032200005","View Full Record in Web of Science")</f>
        <v>View Full Record in Web of Science</v>
      </c>
    </row>
    <row r="372" spans="1:72" x14ac:dyDescent="0.15">
      <c r="A372" t="s">
        <v>72</v>
      </c>
      <c r="B372" t="s">
        <v>7634</v>
      </c>
      <c r="C372" t="s">
        <v>74</v>
      </c>
      <c r="D372" t="s">
        <v>74</v>
      </c>
      <c r="E372" t="s">
        <v>74</v>
      </c>
      <c r="F372" t="s">
        <v>7635</v>
      </c>
      <c r="G372" t="s">
        <v>74</v>
      </c>
      <c r="H372" t="s">
        <v>74</v>
      </c>
      <c r="I372" t="s">
        <v>7636</v>
      </c>
      <c r="J372" t="s">
        <v>4306</v>
      </c>
      <c r="K372" t="s">
        <v>74</v>
      </c>
      <c r="L372" t="s">
        <v>74</v>
      </c>
      <c r="M372" t="s">
        <v>78</v>
      </c>
      <c r="N372" t="s">
        <v>79</v>
      </c>
      <c r="O372" t="s">
        <v>74</v>
      </c>
      <c r="P372" t="s">
        <v>74</v>
      </c>
      <c r="Q372" t="s">
        <v>74</v>
      </c>
      <c r="R372" t="s">
        <v>74</v>
      </c>
      <c r="S372" t="s">
        <v>74</v>
      </c>
      <c r="T372" t="s">
        <v>7637</v>
      </c>
      <c r="U372" t="s">
        <v>7638</v>
      </c>
      <c r="V372" t="s">
        <v>7639</v>
      </c>
      <c r="W372" t="s">
        <v>7640</v>
      </c>
      <c r="X372" t="s">
        <v>7641</v>
      </c>
      <c r="Y372" t="s">
        <v>7642</v>
      </c>
      <c r="Z372" t="s">
        <v>7643</v>
      </c>
      <c r="AA372" t="s">
        <v>7644</v>
      </c>
      <c r="AB372" t="s">
        <v>7645</v>
      </c>
      <c r="AC372" t="s">
        <v>7646</v>
      </c>
      <c r="AD372" t="s">
        <v>7647</v>
      </c>
      <c r="AE372" t="s">
        <v>7648</v>
      </c>
      <c r="AF372" t="s">
        <v>74</v>
      </c>
      <c r="AG372">
        <v>100</v>
      </c>
      <c r="AH372">
        <v>7</v>
      </c>
      <c r="AI372">
        <v>7</v>
      </c>
      <c r="AJ372">
        <v>0</v>
      </c>
      <c r="AK372">
        <v>10</v>
      </c>
      <c r="AL372" t="s">
        <v>914</v>
      </c>
      <c r="AM372" t="s">
        <v>452</v>
      </c>
      <c r="AN372" t="s">
        <v>915</v>
      </c>
      <c r="AO372" t="s">
        <v>4318</v>
      </c>
      <c r="AP372" t="s">
        <v>4319</v>
      </c>
      <c r="AQ372" t="s">
        <v>74</v>
      </c>
      <c r="AR372" t="s">
        <v>4320</v>
      </c>
      <c r="AS372" t="s">
        <v>4321</v>
      </c>
      <c r="AT372" t="s">
        <v>7235</v>
      </c>
      <c r="AU372">
        <v>2018</v>
      </c>
      <c r="AV372">
        <v>140</v>
      </c>
      <c r="AW372" t="s">
        <v>74</v>
      </c>
      <c r="AX372" t="s">
        <v>74</v>
      </c>
      <c r="AY372" t="s">
        <v>74</v>
      </c>
      <c r="AZ372" t="s">
        <v>74</v>
      </c>
      <c r="BA372" t="s">
        <v>74</v>
      </c>
      <c r="BB372">
        <v>81</v>
      </c>
      <c r="BC372">
        <v>94</v>
      </c>
      <c r="BD372" t="s">
        <v>74</v>
      </c>
      <c r="BE372" t="s">
        <v>7649</v>
      </c>
      <c r="BF372" t="str">
        <f>HYPERLINK("http://dx.doi.org/10.1016/j.marmicro.2018.02.004","http://dx.doi.org/10.1016/j.marmicro.2018.02.004")</f>
        <v>http://dx.doi.org/10.1016/j.marmicro.2018.02.004</v>
      </c>
      <c r="BG372" t="s">
        <v>74</v>
      </c>
      <c r="BH372" t="s">
        <v>74</v>
      </c>
      <c r="BI372">
        <v>14</v>
      </c>
      <c r="BJ372" t="s">
        <v>4323</v>
      </c>
      <c r="BK372" t="s">
        <v>101</v>
      </c>
      <c r="BL372" t="s">
        <v>4323</v>
      </c>
      <c r="BM372" t="s">
        <v>7632</v>
      </c>
      <c r="BN372" t="s">
        <v>74</v>
      </c>
      <c r="BO372" t="s">
        <v>341</v>
      </c>
      <c r="BP372" t="s">
        <v>74</v>
      </c>
      <c r="BQ372" t="s">
        <v>74</v>
      </c>
      <c r="BR372" t="s">
        <v>105</v>
      </c>
      <c r="BS372" t="s">
        <v>7650</v>
      </c>
      <c r="BT372" t="str">
        <f>HYPERLINK("https%3A%2F%2Fwww.webofscience.com%2Fwos%2Fwoscc%2Ffull-record%2FWOS:000430032200007","View Full Record in Web of Science")</f>
        <v>View Full Record in Web of Science</v>
      </c>
    </row>
    <row r="373" spans="1:72" x14ac:dyDescent="0.15">
      <c r="A373" t="s">
        <v>72</v>
      </c>
      <c r="B373" t="s">
        <v>7651</v>
      </c>
      <c r="C373" t="s">
        <v>74</v>
      </c>
      <c r="D373" t="s">
        <v>74</v>
      </c>
      <c r="E373" t="s">
        <v>74</v>
      </c>
      <c r="F373" t="s">
        <v>7652</v>
      </c>
      <c r="G373" t="s">
        <v>74</v>
      </c>
      <c r="H373" t="s">
        <v>74</v>
      </c>
      <c r="I373" t="s">
        <v>7653</v>
      </c>
      <c r="J373" t="s">
        <v>7654</v>
      </c>
      <c r="K373" t="s">
        <v>74</v>
      </c>
      <c r="L373" t="s">
        <v>74</v>
      </c>
      <c r="M373" t="s">
        <v>78</v>
      </c>
      <c r="N373" t="s">
        <v>79</v>
      </c>
      <c r="O373" t="s">
        <v>74</v>
      </c>
      <c r="P373" t="s">
        <v>74</v>
      </c>
      <c r="Q373" t="s">
        <v>74</v>
      </c>
      <c r="R373" t="s">
        <v>74</v>
      </c>
      <c r="S373" t="s">
        <v>74</v>
      </c>
      <c r="T373" t="s">
        <v>7655</v>
      </c>
      <c r="U373" t="s">
        <v>7656</v>
      </c>
      <c r="V373" t="s">
        <v>7657</v>
      </c>
      <c r="W373" t="s">
        <v>7658</v>
      </c>
      <c r="X373" t="s">
        <v>7659</v>
      </c>
      <c r="Y373" t="s">
        <v>3832</v>
      </c>
      <c r="Z373" t="s">
        <v>3833</v>
      </c>
      <c r="AA373" t="s">
        <v>7660</v>
      </c>
      <c r="AB373" t="s">
        <v>3835</v>
      </c>
      <c r="AC373" t="s">
        <v>3836</v>
      </c>
      <c r="AD373" t="s">
        <v>3837</v>
      </c>
      <c r="AE373" t="s">
        <v>7661</v>
      </c>
      <c r="AF373" t="s">
        <v>74</v>
      </c>
      <c r="AG373">
        <v>22</v>
      </c>
      <c r="AH373">
        <v>32</v>
      </c>
      <c r="AI373">
        <v>35</v>
      </c>
      <c r="AJ373">
        <v>2</v>
      </c>
      <c r="AK373">
        <v>35</v>
      </c>
      <c r="AL373" t="s">
        <v>7662</v>
      </c>
      <c r="AM373" t="s">
        <v>7663</v>
      </c>
      <c r="AN373" t="s">
        <v>7664</v>
      </c>
      <c r="AO373" t="s">
        <v>7665</v>
      </c>
      <c r="AP373" t="s">
        <v>7666</v>
      </c>
      <c r="AQ373" t="s">
        <v>74</v>
      </c>
      <c r="AR373" t="s">
        <v>7667</v>
      </c>
      <c r="AS373" t="s">
        <v>7668</v>
      </c>
      <c r="AT373" t="s">
        <v>7235</v>
      </c>
      <c r="AU373">
        <v>2018</v>
      </c>
      <c r="AV373">
        <v>185</v>
      </c>
      <c r="AW373">
        <v>4</v>
      </c>
      <c r="AX373" t="s">
        <v>74</v>
      </c>
      <c r="AY373" t="s">
        <v>74</v>
      </c>
      <c r="AZ373" t="s">
        <v>74</v>
      </c>
      <c r="BA373" t="s">
        <v>74</v>
      </c>
      <c r="BB373" t="s">
        <v>74</v>
      </c>
      <c r="BC373" t="s">
        <v>74</v>
      </c>
      <c r="BD373">
        <v>212</v>
      </c>
      <c r="BE373" t="s">
        <v>7669</v>
      </c>
      <c r="BF373" t="str">
        <f>HYPERLINK("http://dx.doi.org/10.1007/s00604-018-2723-8","http://dx.doi.org/10.1007/s00604-018-2723-8")</f>
        <v>http://dx.doi.org/10.1007/s00604-018-2723-8</v>
      </c>
      <c r="BG373" t="s">
        <v>74</v>
      </c>
      <c r="BH373" t="s">
        <v>74</v>
      </c>
      <c r="BI373">
        <v>11</v>
      </c>
      <c r="BJ373" t="s">
        <v>6512</v>
      </c>
      <c r="BK373" t="s">
        <v>101</v>
      </c>
      <c r="BL373" t="s">
        <v>2035</v>
      </c>
      <c r="BM373" t="s">
        <v>7670</v>
      </c>
      <c r="BN373">
        <v>29594577</v>
      </c>
      <c r="BO373" t="s">
        <v>74</v>
      </c>
      <c r="BP373" t="s">
        <v>74</v>
      </c>
      <c r="BQ373" t="s">
        <v>74</v>
      </c>
      <c r="BR373" t="s">
        <v>105</v>
      </c>
      <c r="BS373" t="s">
        <v>7671</v>
      </c>
      <c r="BT373" t="str">
        <f>HYPERLINK("https%3A%2F%2Fwww.webofscience.com%2Fwos%2Fwoscc%2Ffull-record%2FWOS:000429381600002","View Full Record in Web of Science")</f>
        <v>View Full Record in Web of Science</v>
      </c>
    </row>
    <row r="374" spans="1:72" x14ac:dyDescent="0.15">
      <c r="A374" t="s">
        <v>72</v>
      </c>
      <c r="B374" t="s">
        <v>7672</v>
      </c>
      <c r="C374" t="s">
        <v>74</v>
      </c>
      <c r="D374" t="s">
        <v>74</v>
      </c>
      <c r="E374" t="s">
        <v>74</v>
      </c>
      <c r="F374" t="s">
        <v>7673</v>
      </c>
      <c r="G374" t="s">
        <v>74</v>
      </c>
      <c r="H374" t="s">
        <v>74</v>
      </c>
      <c r="I374" t="s">
        <v>7674</v>
      </c>
      <c r="J374" t="s">
        <v>7675</v>
      </c>
      <c r="K374" t="s">
        <v>74</v>
      </c>
      <c r="L374" t="s">
        <v>74</v>
      </c>
      <c r="M374" t="s">
        <v>78</v>
      </c>
      <c r="N374" t="s">
        <v>79</v>
      </c>
      <c r="O374" t="s">
        <v>74</v>
      </c>
      <c r="P374" t="s">
        <v>74</v>
      </c>
      <c r="Q374" t="s">
        <v>74</v>
      </c>
      <c r="R374" t="s">
        <v>74</v>
      </c>
      <c r="S374" t="s">
        <v>74</v>
      </c>
      <c r="T374" t="s">
        <v>7676</v>
      </c>
      <c r="U374" t="s">
        <v>7677</v>
      </c>
      <c r="V374" t="s">
        <v>7678</v>
      </c>
      <c r="W374" t="s">
        <v>7679</v>
      </c>
      <c r="X374" t="s">
        <v>7680</v>
      </c>
      <c r="Y374" t="s">
        <v>7681</v>
      </c>
      <c r="Z374" t="s">
        <v>7682</v>
      </c>
      <c r="AA374" t="s">
        <v>7683</v>
      </c>
      <c r="AB374" t="s">
        <v>7684</v>
      </c>
      <c r="AC374" t="s">
        <v>7685</v>
      </c>
      <c r="AD374" t="s">
        <v>7686</v>
      </c>
      <c r="AE374" t="s">
        <v>7687</v>
      </c>
      <c r="AF374" t="s">
        <v>74</v>
      </c>
      <c r="AG374">
        <v>63</v>
      </c>
      <c r="AH374">
        <v>47</v>
      </c>
      <c r="AI374">
        <v>52</v>
      </c>
      <c r="AJ374">
        <v>3</v>
      </c>
      <c r="AK374">
        <v>56</v>
      </c>
      <c r="AL374" t="s">
        <v>2815</v>
      </c>
      <c r="AM374" t="s">
        <v>2816</v>
      </c>
      <c r="AN374" t="s">
        <v>2817</v>
      </c>
      <c r="AO374" t="s">
        <v>7688</v>
      </c>
      <c r="AP374" t="s">
        <v>7689</v>
      </c>
      <c r="AQ374" t="s">
        <v>74</v>
      </c>
      <c r="AR374" t="s">
        <v>7690</v>
      </c>
      <c r="AS374" t="s">
        <v>7691</v>
      </c>
      <c r="AT374" t="s">
        <v>7235</v>
      </c>
      <c r="AU374">
        <v>2018</v>
      </c>
      <c r="AV374">
        <v>121</v>
      </c>
      <c r="AW374" t="s">
        <v>74</v>
      </c>
      <c r="AX374" t="s">
        <v>74</v>
      </c>
      <c r="AY374" t="s">
        <v>74</v>
      </c>
      <c r="AZ374" t="s">
        <v>74</v>
      </c>
      <c r="BA374" t="s">
        <v>74</v>
      </c>
      <c r="BB374">
        <v>166</v>
      </c>
      <c r="BC374">
        <v>173</v>
      </c>
      <c r="BD374" t="s">
        <v>74</v>
      </c>
      <c r="BE374" t="s">
        <v>7692</v>
      </c>
      <c r="BF374" t="str">
        <f>HYPERLINK("http://dx.doi.org/10.1016/j.ympev.2018.01.005","http://dx.doi.org/10.1016/j.ympev.2018.01.005")</f>
        <v>http://dx.doi.org/10.1016/j.ympev.2018.01.005</v>
      </c>
      <c r="BG374" t="s">
        <v>74</v>
      </c>
      <c r="BH374" t="s">
        <v>74</v>
      </c>
      <c r="BI374">
        <v>8</v>
      </c>
      <c r="BJ374" t="s">
        <v>7693</v>
      </c>
      <c r="BK374" t="s">
        <v>101</v>
      </c>
      <c r="BL374" t="s">
        <v>7693</v>
      </c>
      <c r="BM374" t="s">
        <v>7694</v>
      </c>
      <c r="BN374">
        <v>29330139</v>
      </c>
      <c r="BO374" t="s">
        <v>3604</v>
      </c>
      <c r="BP374" t="s">
        <v>74</v>
      </c>
      <c r="BQ374" t="s">
        <v>74</v>
      </c>
      <c r="BR374" t="s">
        <v>105</v>
      </c>
      <c r="BS374" t="s">
        <v>7695</v>
      </c>
      <c r="BT374" t="str">
        <f>HYPERLINK("https%3A%2F%2Fwww.webofscience.com%2Fwos%2Fwoscc%2Ffull-record%2FWOS:000426200800017","View Full Record in Web of Science")</f>
        <v>View Full Record in Web of Science</v>
      </c>
    </row>
    <row r="375" spans="1:72" x14ac:dyDescent="0.15">
      <c r="A375" t="s">
        <v>72</v>
      </c>
      <c r="B375" t="s">
        <v>7696</v>
      </c>
      <c r="C375" t="s">
        <v>74</v>
      </c>
      <c r="D375" t="s">
        <v>74</v>
      </c>
      <c r="E375" t="s">
        <v>74</v>
      </c>
      <c r="F375" t="s">
        <v>7697</v>
      </c>
      <c r="G375" t="s">
        <v>74</v>
      </c>
      <c r="H375" t="s">
        <v>74</v>
      </c>
      <c r="I375" t="s">
        <v>7698</v>
      </c>
      <c r="J375" t="s">
        <v>7699</v>
      </c>
      <c r="K375" t="s">
        <v>74</v>
      </c>
      <c r="L375" t="s">
        <v>74</v>
      </c>
      <c r="M375" t="s">
        <v>78</v>
      </c>
      <c r="N375" t="s">
        <v>79</v>
      </c>
      <c r="O375" t="s">
        <v>74</v>
      </c>
      <c r="P375" t="s">
        <v>74</v>
      </c>
      <c r="Q375" t="s">
        <v>74</v>
      </c>
      <c r="R375" t="s">
        <v>74</v>
      </c>
      <c r="S375" t="s">
        <v>74</v>
      </c>
      <c r="T375" t="s">
        <v>74</v>
      </c>
      <c r="U375" t="s">
        <v>7700</v>
      </c>
      <c r="V375" t="s">
        <v>7701</v>
      </c>
      <c r="W375" t="s">
        <v>7702</v>
      </c>
      <c r="X375" t="s">
        <v>7703</v>
      </c>
      <c r="Y375" t="s">
        <v>7704</v>
      </c>
      <c r="Z375" t="s">
        <v>7705</v>
      </c>
      <c r="AA375" t="s">
        <v>7706</v>
      </c>
      <c r="AB375" t="s">
        <v>7707</v>
      </c>
      <c r="AC375" t="s">
        <v>7708</v>
      </c>
      <c r="AD375" t="s">
        <v>7709</v>
      </c>
      <c r="AE375" t="s">
        <v>7710</v>
      </c>
      <c r="AF375" t="s">
        <v>74</v>
      </c>
      <c r="AG375">
        <v>59</v>
      </c>
      <c r="AH375">
        <v>68</v>
      </c>
      <c r="AI375">
        <v>78</v>
      </c>
      <c r="AJ375">
        <v>4</v>
      </c>
      <c r="AK375">
        <v>96</v>
      </c>
      <c r="AL375" t="s">
        <v>7711</v>
      </c>
      <c r="AM375" t="s">
        <v>1664</v>
      </c>
      <c r="AN375" t="s">
        <v>1665</v>
      </c>
      <c r="AO375" t="s">
        <v>7712</v>
      </c>
      <c r="AP375" t="s">
        <v>7713</v>
      </c>
      <c r="AQ375" t="s">
        <v>74</v>
      </c>
      <c r="AR375" t="s">
        <v>7714</v>
      </c>
      <c r="AS375" t="s">
        <v>7715</v>
      </c>
      <c r="AT375" t="s">
        <v>7235</v>
      </c>
      <c r="AU375">
        <v>2018</v>
      </c>
      <c r="AV375">
        <v>8</v>
      </c>
      <c r="AW375">
        <v>4</v>
      </c>
      <c r="AX375" t="s">
        <v>74</v>
      </c>
      <c r="AY375" t="s">
        <v>74</v>
      </c>
      <c r="AZ375" t="s">
        <v>74</v>
      </c>
      <c r="BA375" t="s">
        <v>74</v>
      </c>
      <c r="BB375">
        <v>313</v>
      </c>
      <c r="BC375" t="s">
        <v>7716</v>
      </c>
      <c r="BD375" t="s">
        <v>74</v>
      </c>
      <c r="BE375" t="s">
        <v>7717</v>
      </c>
      <c r="BF375" t="str">
        <f>HYPERLINK("http://dx.doi.org/10.1038/s41558-018-0115-z","http://dx.doi.org/10.1038/s41558-018-0115-z")</f>
        <v>http://dx.doi.org/10.1038/s41558-018-0115-z</v>
      </c>
      <c r="BG375" t="s">
        <v>74</v>
      </c>
      <c r="BH375" t="s">
        <v>74</v>
      </c>
      <c r="BI375">
        <v>8</v>
      </c>
      <c r="BJ375" t="s">
        <v>7718</v>
      </c>
      <c r="BK375" t="s">
        <v>484</v>
      </c>
      <c r="BL375" t="s">
        <v>286</v>
      </c>
      <c r="BM375" t="s">
        <v>7719</v>
      </c>
      <c r="BN375" t="s">
        <v>74</v>
      </c>
      <c r="BO375" t="s">
        <v>1421</v>
      </c>
      <c r="BP375" t="s">
        <v>74</v>
      </c>
      <c r="BQ375" t="s">
        <v>74</v>
      </c>
      <c r="BR375" t="s">
        <v>105</v>
      </c>
      <c r="BS375" t="s">
        <v>7720</v>
      </c>
      <c r="BT375" t="str">
        <f>HYPERLINK("https%3A%2F%2Fwww.webofscience.com%2Fwos%2Fwoscc%2Ffull-record%2FWOS:000429194600018","View Full Record in Web of Science")</f>
        <v>View Full Record in Web of Science</v>
      </c>
    </row>
    <row r="376" spans="1:72" x14ac:dyDescent="0.15">
      <c r="A376" t="s">
        <v>72</v>
      </c>
      <c r="B376" t="s">
        <v>7721</v>
      </c>
      <c r="C376" t="s">
        <v>74</v>
      </c>
      <c r="D376" t="s">
        <v>74</v>
      </c>
      <c r="E376" t="s">
        <v>74</v>
      </c>
      <c r="F376" t="s">
        <v>7722</v>
      </c>
      <c r="G376" t="s">
        <v>74</v>
      </c>
      <c r="H376" t="s">
        <v>74</v>
      </c>
      <c r="I376" t="s">
        <v>7723</v>
      </c>
      <c r="J376" t="s">
        <v>7724</v>
      </c>
      <c r="K376" t="s">
        <v>74</v>
      </c>
      <c r="L376" t="s">
        <v>74</v>
      </c>
      <c r="M376" t="s">
        <v>78</v>
      </c>
      <c r="N376" t="s">
        <v>79</v>
      </c>
      <c r="O376" t="s">
        <v>74</v>
      </c>
      <c r="P376" t="s">
        <v>74</v>
      </c>
      <c r="Q376" t="s">
        <v>74</v>
      </c>
      <c r="R376" t="s">
        <v>74</v>
      </c>
      <c r="S376" t="s">
        <v>74</v>
      </c>
      <c r="T376" t="s">
        <v>74</v>
      </c>
      <c r="U376" t="s">
        <v>7725</v>
      </c>
      <c r="V376" t="s">
        <v>7726</v>
      </c>
      <c r="W376" t="s">
        <v>7727</v>
      </c>
      <c r="X376" t="s">
        <v>7728</v>
      </c>
      <c r="Y376" t="s">
        <v>7729</v>
      </c>
      <c r="Z376" t="s">
        <v>7730</v>
      </c>
      <c r="AA376" t="s">
        <v>7731</v>
      </c>
      <c r="AB376" t="s">
        <v>7732</v>
      </c>
      <c r="AC376" t="s">
        <v>7733</v>
      </c>
      <c r="AD376" t="s">
        <v>7734</v>
      </c>
      <c r="AE376" t="s">
        <v>7735</v>
      </c>
      <c r="AF376" t="s">
        <v>74</v>
      </c>
      <c r="AG376">
        <v>52</v>
      </c>
      <c r="AH376">
        <v>103</v>
      </c>
      <c r="AI376">
        <v>112</v>
      </c>
      <c r="AJ376">
        <v>0</v>
      </c>
      <c r="AK376">
        <v>53</v>
      </c>
      <c r="AL376" t="s">
        <v>1689</v>
      </c>
      <c r="AM376" t="s">
        <v>92</v>
      </c>
      <c r="AN376" t="s">
        <v>7736</v>
      </c>
      <c r="AO376" t="s">
        <v>7737</v>
      </c>
      <c r="AP376" t="s">
        <v>7738</v>
      </c>
      <c r="AQ376" t="s">
        <v>74</v>
      </c>
      <c r="AR376" t="s">
        <v>7739</v>
      </c>
      <c r="AS376" t="s">
        <v>7740</v>
      </c>
      <c r="AT376" t="s">
        <v>7235</v>
      </c>
      <c r="AU376">
        <v>2018</v>
      </c>
      <c r="AV376">
        <v>11</v>
      </c>
      <c r="AW376">
        <v>4</v>
      </c>
      <c r="AX376" t="s">
        <v>74</v>
      </c>
      <c r="AY376" t="s">
        <v>74</v>
      </c>
      <c r="AZ376" t="s">
        <v>74</v>
      </c>
      <c r="BA376" t="s">
        <v>74</v>
      </c>
      <c r="BB376">
        <v>258</v>
      </c>
      <c r="BC376" t="s">
        <v>7716</v>
      </c>
      <c r="BD376" t="s">
        <v>74</v>
      </c>
      <c r="BE376" t="s">
        <v>7741</v>
      </c>
      <c r="BF376" t="str">
        <f>HYPERLINK("http://dx.doi.org/10.1038/s41561-018-0082-z","http://dx.doi.org/10.1038/s41561-018-0082-z")</f>
        <v>http://dx.doi.org/10.1038/s41561-018-0082-z</v>
      </c>
      <c r="BG376" t="s">
        <v>74</v>
      </c>
      <c r="BH376" t="s">
        <v>74</v>
      </c>
      <c r="BI376">
        <v>7</v>
      </c>
      <c r="BJ376" t="s">
        <v>1243</v>
      </c>
      <c r="BK376" t="s">
        <v>101</v>
      </c>
      <c r="BL376" t="s">
        <v>1181</v>
      </c>
      <c r="BM376" t="s">
        <v>7742</v>
      </c>
      <c r="BN376" t="s">
        <v>74</v>
      </c>
      <c r="BO376" t="s">
        <v>1421</v>
      </c>
      <c r="BP376" t="s">
        <v>74</v>
      </c>
      <c r="BQ376" t="s">
        <v>74</v>
      </c>
      <c r="BR376" t="s">
        <v>105</v>
      </c>
      <c r="BS376" t="s">
        <v>7743</v>
      </c>
      <c r="BT376" t="str">
        <f>HYPERLINK("https%3A%2F%2Fwww.webofscience.com%2Fwos%2Fwoscc%2Ffull-record%2FWOS:000429131600017","View Full Record in Web of Science")</f>
        <v>View Full Record in Web of Science</v>
      </c>
    </row>
    <row r="377" spans="1:72" x14ac:dyDescent="0.15">
      <c r="A377" t="s">
        <v>72</v>
      </c>
      <c r="B377" t="s">
        <v>7744</v>
      </c>
      <c r="C377" t="s">
        <v>74</v>
      </c>
      <c r="D377" t="s">
        <v>74</v>
      </c>
      <c r="E377" t="s">
        <v>74</v>
      </c>
      <c r="F377" t="s">
        <v>7745</v>
      </c>
      <c r="G377" t="s">
        <v>74</v>
      </c>
      <c r="H377" t="s">
        <v>74</v>
      </c>
      <c r="I377" t="s">
        <v>7746</v>
      </c>
      <c r="J377" t="s">
        <v>7747</v>
      </c>
      <c r="K377" t="s">
        <v>74</v>
      </c>
      <c r="L377" t="s">
        <v>74</v>
      </c>
      <c r="M377" t="s">
        <v>78</v>
      </c>
      <c r="N377" t="s">
        <v>79</v>
      </c>
      <c r="O377" t="s">
        <v>74</v>
      </c>
      <c r="P377" t="s">
        <v>74</v>
      </c>
      <c r="Q377" t="s">
        <v>74</v>
      </c>
      <c r="R377" t="s">
        <v>74</v>
      </c>
      <c r="S377" t="s">
        <v>74</v>
      </c>
      <c r="T377" t="s">
        <v>7748</v>
      </c>
      <c r="U377" t="s">
        <v>7749</v>
      </c>
      <c r="V377" t="s">
        <v>7750</v>
      </c>
      <c r="W377" t="s">
        <v>7751</v>
      </c>
      <c r="X377" t="s">
        <v>7752</v>
      </c>
      <c r="Y377" t="s">
        <v>7753</v>
      </c>
      <c r="Z377" t="s">
        <v>7754</v>
      </c>
      <c r="AA377" t="s">
        <v>7755</v>
      </c>
      <c r="AB377" t="s">
        <v>7756</v>
      </c>
      <c r="AC377" t="s">
        <v>7757</v>
      </c>
      <c r="AD377" t="s">
        <v>7758</v>
      </c>
      <c r="AE377" t="s">
        <v>7759</v>
      </c>
      <c r="AF377" t="s">
        <v>74</v>
      </c>
      <c r="AG377">
        <v>94</v>
      </c>
      <c r="AH377">
        <v>16</v>
      </c>
      <c r="AI377">
        <v>16</v>
      </c>
      <c r="AJ377">
        <v>1</v>
      </c>
      <c r="AK377">
        <v>20</v>
      </c>
      <c r="AL377" t="s">
        <v>277</v>
      </c>
      <c r="AM377" t="s">
        <v>278</v>
      </c>
      <c r="AN377" t="s">
        <v>279</v>
      </c>
      <c r="AO377" t="s">
        <v>7760</v>
      </c>
      <c r="AP377" t="s">
        <v>74</v>
      </c>
      <c r="AQ377" t="s">
        <v>74</v>
      </c>
      <c r="AR377" t="s">
        <v>7761</v>
      </c>
      <c r="AS377" t="s">
        <v>7762</v>
      </c>
      <c r="AT377" t="s">
        <v>7235</v>
      </c>
      <c r="AU377">
        <v>2018</v>
      </c>
      <c r="AV377">
        <v>118</v>
      </c>
      <c r="AW377" t="s">
        <v>74</v>
      </c>
      <c r="AX377" t="s">
        <v>74</v>
      </c>
      <c r="AY377" t="s">
        <v>74</v>
      </c>
      <c r="AZ377" t="s">
        <v>74</v>
      </c>
      <c r="BA377" t="s">
        <v>74</v>
      </c>
      <c r="BB377">
        <v>4</v>
      </c>
      <c r="BC377">
        <v>14</v>
      </c>
      <c r="BD377" t="s">
        <v>74</v>
      </c>
      <c r="BE377" t="s">
        <v>7763</v>
      </c>
      <c r="BF377" t="str">
        <f>HYPERLINK("http://dx.doi.org/10.1016/j.orggeochem.2018.01.001","http://dx.doi.org/10.1016/j.orggeochem.2018.01.001")</f>
        <v>http://dx.doi.org/10.1016/j.orggeochem.2018.01.001</v>
      </c>
      <c r="BG377" t="s">
        <v>74</v>
      </c>
      <c r="BH377" t="s">
        <v>74</v>
      </c>
      <c r="BI377">
        <v>11</v>
      </c>
      <c r="BJ377" t="s">
        <v>260</v>
      </c>
      <c r="BK377" t="s">
        <v>101</v>
      </c>
      <c r="BL377" t="s">
        <v>260</v>
      </c>
      <c r="BM377" t="s">
        <v>7764</v>
      </c>
      <c r="BN377" t="s">
        <v>74</v>
      </c>
      <c r="BO377" t="s">
        <v>1316</v>
      </c>
      <c r="BP377" t="s">
        <v>74</v>
      </c>
      <c r="BQ377" t="s">
        <v>74</v>
      </c>
      <c r="BR377" t="s">
        <v>105</v>
      </c>
      <c r="BS377" t="s">
        <v>7765</v>
      </c>
      <c r="BT377" t="str">
        <f>HYPERLINK("https%3A%2F%2Fwww.webofscience.com%2Fwos%2Fwoscc%2Ffull-record%2FWOS:000428997900002","View Full Record in Web of Science")</f>
        <v>View Full Record in Web of Science</v>
      </c>
    </row>
    <row r="378" spans="1:72" x14ac:dyDescent="0.15">
      <c r="A378" t="s">
        <v>72</v>
      </c>
      <c r="B378" t="s">
        <v>7766</v>
      </c>
      <c r="C378" t="s">
        <v>74</v>
      </c>
      <c r="D378" t="s">
        <v>74</v>
      </c>
      <c r="E378" t="s">
        <v>74</v>
      </c>
      <c r="F378" t="s">
        <v>7767</v>
      </c>
      <c r="G378" t="s">
        <v>74</v>
      </c>
      <c r="H378" t="s">
        <v>74</v>
      </c>
      <c r="I378" t="s">
        <v>7768</v>
      </c>
      <c r="J378" t="s">
        <v>77</v>
      </c>
      <c r="K378" t="s">
        <v>74</v>
      </c>
      <c r="L378" t="s">
        <v>74</v>
      </c>
      <c r="M378" t="s">
        <v>78</v>
      </c>
      <c r="N378" t="s">
        <v>79</v>
      </c>
      <c r="O378" t="s">
        <v>74</v>
      </c>
      <c r="P378" t="s">
        <v>74</v>
      </c>
      <c r="Q378" t="s">
        <v>74</v>
      </c>
      <c r="R378" t="s">
        <v>74</v>
      </c>
      <c r="S378" t="s">
        <v>74</v>
      </c>
      <c r="T378" t="s">
        <v>7769</v>
      </c>
      <c r="U378" t="s">
        <v>7770</v>
      </c>
      <c r="V378" t="s">
        <v>7771</v>
      </c>
      <c r="W378" t="s">
        <v>7772</v>
      </c>
      <c r="X378" t="s">
        <v>7773</v>
      </c>
      <c r="Y378" t="s">
        <v>7774</v>
      </c>
      <c r="Z378" t="s">
        <v>7775</v>
      </c>
      <c r="AA378" t="s">
        <v>7776</v>
      </c>
      <c r="AB378" t="s">
        <v>7777</v>
      </c>
      <c r="AC378" t="s">
        <v>7778</v>
      </c>
      <c r="AD378" t="s">
        <v>7779</v>
      </c>
      <c r="AE378" t="s">
        <v>7780</v>
      </c>
      <c r="AF378" t="s">
        <v>74</v>
      </c>
      <c r="AG378">
        <v>29</v>
      </c>
      <c r="AH378">
        <v>4</v>
      </c>
      <c r="AI378">
        <v>4</v>
      </c>
      <c r="AJ378">
        <v>6</v>
      </c>
      <c r="AK378">
        <v>129</v>
      </c>
      <c r="AL378" t="s">
        <v>91</v>
      </c>
      <c r="AM378" t="s">
        <v>92</v>
      </c>
      <c r="AN378" t="s">
        <v>205</v>
      </c>
      <c r="AO378" t="s">
        <v>94</v>
      </c>
      <c r="AP378" t="s">
        <v>95</v>
      </c>
      <c r="AQ378" t="s">
        <v>74</v>
      </c>
      <c r="AR378" t="s">
        <v>96</v>
      </c>
      <c r="AS378" t="s">
        <v>97</v>
      </c>
      <c r="AT378" t="s">
        <v>7235</v>
      </c>
      <c r="AU378">
        <v>2018</v>
      </c>
      <c r="AV378">
        <v>41</v>
      </c>
      <c r="AW378">
        <v>4</v>
      </c>
      <c r="AX378" t="s">
        <v>74</v>
      </c>
      <c r="AY378" t="s">
        <v>74</v>
      </c>
      <c r="AZ378" t="s">
        <v>74</v>
      </c>
      <c r="BA378" t="s">
        <v>74</v>
      </c>
      <c r="BB378">
        <v>727</v>
      </c>
      <c r="BC378">
        <v>732</v>
      </c>
      <c r="BD378" t="s">
        <v>74</v>
      </c>
      <c r="BE378" t="s">
        <v>7781</v>
      </c>
      <c r="BF378" t="str">
        <f>HYPERLINK("http://dx.doi.org/10.1007/s00300-017-2233-x","http://dx.doi.org/10.1007/s00300-017-2233-x")</f>
        <v>http://dx.doi.org/10.1007/s00300-017-2233-x</v>
      </c>
      <c r="BG378" t="s">
        <v>74</v>
      </c>
      <c r="BH378" t="s">
        <v>74</v>
      </c>
      <c r="BI378">
        <v>6</v>
      </c>
      <c r="BJ378" t="s">
        <v>100</v>
      </c>
      <c r="BK378" t="s">
        <v>101</v>
      </c>
      <c r="BL378" t="s">
        <v>102</v>
      </c>
      <c r="BM378" t="s">
        <v>7782</v>
      </c>
      <c r="BN378" t="s">
        <v>74</v>
      </c>
      <c r="BO378" t="s">
        <v>74</v>
      </c>
      <c r="BP378" t="s">
        <v>74</v>
      </c>
      <c r="BQ378" t="s">
        <v>74</v>
      </c>
      <c r="BR378" t="s">
        <v>105</v>
      </c>
      <c r="BS378" t="s">
        <v>7783</v>
      </c>
      <c r="BT378" t="str">
        <f>HYPERLINK("https%3A%2F%2Fwww.webofscience.com%2Fwos%2Fwoscc%2Ffull-record%2FWOS:000428603800011","View Full Record in Web of Science")</f>
        <v>View Full Record in Web of Science</v>
      </c>
    </row>
    <row r="379" spans="1:72" x14ac:dyDescent="0.15">
      <c r="A379" t="s">
        <v>72</v>
      </c>
      <c r="B379" t="s">
        <v>7784</v>
      </c>
      <c r="C379" t="s">
        <v>74</v>
      </c>
      <c r="D379" t="s">
        <v>74</v>
      </c>
      <c r="E379" t="s">
        <v>74</v>
      </c>
      <c r="F379" t="s">
        <v>7785</v>
      </c>
      <c r="G379" t="s">
        <v>74</v>
      </c>
      <c r="H379" t="s">
        <v>74</v>
      </c>
      <c r="I379" t="s">
        <v>7786</v>
      </c>
      <c r="J379" t="s">
        <v>77</v>
      </c>
      <c r="K379" t="s">
        <v>74</v>
      </c>
      <c r="L379" t="s">
        <v>74</v>
      </c>
      <c r="M379" t="s">
        <v>78</v>
      </c>
      <c r="N379" t="s">
        <v>79</v>
      </c>
      <c r="O379" t="s">
        <v>74</v>
      </c>
      <c r="P379" t="s">
        <v>74</v>
      </c>
      <c r="Q379" t="s">
        <v>74</v>
      </c>
      <c r="R379" t="s">
        <v>74</v>
      </c>
      <c r="S379" t="s">
        <v>74</v>
      </c>
      <c r="T379" t="s">
        <v>7787</v>
      </c>
      <c r="U379" t="s">
        <v>7788</v>
      </c>
      <c r="V379" t="s">
        <v>7789</v>
      </c>
      <c r="W379" t="s">
        <v>7790</v>
      </c>
      <c r="X379" t="s">
        <v>7791</v>
      </c>
      <c r="Y379" t="s">
        <v>7792</v>
      </c>
      <c r="Z379" t="s">
        <v>7793</v>
      </c>
      <c r="AA379" t="s">
        <v>74</v>
      </c>
      <c r="AB379" t="s">
        <v>7794</v>
      </c>
      <c r="AC379" t="s">
        <v>7795</v>
      </c>
      <c r="AD379" t="s">
        <v>7796</v>
      </c>
      <c r="AE379" t="s">
        <v>7797</v>
      </c>
      <c r="AF379" t="s">
        <v>74</v>
      </c>
      <c r="AG379">
        <v>74</v>
      </c>
      <c r="AH379">
        <v>19</v>
      </c>
      <c r="AI379">
        <v>19</v>
      </c>
      <c r="AJ379">
        <v>3</v>
      </c>
      <c r="AK379">
        <v>63</v>
      </c>
      <c r="AL379" t="s">
        <v>91</v>
      </c>
      <c r="AM379" t="s">
        <v>92</v>
      </c>
      <c r="AN379" t="s">
        <v>93</v>
      </c>
      <c r="AO379" t="s">
        <v>94</v>
      </c>
      <c r="AP379" t="s">
        <v>95</v>
      </c>
      <c r="AQ379" t="s">
        <v>74</v>
      </c>
      <c r="AR379" t="s">
        <v>96</v>
      </c>
      <c r="AS379" t="s">
        <v>97</v>
      </c>
      <c r="AT379" t="s">
        <v>7235</v>
      </c>
      <c r="AU379">
        <v>2018</v>
      </c>
      <c r="AV379">
        <v>41</v>
      </c>
      <c r="AW379">
        <v>4</v>
      </c>
      <c r="AX379" t="s">
        <v>74</v>
      </c>
      <c r="AY379" t="s">
        <v>74</v>
      </c>
      <c r="AZ379" t="s">
        <v>74</v>
      </c>
      <c r="BA379" t="s">
        <v>74</v>
      </c>
      <c r="BB379">
        <v>781</v>
      </c>
      <c r="BC379">
        <v>792</v>
      </c>
      <c r="BD379" t="s">
        <v>74</v>
      </c>
      <c r="BE379" t="s">
        <v>7798</v>
      </c>
      <c r="BF379" t="str">
        <f>HYPERLINK("http://dx.doi.org/10.1007/s00300-017-2239-4","http://dx.doi.org/10.1007/s00300-017-2239-4")</f>
        <v>http://dx.doi.org/10.1007/s00300-017-2239-4</v>
      </c>
      <c r="BG379" t="s">
        <v>74</v>
      </c>
      <c r="BH379" t="s">
        <v>74</v>
      </c>
      <c r="BI379">
        <v>12</v>
      </c>
      <c r="BJ379" t="s">
        <v>100</v>
      </c>
      <c r="BK379" t="s">
        <v>101</v>
      </c>
      <c r="BL379" t="s">
        <v>102</v>
      </c>
      <c r="BM379" t="s">
        <v>7782</v>
      </c>
      <c r="BN379" t="s">
        <v>74</v>
      </c>
      <c r="BO379" t="s">
        <v>74</v>
      </c>
      <c r="BP379" t="s">
        <v>74</v>
      </c>
      <c r="BQ379" t="s">
        <v>74</v>
      </c>
      <c r="BR379" t="s">
        <v>105</v>
      </c>
      <c r="BS379" t="s">
        <v>7799</v>
      </c>
      <c r="BT379" t="str">
        <f>HYPERLINK("https%3A%2F%2Fwww.webofscience.com%2Fwos%2Fwoscc%2Ffull-record%2FWOS:000428603800017","View Full Record in Web of Science")</f>
        <v>View Full Record in Web of Science</v>
      </c>
    </row>
    <row r="380" spans="1:72" x14ac:dyDescent="0.15">
      <c r="A380" t="s">
        <v>72</v>
      </c>
      <c r="B380" t="s">
        <v>7800</v>
      </c>
      <c r="C380" t="s">
        <v>74</v>
      </c>
      <c r="D380" t="s">
        <v>74</v>
      </c>
      <c r="E380" t="s">
        <v>74</v>
      </c>
      <c r="F380" t="s">
        <v>7801</v>
      </c>
      <c r="G380" t="s">
        <v>74</v>
      </c>
      <c r="H380" t="s">
        <v>74</v>
      </c>
      <c r="I380" t="s">
        <v>7802</v>
      </c>
      <c r="J380" t="s">
        <v>321</v>
      </c>
      <c r="K380" t="s">
        <v>74</v>
      </c>
      <c r="L380" t="s">
        <v>74</v>
      </c>
      <c r="M380" t="s">
        <v>78</v>
      </c>
      <c r="N380" t="s">
        <v>79</v>
      </c>
      <c r="O380" t="s">
        <v>74</v>
      </c>
      <c r="P380" t="s">
        <v>74</v>
      </c>
      <c r="Q380" t="s">
        <v>74</v>
      </c>
      <c r="R380" t="s">
        <v>74</v>
      </c>
      <c r="S380" t="s">
        <v>74</v>
      </c>
      <c r="T380" t="s">
        <v>7803</v>
      </c>
      <c r="U380" t="s">
        <v>7804</v>
      </c>
      <c r="V380" t="s">
        <v>7805</v>
      </c>
      <c r="W380" t="s">
        <v>7806</v>
      </c>
      <c r="X380" t="s">
        <v>7807</v>
      </c>
      <c r="Y380" t="s">
        <v>7808</v>
      </c>
      <c r="Z380" t="s">
        <v>7809</v>
      </c>
      <c r="AA380" t="s">
        <v>7810</v>
      </c>
      <c r="AB380" t="s">
        <v>7811</v>
      </c>
      <c r="AC380" t="s">
        <v>7812</v>
      </c>
      <c r="AD380" t="s">
        <v>7813</v>
      </c>
      <c r="AE380" t="s">
        <v>7814</v>
      </c>
      <c r="AF380" t="s">
        <v>74</v>
      </c>
      <c r="AG380">
        <v>68</v>
      </c>
      <c r="AH380">
        <v>30</v>
      </c>
      <c r="AI380">
        <v>34</v>
      </c>
      <c r="AJ380">
        <v>4</v>
      </c>
      <c r="AK380">
        <v>37</v>
      </c>
      <c r="AL380" t="s">
        <v>277</v>
      </c>
      <c r="AM380" t="s">
        <v>278</v>
      </c>
      <c r="AN380" t="s">
        <v>279</v>
      </c>
      <c r="AO380" t="s">
        <v>333</v>
      </c>
      <c r="AP380" t="s">
        <v>74</v>
      </c>
      <c r="AQ380" t="s">
        <v>74</v>
      </c>
      <c r="AR380" t="s">
        <v>335</v>
      </c>
      <c r="AS380" t="s">
        <v>336</v>
      </c>
      <c r="AT380" t="s">
        <v>7424</v>
      </c>
      <c r="AU380">
        <v>2018</v>
      </c>
      <c r="AV380">
        <v>185</v>
      </c>
      <c r="AW380" t="s">
        <v>74</v>
      </c>
      <c r="AX380" t="s">
        <v>74</v>
      </c>
      <c r="AY380" t="s">
        <v>74</v>
      </c>
      <c r="AZ380" t="s">
        <v>74</v>
      </c>
      <c r="BA380" t="s">
        <v>74</v>
      </c>
      <c r="BB380">
        <v>244</v>
      </c>
      <c r="BC380">
        <v>257</v>
      </c>
      <c r="BD380" t="s">
        <v>74</v>
      </c>
      <c r="BE380" t="s">
        <v>7815</v>
      </c>
      <c r="BF380" t="str">
        <f>HYPERLINK("http://dx.doi.org/10.1016/j.quascirev.2018.02.008","http://dx.doi.org/10.1016/j.quascirev.2018.02.008")</f>
        <v>http://dx.doi.org/10.1016/j.quascirev.2018.02.008</v>
      </c>
      <c r="BG380" t="s">
        <v>74</v>
      </c>
      <c r="BH380" t="s">
        <v>74</v>
      </c>
      <c r="BI380">
        <v>14</v>
      </c>
      <c r="BJ380" t="s">
        <v>338</v>
      </c>
      <c r="BK380" t="s">
        <v>101</v>
      </c>
      <c r="BL380" t="s">
        <v>339</v>
      </c>
      <c r="BM380" t="s">
        <v>7816</v>
      </c>
      <c r="BN380" t="s">
        <v>74</v>
      </c>
      <c r="BO380" t="s">
        <v>980</v>
      </c>
      <c r="BP380" t="s">
        <v>74</v>
      </c>
      <c r="BQ380" t="s">
        <v>74</v>
      </c>
      <c r="BR380" t="s">
        <v>105</v>
      </c>
      <c r="BS380" t="s">
        <v>7817</v>
      </c>
      <c r="BT380" t="str">
        <f>HYPERLINK("https%3A%2F%2Fwww.webofscience.com%2Fwos%2Fwoscc%2Ffull-record%2FWOS:000428830400017","View Full Record in Web of Science")</f>
        <v>View Full Record in Web of Science</v>
      </c>
    </row>
    <row r="381" spans="1:72" x14ac:dyDescent="0.15">
      <c r="A381" t="s">
        <v>72</v>
      </c>
      <c r="B381" t="s">
        <v>7818</v>
      </c>
      <c r="C381" t="s">
        <v>74</v>
      </c>
      <c r="D381" t="s">
        <v>74</v>
      </c>
      <c r="E381" t="s">
        <v>74</v>
      </c>
      <c r="F381" t="s">
        <v>7819</v>
      </c>
      <c r="G381" t="s">
        <v>74</v>
      </c>
      <c r="H381" t="s">
        <v>74</v>
      </c>
      <c r="I381" t="s">
        <v>7820</v>
      </c>
      <c r="J381" t="s">
        <v>7821</v>
      </c>
      <c r="K381" t="s">
        <v>74</v>
      </c>
      <c r="L381" t="s">
        <v>74</v>
      </c>
      <c r="M381" t="s">
        <v>78</v>
      </c>
      <c r="N381" t="s">
        <v>79</v>
      </c>
      <c r="O381" t="s">
        <v>74</v>
      </c>
      <c r="P381" t="s">
        <v>74</v>
      </c>
      <c r="Q381" t="s">
        <v>74</v>
      </c>
      <c r="R381" t="s">
        <v>74</v>
      </c>
      <c r="S381" t="s">
        <v>74</v>
      </c>
      <c r="T381" t="s">
        <v>74</v>
      </c>
      <c r="U381" t="s">
        <v>7822</v>
      </c>
      <c r="V381" t="s">
        <v>7823</v>
      </c>
      <c r="W381" t="s">
        <v>7824</v>
      </c>
      <c r="X381" t="s">
        <v>7825</v>
      </c>
      <c r="Y381" t="s">
        <v>7826</v>
      </c>
      <c r="Z381" t="s">
        <v>7827</v>
      </c>
      <c r="AA381" t="s">
        <v>7828</v>
      </c>
      <c r="AB381" t="s">
        <v>7829</v>
      </c>
      <c r="AC381" t="s">
        <v>7830</v>
      </c>
      <c r="AD381" t="s">
        <v>7831</v>
      </c>
      <c r="AE381" t="s">
        <v>7832</v>
      </c>
      <c r="AF381" t="s">
        <v>74</v>
      </c>
      <c r="AG381">
        <v>45</v>
      </c>
      <c r="AH381">
        <v>7</v>
      </c>
      <c r="AI381">
        <v>8</v>
      </c>
      <c r="AJ381">
        <v>0</v>
      </c>
      <c r="AK381">
        <v>11</v>
      </c>
      <c r="AL381" t="s">
        <v>914</v>
      </c>
      <c r="AM381" t="s">
        <v>452</v>
      </c>
      <c r="AN381" t="s">
        <v>915</v>
      </c>
      <c r="AO381" t="s">
        <v>7833</v>
      </c>
      <c r="AP381" t="s">
        <v>74</v>
      </c>
      <c r="AQ381" t="s">
        <v>74</v>
      </c>
      <c r="AR381" t="s">
        <v>7834</v>
      </c>
      <c r="AS381" t="s">
        <v>7835</v>
      </c>
      <c r="AT381" t="s">
        <v>7235</v>
      </c>
      <c r="AU381">
        <v>2018</v>
      </c>
      <c r="AV381">
        <v>20</v>
      </c>
      <c r="AW381" t="s">
        <v>74</v>
      </c>
      <c r="AX381" t="s">
        <v>74</v>
      </c>
      <c r="AY381" t="s">
        <v>74</v>
      </c>
      <c r="AZ381" t="s">
        <v>74</v>
      </c>
      <c r="BA381" t="s">
        <v>74</v>
      </c>
      <c r="BB381">
        <v>34</v>
      </c>
      <c r="BC381">
        <v>44</v>
      </c>
      <c r="BD381" t="s">
        <v>74</v>
      </c>
      <c r="BE381" t="s">
        <v>7836</v>
      </c>
      <c r="BF381" t="str">
        <f>HYPERLINK("http://dx.doi.org/10.1016/j.rsma.2018.03.011","http://dx.doi.org/10.1016/j.rsma.2018.03.011")</f>
        <v>http://dx.doi.org/10.1016/j.rsma.2018.03.011</v>
      </c>
      <c r="BG381" t="s">
        <v>74</v>
      </c>
      <c r="BH381" t="s">
        <v>74</v>
      </c>
      <c r="BI381">
        <v>11</v>
      </c>
      <c r="BJ381" t="s">
        <v>1267</v>
      </c>
      <c r="BK381" t="s">
        <v>101</v>
      </c>
      <c r="BL381" t="s">
        <v>1268</v>
      </c>
      <c r="BM381" t="s">
        <v>7837</v>
      </c>
      <c r="BN381" t="s">
        <v>74</v>
      </c>
      <c r="BO381" t="s">
        <v>980</v>
      </c>
      <c r="BP381" t="s">
        <v>74</v>
      </c>
      <c r="BQ381" t="s">
        <v>74</v>
      </c>
      <c r="BR381" t="s">
        <v>105</v>
      </c>
      <c r="BS381" t="s">
        <v>7838</v>
      </c>
      <c r="BT381" t="str">
        <f>HYPERLINK("https%3A%2F%2Fwww.webofscience.com%2Fwos%2Fwoscc%2Ffull-record%2FWOS:000432525400004","View Full Record in Web of Science")</f>
        <v>View Full Record in Web of Science</v>
      </c>
    </row>
    <row r="382" spans="1:72" x14ac:dyDescent="0.15">
      <c r="A382" t="s">
        <v>72</v>
      </c>
      <c r="B382" t="s">
        <v>7839</v>
      </c>
      <c r="C382" t="s">
        <v>74</v>
      </c>
      <c r="D382" t="s">
        <v>74</v>
      </c>
      <c r="E382" t="s">
        <v>74</v>
      </c>
      <c r="F382" t="s">
        <v>7840</v>
      </c>
      <c r="G382" t="s">
        <v>74</v>
      </c>
      <c r="H382" t="s">
        <v>74</v>
      </c>
      <c r="I382" t="s">
        <v>7841</v>
      </c>
      <c r="J382" t="s">
        <v>7842</v>
      </c>
      <c r="K382" t="s">
        <v>74</v>
      </c>
      <c r="L382" t="s">
        <v>74</v>
      </c>
      <c r="M382" t="s">
        <v>7843</v>
      </c>
      <c r="N382" t="s">
        <v>79</v>
      </c>
      <c r="O382" t="s">
        <v>74</v>
      </c>
      <c r="P382" t="s">
        <v>74</v>
      </c>
      <c r="Q382" t="s">
        <v>74</v>
      </c>
      <c r="R382" t="s">
        <v>74</v>
      </c>
      <c r="S382" t="s">
        <v>74</v>
      </c>
      <c r="T382" t="s">
        <v>7844</v>
      </c>
      <c r="U382" t="s">
        <v>74</v>
      </c>
      <c r="V382" t="s">
        <v>7845</v>
      </c>
      <c r="W382" t="s">
        <v>7846</v>
      </c>
      <c r="X382" t="s">
        <v>7847</v>
      </c>
      <c r="Y382" t="s">
        <v>7848</v>
      </c>
      <c r="Z382" t="s">
        <v>7849</v>
      </c>
      <c r="AA382" t="s">
        <v>74</v>
      </c>
      <c r="AB382" t="s">
        <v>74</v>
      </c>
      <c r="AC382" t="s">
        <v>74</v>
      </c>
      <c r="AD382" t="s">
        <v>74</v>
      </c>
      <c r="AE382" t="s">
        <v>74</v>
      </c>
      <c r="AF382" t="s">
        <v>74</v>
      </c>
      <c r="AG382">
        <v>25</v>
      </c>
      <c r="AH382">
        <v>0</v>
      </c>
      <c r="AI382">
        <v>0</v>
      </c>
      <c r="AJ382">
        <v>0</v>
      </c>
      <c r="AK382">
        <v>1</v>
      </c>
      <c r="AL382" t="s">
        <v>7850</v>
      </c>
      <c r="AM382" t="s">
        <v>7851</v>
      </c>
      <c r="AN382" t="s">
        <v>7852</v>
      </c>
      <c r="AO382" t="s">
        <v>7853</v>
      </c>
      <c r="AP382" t="s">
        <v>74</v>
      </c>
      <c r="AQ382" t="s">
        <v>74</v>
      </c>
      <c r="AR382" t="s">
        <v>7854</v>
      </c>
      <c r="AS382" t="s">
        <v>7855</v>
      </c>
      <c r="AT382" t="s">
        <v>7856</v>
      </c>
      <c r="AU382">
        <v>2018</v>
      </c>
      <c r="AV382">
        <v>9</v>
      </c>
      <c r="AW382">
        <v>2</v>
      </c>
      <c r="AX382" t="s">
        <v>74</v>
      </c>
      <c r="AY382" t="s">
        <v>74</v>
      </c>
      <c r="AZ382" t="s">
        <v>74</v>
      </c>
      <c r="BA382" t="s">
        <v>74</v>
      </c>
      <c r="BB382">
        <v>87</v>
      </c>
      <c r="BC382">
        <v>110</v>
      </c>
      <c r="BD382" t="s">
        <v>74</v>
      </c>
      <c r="BE382" t="s">
        <v>74</v>
      </c>
      <c r="BF382" t="s">
        <v>74</v>
      </c>
      <c r="BG382" t="s">
        <v>74</v>
      </c>
      <c r="BH382" t="s">
        <v>74</v>
      </c>
      <c r="BI382">
        <v>24</v>
      </c>
      <c r="BJ382" t="s">
        <v>7857</v>
      </c>
      <c r="BK382" t="s">
        <v>261</v>
      </c>
      <c r="BL382" t="s">
        <v>7857</v>
      </c>
      <c r="BM382" t="s">
        <v>7858</v>
      </c>
      <c r="BN382" t="s">
        <v>74</v>
      </c>
      <c r="BO382" t="s">
        <v>74</v>
      </c>
      <c r="BP382" t="s">
        <v>74</v>
      </c>
      <c r="BQ382" t="s">
        <v>74</v>
      </c>
      <c r="BR382" t="s">
        <v>105</v>
      </c>
      <c r="BS382" t="s">
        <v>7859</v>
      </c>
      <c r="BT382" t="str">
        <f>HYPERLINK("https%3A%2F%2Fwww.webofscience.com%2Fwos%2Fwoscc%2Ffull-record%2FWOS:000437511200005","View Full Record in Web of Science")</f>
        <v>View Full Record in Web of Science</v>
      </c>
    </row>
    <row r="383" spans="1:72" x14ac:dyDescent="0.15">
      <c r="A383" t="s">
        <v>72</v>
      </c>
      <c r="B383" t="s">
        <v>7860</v>
      </c>
      <c r="C383" t="s">
        <v>74</v>
      </c>
      <c r="D383" t="s">
        <v>74</v>
      </c>
      <c r="E383" t="s">
        <v>74</v>
      </c>
      <c r="F383" t="s">
        <v>7861</v>
      </c>
      <c r="G383" t="s">
        <v>74</v>
      </c>
      <c r="H383" t="s">
        <v>74</v>
      </c>
      <c r="I383" t="s">
        <v>7862</v>
      </c>
      <c r="J383" t="s">
        <v>5509</v>
      </c>
      <c r="K383" t="s">
        <v>74</v>
      </c>
      <c r="L383" t="s">
        <v>74</v>
      </c>
      <c r="M383" t="s">
        <v>78</v>
      </c>
      <c r="N383" t="s">
        <v>79</v>
      </c>
      <c r="O383" t="s">
        <v>74</v>
      </c>
      <c r="P383" t="s">
        <v>74</v>
      </c>
      <c r="Q383" t="s">
        <v>74</v>
      </c>
      <c r="R383" t="s">
        <v>74</v>
      </c>
      <c r="S383" t="s">
        <v>74</v>
      </c>
      <c r="T383" t="s">
        <v>74</v>
      </c>
      <c r="U383" t="s">
        <v>7863</v>
      </c>
      <c r="V383" t="s">
        <v>7864</v>
      </c>
      <c r="W383" t="s">
        <v>7865</v>
      </c>
      <c r="X383" t="s">
        <v>7866</v>
      </c>
      <c r="Y383" t="s">
        <v>7867</v>
      </c>
      <c r="Z383" t="s">
        <v>7868</v>
      </c>
      <c r="AA383" t="s">
        <v>7869</v>
      </c>
      <c r="AB383" t="s">
        <v>7870</v>
      </c>
      <c r="AC383" t="s">
        <v>7871</v>
      </c>
      <c r="AD383" t="s">
        <v>7872</v>
      </c>
      <c r="AE383" t="s">
        <v>7873</v>
      </c>
      <c r="AF383" t="s">
        <v>74</v>
      </c>
      <c r="AG383">
        <v>82</v>
      </c>
      <c r="AH383">
        <v>119</v>
      </c>
      <c r="AI383">
        <v>132</v>
      </c>
      <c r="AJ383">
        <v>2</v>
      </c>
      <c r="AK383">
        <v>49</v>
      </c>
      <c r="AL383" t="s">
        <v>5521</v>
      </c>
      <c r="AM383" t="s">
        <v>575</v>
      </c>
      <c r="AN383" t="s">
        <v>5522</v>
      </c>
      <c r="AO383" t="s">
        <v>5523</v>
      </c>
      <c r="AP383" t="s">
        <v>74</v>
      </c>
      <c r="AQ383" t="s">
        <v>74</v>
      </c>
      <c r="AR383" t="s">
        <v>5524</v>
      </c>
      <c r="AS383" t="s">
        <v>5525</v>
      </c>
      <c r="AT383" t="s">
        <v>7235</v>
      </c>
      <c r="AU383">
        <v>2018</v>
      </c>
      <c r="AV383">
        <v>4</v>
      </c>
      <c r="AW383">
        <v>4</v>
      </c>
      <c r="AX383" t="s">
        <v>74</v>
      </c>
      <c r="AY383" t="s">
        <v>74</v>
      </c>
      <c r="AZ383" t="s">
        <v>74</v>
      </c>
      <c r="BA383" t="s">
        <v>74</v>
      </c>
      <c r="BB383" t="s">
        <v>74</v>
      </c>
      <c r="BC383" t="s">
        <v>74</v>
      </c>
      <c r="BD383" t="s">
        <v>7874</v>
      </c>
      <c r="BE383" t="s">
        <v>7875</v>
      </c>
      <c r="BF383" t="str">
        <f>HYPERLINK("http://dx.doi.org/10.1126/sciadv.aap9467","http://dx.doi.org/10.1126/sciadv.aap9467")</f>
        <v>http://dx.doi.org/10.1126/sciadv.aap9467</v>
      </c>
      <c r="BG383" t="s">
        <v>74</v>
      </c>
      <c r="BH383" t="s">
        <v>74</v>
      </c>
      <c r="BI383">
        <v>11</v>
      </c>
      <c r="BJ383" t="s">
        <v>1670</v>
      </c>
      <c r="BK383" t="s">
        <v>101</v>
      </c>
      <c r="BL383" t="s">
        <v>1671</v>
      </c>
      <c r="BM383" t="s">
        <v>7876</v>
      </c>
      <c r="BN383">
        <v>29675467</v>
      </c>
      <c r="BO383" t="s">
        <v>764</v>
      </c>
      <c r="BP383" t="s">
        <v>74</v>
      </c>
      <c r="BQ383" t="s">
        <v>74</v>
      </c>
      <c r="BR383" t="s">
        <v>105</v>
      </c>
      <c r="BS383" t="s">
        <v>7877</v>
      </c>
      <c r="BT383" t="str">
        <f>HYPERLINK("https%3A%2F%2Fwww.webofscience.com%2Fwos%2Fwoscc%2Ffull-record%2FWOS:000431374900028","View Full Record in Web of Science")</f>
        <v>View Full Record in Web of Science</v>
      </c>
    </row>
    <row r="384" spans="1:72" x14ac:dyDescent="0.15">
      <c r="A384" t="s">
        <v>72</v>
      </c>
      <c r="B384" t="s">
        <v>7878</v>
      </c>
      <c r="C384" t="s">
        <v>74</v>
      </c>
      <c r="D384" t="s">
        <v>74</v>
      </c>
      <c r="E384" t="s">
        <v>74</v>
      </c>
      <c r="F384" t="s">
        <v>7879</v>
      </c>
      <c r="G384" t="s">
        <v>74</v>
      </c>
      <c r="H384" t="s">
        <v>74</v>
      </c>
      <c r="I384" t="s">
        <v>7880</v>
      </c>
      <c r="J384" t="s">
        <v>901</v>
      </c>
      <c r="K384" t="s">
        <v>74</v>
      </c>
      <c r="L384" t="s">
        <v>74</v>
      </c>
      <c r="M384" t="s">
        <v>78</v>
      </c>
      <c r="N384" t="s">
        <v>79</v>
      </c>
      <c r="O384" t="s">
        <v>74</v>
      </c>
      <c r="P384" t="s">
        <v>74</v>
      </c>
      <c r="Q384" t="s">
        <v>74</v>
      </c>
      <c r="R384" t="s">
        <v>74</v>
      </c>
      <c r="S384" t="s">
        <v>74</v>
      </c>
      <c r="T384" t="s">
        <v>7881</v>
      </c>
      <c r="U384" t="s">
        <v>7882</v>
      </c>
      <c r="V384" t="s">
        <v>7883</v>
      </c>
      <c r="W384" t="s">
        <v>7884</v>
      </c>
      <c r="X384" t="s">
        <v>7885</v>
      </c>
      <c r="Y384" t="s">
        <v>7886</v>
      </c>
      <c r="Z384" t="s">
        <v>7887</v>
      </c>
      <c r="AA384" t="s">
        <v>7888</v>
      </c>
      <c r="AB384" t="s">
        <v>7889</v>
      </c>
      <c r="AC384" t="s">
        <v>7890</v>
      </c>
      <c r="AD384" t="s">
        <v>7891</v>
      </c>
      <c r="AE384" t="s">
        <v>7892</v>
      </c>
      <c r="AF384" t="s">
        <v>74</v>
      </c>
      <c r="AG384">
        <v>30</v>
      </c>
      <c r="AH384">
        <v>27</v>
      </c>
      <c r="AI384">
        <v>28</v>
      </c>
      <c r="AJ384">
        <v>5</v>
      </c>
      <c r="AK384">
        <v>76</v>
      </c>
      <c r="AL384" t="s">
        <v>451</v>
      </c>
      <c r="AM384" t="s">
        <v>452</v>
      </c>
      <c r="AN384" t="s">
        <v>453</v>
      </c>
      <c r="AO384" t="s">
        <v>916</v>
      </c>
      <c r="AP384" t="s">
        <v>917</v>
      </c>
      <c r="AQ384" t="s">
        <v>74</v>
      </c>
      <c r="AR384" t="s">
        <v>918</v>
      </c>
      <c r="AS384" t="s">
        <v>919</v>
      </c>
      <c r="AT384" t="s">
        <v>7424</v>
      </c>
      <c r="AU384">
        <v>2018</v>
      </c>
      <c r="AV384">
        <v>619</v>
      </c>
      <c r="AW384" t="s">
        <v>74</v>
      </c>
      <c r="AX384" t="s">
        <v>74</v>
      </c>
      <c r="AY384" t="s">
        <v>74</v>
      </c>
      <c r="AZ384" t="s">
        <v>74</v>
      </c>
      <c r="BA384" t="s">
        <v>74</v>
      </c>
      <c r="BB384">
        <v>649</v>
      </c>
      <c r="BC384">
        <v>653</v>
      </c>
      <c r="BD384" t="s">
        <v>74</v>
      </c>
      <c r="BE384" t="s">
        <v>7893</v>
      </c>
      <c r="BF384" t="str">
        <f>HYPERLINK("http://dx.doi.org/10.1016/j.scitotenv.2017.11.158","http://dx.doi.org/10.1016/j.scitotenv.2017.11.158")</f>
        <v>http://dx.doi.org/10.1016/j.scitotenv.2017.11.158</v>
      </c>
      <c r="BG384" t="s">
        <v>74</v>
      </c>
      <c r="BH384" t="s">
        <v>74</v>
      </c>
      <c r="BI384">
        <v>5</v>
      </c>
      <c r="BJ384" t="s">
        <v>921</v>
      </c>
      <c r="BK384" t="s">
        <v>101</v>
      </c>
      <c r="BL384" t="s">
        <v>315</v>
      </c>
      <c r="BM384" t="s">
        <v>7894</v>
      </c>
      <c r="BN384">
        <v>29156283</v>
      </c>
      <c r="BO384" t="s">
        <v>2746</v>
      </c>
      <c r="BP384" t="s">
        <v>74</v>
      </c>
      <c r="BQ384" t="s">
        <v>74</v>
      </c>
      <c r="BR384" t="s">
        <v>105</v>
      </c>
      <c r="BS384" t="s">
        <v>7895</v>
      </c>
      <c r="BT384" t="str">
        <f>HYPERLINK("https%3A%2F%2Fwww.webofscience.com%2Fwos%2Fwoscc%2Ffull-record%2FWOS:000424144200065","View Full Record in Web of Science")</f>
        <v>View Full Record in Web of Science</v>
      </c>
    </row>
    <row r="385" spans="1:72" x14ac:dyDescent="0.15">
      <c r="A385" t="s">
        <v>72</v>
      </c>
      <c r="B385" t="s">
        <v>7896</v>
      </c>
      <c r="C385" t="s">
        <v>74</v>
      </c>
      <c r="D385" t="s">
        <v>74</v>
      </c>
      <c r="E385" t="s">
        <v>74</v>
      </c>
      <c r="F385" t="s">
        <v>7897</v>
      </c>
      <c r="G385" t="s">
        <v>74</v>
      </c>
      <c r="H385" t="s">
        <v>74</v>
      </c>
      <c r="I385" t="s">
        <v>7898</v>
      </c>
      <c r="J385" t="s">
        <v>7899</v>
      </c>
      <c r="K385" t="s">
        <v>74</v>
      </c>
      <c r="L385" t="s">
        <v>74</v>
      </c>
      <c r="M385" t="s">
        <v>78</v>
      </c>
      <c r="N385" t="s">
        <v>79</v>
      </c>
      <c r="O385" t="s">
        <v>74</v>
      </c>
      <c r="P385" t="s">
        <v>74</v>
      </c>
      <c r="Q385" t="s">
        <v>74</v>
      </c>
      <c r="R385" t="s">
        <v>74</v>
      </c>
      <c r="S385" t="s">
        <v>74</v>
      </c>
      <c r="T385" t="s">
        <v>74</v>
      </c>
      <c r="U385" t="s">
        <v>7900</v>
      </c>
      <c r="V385" t="s">
        <v>7901</v>
      </c>
      <c r="W385" t="s">
        <v>7902</v>
      </c>
      <c r="X385" t="s">
        <v>7903</v>
      </c>
      <c r="Y385" t="s">
        <v>7904</v>
      </c>
      <c r="Z385" t="s">
        <v>7905</v>
      </c>
      <c r="AA385" t="s">
        <v>7906</v>
      </c>
      <c r="AB385" t="s">
        <v>7907</v>
      </c>
      <c r="AC385" t="s">
        <v>7908</v>
      </c>
      <c r="AD385" t="s">
        <v>7909</v>
      </c>
      <c r="AE385" t="s">
        <v>7910</v>
      </c>
      <c r="AF385" t="s">
        <v>74</v>
      </c>
      <c r="AG385">
        <v>37</v>
      </c>
      <c r="AH385">
        <v>2</v>
      </c>
      <c r="AI385">
        <v>2</v>
      </c>
      <c r="AJ385">
        <v>1</v>
      </c>
      <c r="AK385">
        <v>28</v>
      </c>
      <c r="AL385" t="s">
        <v>7662</v>
      </c>
      <c r="AM385" t="s">
        <v>7663</v>
      </c>
      <c r="AN385" t="s">
        <v>7664</v>
      </c>
      <c r="AO385" t="s">
        <v>7911</v>
      </c>
      <c r="AP385" t="s">
        <v>7912</v>
      </c>
      <c r="AQ385" t="s">
        <v>74</v>
      </c>
      <c r="AR385" t="s">
        <v>7913</v>
      </c>
      <c r="AS385" t="s">
        <v>7914</v>
      </c>
      <c r="AT385" t="s">
        <v>7235</v>
      </c>
      <c r="AU385">
        <v>2018</v>
      </c>
      <c r="AV385">
        <v>132</v>
      </c>
      <c r="AW385" t="s">
        <v>1474</v>
      </c>
      <c r="AX385" t="s">
        <v>74</v>
      </c>
      <c r="AY385" t="s">
        <v>74</v>
      </c>
      <c r="AZ385" t="s">
        <v>74</v>
      </c>
      <c r="BA385" t="s">
        <v>74</v>
      </c>
      <c r="BB385">
        <v>209</v>
      </c>
      <c r="BC385">
        <v>217</v>
      </c>
      <c r="BD385" t="s">
        <v>74</v>
      </c>
      <c r="BE385" t="s">
        <v>7915</v>
      </c>
      <c r="BF385" t="str">
        <f>HYPERLINK("http://dx.doi.org/10.1007/s00704-017-2081-1","http://dx.doi.org/10.1007/s00704-017-2081-1")</f>
        <v>http://dx.doi.org/10.1007/s00704-017-2081-1</v>
      </c>
      <c r="BG385" t="s">
        <v>74</v>
      </c>
      <c r="BH385" t="s">
        <v>74</v>
      </c>
      <c r="BI385">
        <v>9</v>
      </c>
      <c r="BJ385" t="s">
        <v>131</v>
      </c>
      <c r="BK385" t="s">
        <v>101</v>
      </c>
      <c r="BL385" t="s">
        <v>131</v>
      </c>
      <c r="BM385" t="s">
        <v>7916</v>
      </c>
      <c r="BN385" t="s">
        <v>74</v>
      </c>
      <c r="BO385" t="s">
        <v>74</v>
      </c>
      <c r="BP385" t="s">
        <v>74</v>
      </c>
      <c r="BQ385" t="s">
        <v>74</v>
      </c>
      <c r="BR385" t="s">
        <v>105</v>
      </c>
      <c r="BS385" t="s">
        <v>7917</v>
      </c>
      <c r="BT385" t="str">
        <f>HYPERLINK("https%3A%2F%2Fwww.webofscience.com%2Fwos%2Fwoscc%2Ffull-record%2FWOS:000428241200015","View Full Record in Web of Science")</f>
        <v>View Full Record in Web of Science</v>
      </c>
    </row>
    <row r="386" spans="1:72" x14ac:dyDescent="0.15">
      <c r="A386" t="s">
        <v>72</v>
      </c>
      <c r="B386" t="s">
        <v>7918</v>
      </c>
      <c r="C386" t="s">
        <v>74</v>
      </c>
      <c r="D386" t="s">
        <v>74</v>
      </c>
      <c r="E386" t="s">
        <v>74</v>
      </c>
      <c r="F386" t="s">
        <v>7919</v>
      </c>
      <c r="G386" t="s">
        <v>74</v>
      </c>
      <c r="H386" t="s">
        <v>74</v>
      </c>
      <c r="I386" t="s">
        <v>7920</v>
      </c>
      <c r="J386" t="s">
        <v>7921</v>
      </c>
      <c r="K386" t="s">
        <v>74</v>
      </c>
      <c r="L386" t="s">
        <v>74</v>
      </c>
      <c r="M386" t="s">
        <v>78</v>
      </c>
      <c r="N386" t="s">
        <v>79</v>
      </c>
      <c r="O386" t="s">
        <v>74</v>
      </c>
      <c r="P386" t="s">
        <v>74</v>
      </c>
      <c r="Q386" t="s">
        <v>74</v>
      </c>
      <c r="R386" t="s">
        <v>74</v>
      </c>
      <c r="S386" t="s">
        <v>74</v>
      </c>
      <c r="T386" t="s">
        <v>7922</v>
      </c>
      <c r="U386" t="s">
        <v>7923</v>
      </c>
      <c r="V386" t="s">
        <v>7924</v>
      </c>
      <c r="W386" t="s">
        <v>7925</v>
      </c>
      <c r="X386" t="s">
        <v>7926</v>
      </c>
      <c r="Y386" t="s">
        <v>7927</v>
      </c>
      <c r="Z386" t="s">
        <v>7928</v>
      </c>
      <c r="AA386" t="s">
        <v>7929</v>
      </c>
      <c r="AB386" t="s">
        <v>7930</v>
      </c>
      <c r="AC386" t="s">
        <v>7931</v>
      </c>
      <c r="AD386" t="s">
        <v>7932</v>
      </c>
      <c r="AE386" t="s">
        <v>7933</v>
      </c>
      <c r="AF386" t="s">
        <v>74</v>
      </c>
      <c r="AG386">
        <v>54</v>
      </c>
      <c r="AH386">
        <v>1</v>
      </c>
      <c r="AI386">
        <v>1</v>
      </c>
      <c r="AJ386">
        <v>0</v>
      </c>
      <c r="AK386">
        <v>10</v>
      </c>
      <c r="AL386" t="s">
        <v>7934</v>
      </c>
      <c r="AM386" t="s">
        <v>7935</v>
      </c>
      <c r="AN386" t="s">
        <v>7936</v>
      </c>
      <c r="AO386" t="s">
        <v>7937</v>
      </c>
      <c r="AP386" t="s">
        <v>7938</v>
      </c>
      <c r="AQ386" t="s">
        <v>74</v>
      </c>
      <c r="AR386" t="s">
        <v>7921</v>
      </c>
      <c r="AS386" t="s">
        <v>7939</v>
      </c>
      <c r="AT386" t="s">
        <v>7235</v>
      </c>
      <c r="AU386">
        <v>2018</v>
      </c>
      <c r="AV386">
        <v>44</v>
      </c>
      <c r="AW386">
        <v>2</v>
      </c>
      <c r="AX386" t="s">
        <v>74</v>
      </c>
      <c r="AY386" t="s">
        <v>74</v>
      </c>
      <c r="AZ386" t="s">
        <v>74</v>
      </c>
      <c r="BA386" t="s">
        <v>74</v>
      </c>
      <c r="BB386">
        <v>283</v>
      </c>
      <c r="BC386">
        <v>289</v>
      </c>
      <c r="BD386" t="s">
        <v>74</v>
      </c>
      <c r="BE386" t="s">
        <v>7940</v>
      </c>
      <c r="BF386" t="str">
        <f>HYPERLINK("http://dx.doi.org/10.4314/wsa.v44i2.13","http://dx.doi.org/10.4314/wsa.v44i2.13")</f>
        <v>http://dx.doi.org/10.4314/wsa.v44i2.13</v>
      </c>
      <c r="BG386" t="s">
        <v>74</v>
      </c>
      <c r="BH386" t="s">
        <v>74</v>
      </c>
      <c r="BI386">
        <v>7</v>
      </c>
      <c r="BJ386" t="s">
        <v>7941</v>
      </c>
      <c r="BK386" t="s">
        <v>101</v>
      </c>
      <c r="BL386" t="s">
        <v>7941</v>
      </c>
      <c r="BM386" t="s">
        <v>7942</v>
      </c>
      <c r="BN386" t="s">
        <v>74</v>
      </c>
      <c r="BO386" t="s">
        <v>2695</v>
      </c>
      <c r="BP386" t="s">
        <v>74</v>
      </c>
      <c r="BQ386" t="s">
        <v>74</v>
      </c>
      <c r="BR386" t="s">
        <v>105</v>
      </c>
      <c r="BS386" t="s">
        <v>7943</v>
      </c>
      <c r="BT386" t="str">
        <f>HYPERLINK("https%3A%2F%2Fwww.webofscience.com%2Fwos%2Fwoscc%2Ffull-record%2FWOS:000434082400013","View Full Record in Web of Science")</f>
        <v>View Full Record in Web of Science</v>
      </c>
    </row>
    <row r="387" spans="1:72" x14ac:dyDescent="0.15">
      <c r="A387" t="s">
        <v>72</v>
      </c>
      <c r="B387" t="s">
        <v>7944</v>
      </c>
      <c r="C387" t="s">
        <v>74</v>
      </c>
      <c r="D387" t="s">
        <v>74</v>
      </c>
      <c r="E387" t="s">
        <v>74</v>
      </c>
      <c r="F387" t="s">
        <v>7945</v>
      </c>
      <c r="G387" t="s">
        <v>74</v>
      </c>
      <c r="H387" t="s">
        <v>74</v>
      </c>
      <c r="I387" t="s">
        <v>7946</v>
      </c>
      <c r="J387" t="s">
        <v>7947</v>
      </c>
      <c r="K387" t="s">
        <v>74</v>
      </c>
      <c r="L387" t="s">
        <v>74</v>
      </c>
      <c r="M387" t="s">
        <v>78</v>
      </c>
      <c r="N387" t="s">
        <v>79</v>
      </c>
      <c r="O387" t="s">
        <v>74</v>
      </c>
      <c r="P387" t="s">
        <v>74</v>
      </c>
      <c r="Q387" t="s">
        <v>74</v>
      </c>
      <c r="R387" t="s">
        <v>74</v>
      </c>
      <c r="S387" t="s">
        <v>74</v>
      </c>
      <c r="T387" t="s">
        <v>7948</v>
      </c>
      <c r="U387" t="s">
        <v>7949</v>
      </c>
      <c r="V387" t="s">
        <v>7950</v>
      </c>
      <c r="W387" t="s">
        <v>7951</v>
      </c>
      <c r="X387" t="s">
        <v>7952</v>
      </c>
      <c r="Y387" t="s">
        <v>7953</v>
      </c>
      <c r="Z387" t="s">
        <v>7954</v>
      </c>
      <c r="AA387" t="s">
        <v>7955</v>
      </c>
      <c r="AB387" t="s">
        <v>7956</v>
      </c>
      <c r="AC387" t="s">
        <v>7957</v>
      </c>
      <c r="AD387" t="s">
        <v>7958</v>
      </c>
      <c r="AE387" t="s">
        <v>7959</v>
      </c>
      <c r="AF387" t="s">
        <v>74</v>
      </c>
      <c r="AG387">
        <v>20</v>
      </c>
      <c r="AH387">
        <v>4</v>
      </c>
      <c r="AI387">
        <v>4</v>
      </c>
      <c r="AJ387">
        <v>3</v>
      </c>
      <c r="AK387">
        <v>7</v>
      </c>
      <c r="AL387" t="s">
        <v>914</v>
      </c>
      <c r="AM387" t="s">
        <v>452</v>
      </c>
      <c r="AN387" t="s">
        <v>915</v>
      </c>
      <c r="AO387" t="s">
        <v>7960</v>
      </c>
      <c r="AP387" t="s">
        <v>74</v>
      </c>
      <c r="AQ387" t="s">
        <v>74</v>
      </c>
      <c r="AR387" t="s">
        <v>7961</v>
      </c>
      <c r="AS387" t="s">
        <v>7962</v>
      </c>
      <c r="AT387" t="s">
        <v>7235</v>
      </c>
      <c r="AU387">
        <v>2018</v>
      </c>
      <c r="AV387">
        <v>17</v>
      </c>
      <c r="AW387" t="s">
        <v>74</v>
      </c>
      <c r="AX387" t="s">
        <v>74</v>
      </c>
      <c r="AY387" t="s">
        <v>74</v>
      </c>
      <c r="AZ387" t="s">
        <v>74</v>
      </c>
      <c r="BA387" t="s">
        <v>74</v>
      </c>
      <c r="BB387">
        <v>1307</v>
      </c>
      <c r="BC387">
        <v>1313</v>
      </c>
      <c r="BD387" t="s">
        <v>74</v>
      </c>
      <c r="BE387" t="s">
        <v>7963</v>
      </c>
      <c r="BF387" t="str">
        <f>HYPERLINK("http://dx.doi.org/10.1016/j.dib.2018.02.054","http://dx.doi.org/10.1016/j.dib.2018.02.054")</f>
        <v>http://dx.doi.org/10.1016/j.dib.2018.02.054</v>
      </c>
      <c r="BG387" t="s">
        <v>74</v>
      </c>
      <c r="BH387" t="s">
        <v>74</v>
      </c>
      <c r="BI387">
        <v>7</v>
      </c>
      <c r="BJ387" t="s">
        <v>1670</v>
      </c>
      <c r="BK387" t="s">
        <v>261</v>
      </c>
      <c r="BL387" t="s">
        <v>1671</v>
      </c>
      <c r="BM387" t="s">
        <v>7964</v>
      </c>
      <c r="BN387">
        <v>29876484</v>
      </c>
      <c r="BO387" t="s">
        <v>2998</v>
      </c>
      <c r="BP387" t="s">
        <v>74</v>
      </c>
      <c r="BQ387" t="s">
        <v>74</v>
      </c>
      <c r="BR387" t="s">
        <v>105</v>
      </c>
      <c r="BS387" t="s">
        <v>7965</v>
      </c>
      <c r="BT387" t="str">
        <f>HYPERLINK("https%3A%2F%2Fwww.webofscience.com%2Fwos%2Fwoscc%2Ffull-record%2FWOS:000449763000170","View Full Record in Web of Science")</f>
        <v>View Full Record in Web of Science</v>
      </c>
    </row>
    <row r="388" spans="1:72" x14ac:dyDescent="0.15">
      <c r="A388" t="s">
        <v>72</v>
      </c>
      <c r="B388" t="s">
        <v>7966</v>
      </c>
      <c r="C388" t="s">
        <v>74</v>
      </c>
      <c r="D388" t="s">
        <v>74</v>
      </c>
      <c r="E388" t="s">
        <v>74</v>
      </c>
      <c r="F388" t="s">
        <v>7967</v>
      </c>
      <c r="G388" t="s">
        <v>74</v>
      </c>
      <c r="H388" t="s">
        <v>74</v>
      </c>
      <c r="I388" t="s">
        <v>7968</v>
      </c>
      <c r="J388" t="s">
        <v>7969</v>
      </c>
      <c r="K388" t="s">
        <v>74</v>
      </c>
      <c r="L388" t="s">
        <v>74</v>
      </c>
      <c r="M388" t="s">
        <v>78</v>
      </c>
      <c r="N388" t="s">
        <v>79</v>
      </c>
      <c r="O388" t="s">
        <v>74</v>
      </c>
      <c r="P388" t="s">
        <v>74</v>
      </c>
      <c r="Q388" t="s">
        <v>74</v>
      </c>
      <c r="R388" t="s">
        <v>74</v>
      </c>
      <c r="S388" t="s">
        <v>74</v>
      </c>
      <c r="T388" t="s">
        <v>7970</v>
      </c>
      <c r="U388" t="s">
        <v>7971</v>
      </c>
      <c r="V388" t="s">
        <v>7972</v>
      </c>
      <c r="W388" t="s">
        <v>7973</v>
      </c>
      <c r="X388" t="s">
        <v>7974</v>
      </c>
      <c r="Y388" t="s">
        <v>7975</v>
      </c>
      <c r="Z388" t="s">
        <v>7976</v>
      </c>
      <c r="AA388" t="s">
        <v>7977</v>
      </c>
      <c r="AB388" t="s">
        <v>7978</v>
      </c>
      <c r="AC388" t="s">
        <v>7979</v>
      </c>
      <c r="AD388" t="s">
        <v>7980</v>
      </c>
      <c r="AE388" t="s">
        <v>7981</v>
      </c>
      <c r="AF388" t="s">
        <v>74</v>
      </c>
      <c r="AG388">
        <v>35</v>
      </c>
      <c r="AH388">
        <v>33</v>
      </c>
      <c r="AI388">
        <v>36</v>
      </c>
      <c r="AJ388">
        <v>2</v>
      </c>
      <c r="AK388">
        <v>12</v>
      </c>
      <c r="AL388" t="s">
        <v>179</v>
      </c>
      <c r="AM388" t="s">
        <v>180</v>
      </c>
      <c r="AN388" t="s">
        <v>181</v>
      </c>
      <c r="AO388" t="s">
        <v>7982</v>
      </c>
      <c r="AP388" t="s">
        <v>7983</v>
      </c>
      <c r="AQ388" t="s">
        <v>74</v>
      </c>
      <c r="AR388" t="s">
        <v>7984</v>
      </c>
      <c r="AS388" t="s">
        <v>7985</v>
      </c>
      <c r="AT388" t="s">
        <v>7235</v>
      </c>
      <c r="AU388">
        <v>2018</v>
      </c>
      <c r="AV388">
        <v>144</v>
      </c>
      <c r="AW388">
        <v>713</v>
      </c>
      <c r="AX388" t="s">
        <v>7986</v>
      </c>
      <c r="AY388" t="s">
        <v>74</v>
      </c>
      <c r="AZ388" t="s">
        <v>74</v>
      </c>
      <c r="BA388" t="s">
        <v>74</v>
      </c>
      <c r="BB388">
        <v>1169</v>
      </c>
      <c r="BC388">
        <v>1178</v>
      </c>
      <c r="BD388" t="s">
        <v>74</v>
      </c>
      <c r="BE388" t="s">
        <v>7987</v>
      </c>
      <c r="BF388" t="str">
        <f>HYPERLINK("http://dx.doi.org/10.1002/qj.3284","http://dx.doi.org/10.1002/qj.3284")</f>
        <v>http://dx.doi.org/10.1002/qj.3284</v>
      </c>
      <c r="BG388" t="s">
        <v>74</v>
      </c>
      <c r="BH388" t="s">
        <v>74</v>
      </c>
      <c r="BI388">
        <v>10</v>
      </c>
      <c r="BJ388" t="s">
        <v>131</v>
      </c>
      <c r="BK388" t="s">
        <v>101</v>
      </c>
      <c r="BL388" t="s">
        <v>131</v>
      </c>
      <c r="BM388" t="s">
        <v>7988</v>
      </c>
      <c r="BN388" t="s">
        <v>74</v>
      </c>
      <c r="BO388" t="s">
        <v>1785</v>
      </c>
      <c r="BP388" t="s">
        <v>74</v>
      </c>
      <c r="BQ388" t="s">
        <v>74</v>
      </c>
      <c r="BR388" t="s">
        <v>105</v>
      </c>
      <c r="BS388" t="s">
        <v>7989</v>
      </c>
      <c r="BT388" t="str">
        <f>HYPERLINK("https%3A%2F%2Fwww.webofscience.com%2Fwos%2Fwoscc%2Ffull-record%2FWOS:000445200400013","View Full Record in Web of Science")</f>
        <v>View Full Record in Web of Science</v>
      </c>
    </row>
    <row r="389" spans="1:72" x14ac:dyDescent="0.15">
      <c r="A389" t="s">
        <v>72</v>
      </c>
      <c r="B389" t="s">
        <v>7990</v>
      </c>
      <c r="C389" t="s">
        <v>74</v>
      </c>
      <c r="D389" t="s">
        <v>74</v>
      </c>
      <c r="E389" t="s">
        <v>74</v>
      </c>
      <c r="F389" t="s">
        <v>7991</v>
      </c>
      <c r="G389" t="s">
        <v>74</v>
      </c>
      <c r="H389" t="s">
        <v>74</v>
      </c>
      <c r="I389" t="s">
        <v>7992</v>
      </c>
      <c r="J389" t="s">
        <v>7243</v>
      </c>
      <c r="K389" t="s">
        <v>74</v>
      </c>
      <c r="L389" t="s">
        <v>74</v>
      </c>
      <c r="M389" t="s">
        <v>78</v>
      </c>
      <c r="N389" t="s">
        <v>79</v>
      </c>
      <c r="O389" t="s">
        <v>74</v>
      </c>
      <c r="P389" t="s">
        <v>74</v>
      </c>
      <c r="Q389" t="s">
        <v>74</v>
      </c>
      <c r="R389" t="s">
        <v>74</v>
      </c>
      <c r="S389" t="s">
        <v>74</v>
      </c>
      <c r="T389" t="s">
        <v>7993</v>
      </c>
      <c r="U389" t="s">
        <v>7994</v>
      </c>
      <c r="V389" t="s">
        <v>7995</v>
      </c>
      <c r="W389" t="s">
        <v>7996</v>
      </c>
      <c r="X389" t="s">
        <v>7997</v>
      </c>
      <c r="Y389" t="s">
        <v>7998</v>
      </c>
      <c r="Z389" t="s">
        <v>7999</v>
      </c>
      <c r="AA389" t="s">
        <v>8000</v>
      </c>
      <c r="AB389" t="s">
        <v>8001</v>
      </c>
      <c r="AC389" t="s">
        <v>8002</v>
      </c>
      <c r="AD389" t="s">
        <v>8003</v>
      </c>
      <c r="AE389" t="s">
        <v>8004</v>
      </c>
      <c r="AF389" t="s">
        <v>74</v>
      </c>
      <c r="AG389">
        <v>27</v>
      </c>
      <c r="AH389">
        <v>4</v>
      </c>
      <c r="AI389">
        <v>6</v>
      </c>
      <c r="AJ389">
        <v>0</v>
      </c>
      <c r="AK389">
        <v>22</v>
      </c>
      <c r="AL389" t="s">
        <v>372</v>
      </c>
      <c r="AM389" t="s">
        <v>4100</v>
      </c>
      <c r="AN389" t="s">
        <v>7256</v>
      </c>
      <c r="AO389" t="s">
        <v>7257</v>
      </c>
      <c r="AP389" t="s">
        <v>7258</v>
      </c>
      <c r="AQ389" t="s">
        <v>74</v>
      </c>
      <c r="AR389" t="s">
        <v>7259</v>
      </c>
      <c r="AS389" t="s">
        <v>7260</v>
      </c>
      <c r="AT389" t="s">
        <v>7235</v>
      </c>
      <c r="AU389">
        <v>2018</v>
      </c>
      <c r="AV389">
        <v>59</v>
      </c>
      <c r="AW389">
        <v>76</v>
      </c>
      <c r="AX389">
        <v>1</v>
      </c>
      <c r="AY389" t="s">
        <v>74</v>
      </c>
      <c r="AZ389" t="s">
        <v>74</v>
      </c>
      <c r="BA389" t="s">
        <v>74</v>
      </c>
      <c r="BB389">
        <v>1</v>
      </c>
      <c r="BC389">
        <v>9</v>
      </c>
      <c r="BD389" t="s">
        <v>74</v>
      </c>
      <c r="BE389" t="s">
        <v>8005</v>
      </c>
      <c r="BF389" t="str">
        <f>HYPERLINK("http://dx.doi.org/10.1017/aog.2018.3","http://dx.doi.org/10.1017/aog.2018.3")</f>
        <v>http://dx.doi.org/10.1017/aog.2018.3</v>
      </c>
      <c r="BG389" t="s">
        <v>74</v>
      </c>
      <c r="BH389" t="s">
        <v>74</v>
      </c>
      <c r="BI389">
        <v>9</v>
      </c>
      <c r="BJ389" t="s">
        <v>338</v>
      </c>
      <c r="BK389" t="s">
        <v>101</v>
      </c>
      <c r="BL389" t="s">
        <v>339</v>
      </c>
      <c r="BM389" t="s">
        <v>7262</v>
      </c>
      <c r="BN389" t="s">
        <v>74</v>
      </c>
      <c r="BO389" t="s">
        <v>133</v>
      </c>
      <c r="BP389" t="s">
        <v>74</v>
      </c>
      <c r="BQ389" t="s">
        <v>74</v>
      </c>
      <c r="BR389" t="s">
        <v>105</v>
      </c>
      <c r="BS389" t="s">
        <v>8006</v>
      </c>
      <c r="BT389" t="str">
        <f>HYPERLINK("https%3A%2F%2Fwww.webofscience.com%2Fwos%2Fwoscc%2Ffull-record%2FWOS:000440821000002","View Full Record in Web of Science")</f>
        <v>View Full Record in Web of Science</v>
      </c>
    </row>
    <row r="390" spans="1:72" x14ac:dyDescent="0.15">
      <c r="A390" t="s">
        <v>72</v>
      </c>
      <c r="B390" t="s">
        <v>8007</v>
      </c>
      <c r="C390" t="s">
        <v>74</v>
      </c>
      <c r="D390" t="s">
        <v>74</v>
      </c>
      <c r="E390" t="s">
        <v>74</v>
      </c>
      <c r="F390" t="s">
        <v>8008</v>
      </c>
      <c r="G390" t="s">
        <v>74</v>
      </c>
      <c r="H390" t="s">
        <v>74</v>
      </c>
      <c r="I390" t="s">
        <v>8009</v>
      </c>
      <c r="J390" t="s">
        <v>7243</v>
      </c>
      <c r="K390" t="s">
        <v>74</v>
      </c>
      <c r="L390" t="s">
        <v>74</v>
      </c>
      <c r="M390" t="s">
        <v>78</v>
      </c>
      <c r="N390" t="s">
        <v>79</v>
      </c>
      <c r="O390" t="s">
        <v>74</v>
      </c>
      <c r="P390" t="s">
        <v>74</v>
      </c>
      <c r="Q390" t="s">
        <v>74</v>
      </c>
      <c r="R390" t="s">
        <v>74</v>
      </c>
      <c r="S390" t="s">
        <v>74</v>
      </c>
      <c r="T390" t="s">
        <v>8010</v>
      </c>
      <c r="U390" t="s">
        <v>8011</v>
      </c>
      <c r="V390" t="s">
        <v>8012</v>
      </c>
      <c r="W390" t="s">
        <v>8013</v>
      </c>
      <c r="X390" t="s">
        <v>8014</v>
      </c>
      <c r="Y390" t="s">
        <v>8015</v>
      </c>
      <c r="Z390" t="s">
        <v>8016</v>
      </c>
      <c r="AA390" t="s">
        <v>8017</v>
      </c>
      <c r="AB390" t="s">
        <v>8018</v>
      </c>
      <c r="AC390" t="s">
        <v>8019</v>
      </c>
      <c r="AD390" t="s">
        <v>8020</v>
      </c>
      <c r="AE390" t="s">
        <v>8021</v>
      </c>
      <c r="AF390" t="s">
        <v>74</v>
      </c>
      <c r="AG390">
        <v>58</v>
      </c>
      <c r="AH390">
        <v>7</v>
      </c>
      <c r="AI390">
        <v>9</v>
      </c>
      <c r="AJ390">
        <v>0</v>
      </c>
      <c r="AK390">
        <v>4</v>
      </c>
      <c r="AL390" t="s">
        <v>372</v>
      </c>
      <c r="AM390" t="s">
        <v>4100</v>
      </c>
      <c r="AN390" t="s">
        <v>7256</v>
      </c>
      <c r="AO390" t="s">
        <v>7257</v>
      </c>
      <c r="AP390" t="s">
        <v>7258</v>
      </c>
      <c r="AQ390" t="s">
        <v>74</v>
      </c>
      <c r="AR390" t="s">
        <v>7259</v>
      </c>
      <c r="AS390" t="s">
        <v>7260</v>
      </c>
      <c r="AT390" t="s">
        <v>7235</v>
      </c>
      <c r="AU390">
        <v>2018</v>
      </c>
      <c r="AV390">
        <v>59</v>
      </c>
      <c r="AW390">
        <v>76</v>
      </c>
      <c r="AX390">
        <v>1</v>
      </c>
      <c r="AY390" t="s">
        <v>74</v>
      </c>
      <c r="AZ390" t="s">
        <v>74</v>
      </c>
      <c r="BA390" t="s">
        <v>74</v>
      </c>
      <c r="BB390">
        <v>10</v>
      </c>
      <c r="BC390">
        <v>15</v>
      </c>
      <c r="BD390" t="s">
        <v>74</v>
      </c>
      <c r="BE390" t="s">
        <v>8022</v>
      </c>
      <c r="BF390" t="str">
        <f>HYPERLINK("http://dx.doi.org/10.1017/aog.2017.45","http://dx.doi.org/10.1017/aog.2017.45")</f>
        <v>http://dx.doi.org/10.1017/aog.2017.45</v>
      </c>
      <c r="BG390" t="s">
        <v>74</v>
      </c>
      <c r="BH390" t="s">
        <v>74</v>
      </c>
      <c r="BI390">
        <v>6</v>
      </c>
      <c r="BJ390" t="s">
        <v>338</v>
      </c>
      <c r="BK390" t="s">
        <v>101</v>
      </c>
      <c r="BL390" t="s">
        <v>339</v>
      </c>
      <c r="BM390" t="s">
        <v>7262</v>
      </c>
      <c r="BN390" t="s">
        <v>74</v>
      </c>
      <c r="BO390" t="s">
        <v>6449</v>
      </c>
      <c r="BP390" t="s">
        <v>74</v>
      </c>
      <c r="BQ390" t="s">
        <v>74</v>
      </c>
      <c r="BR390" t="s">
        <v>105</v>
      </c>
      <c r="BS390" t="s">
        <v>8023</v>
      </c>
      <c r="BT390" t="str">
        <f>HYPERLINK("https%3A%2F%2Fwww.webofscience.com%2Fwos%2Fwoscc%2Ffull-record%2FWOS:000440821000003","View Full Record in Web of Science")</f>
        <v>View Full Record in Web of Science</v>
      </c>
    </row>
    <row r="391" spans="1:72" x14ac:dyDescent="0.15">
      <c r="A391" t="s">
        <v>72</v>
      </c>
      <c r="B391" t="s">
        <v>8024</v>
      </c>
      <c r="C391" t="s">
        <v>74</v>
      </c>
      <c r="D391" t="s">
        <v>74</v>
      </c>
      <c r="E391" t="s">
        <v>74</v>
      </c>
      <c r="F391" t="s">
        <v>8025</v>
      </c>
      <c r="G391" t="s">
        <v>74</v>
      </c>
      <c r="H391" t="s">
        <v>74</v>
      </c>
      <c r="I391" t="s">
        <v>8026</v>
      </c>
      <c r="J391" t="s">
        <v>7243</v>
      </c>
      <c r="K391" t="s">
        <v>74</v>
      </c>
      <c r="L391" t="s">
        <v>74</v>
      </c>
      <c r="M391" t="s">
        <v>78</v>
      </c>
      <c r="N391" t="s">
        <v>79</v>
      </c>
      <c r="O391" t="s">
        <v>74</v>
      </c>
      <c r="P391" t="s">
        <v>74</v>
      </c>
      <c r="Q391" t="s">
        <v>74</v>
      </c>
      <c r="R391" t="s">
        <v>74</v>
      </c>
      <c r="S391" t="s">
        <v>74</v>
      </c>
      <c r="T391" t="s">
        <v>8027</v>
      </c>
      <c r="U391" t="s">
        <v>8028</v>
      </c>
      <c r="V391" t="s">
        <v>8029</v>
      </c>
      <c r="W391" t="s">
        <v>8030</v>
      </c>
      <c r="X391" t="s">
        <v>8031</v>
      </c>
      <c r="Y391" t="s">
        <v>8032</v>
      </c>
      <c r="Z391" t="s">
        <v>8033</v>
      </c>
      <c r="AA391" t="s">
        <v>8034</v>
      </c>
      <c r="AB391" t="s">
        <v>8035</v>
      </c>
      <c r="AC391" t="s">
        <v>8036</v>
      </c>
      <c r="AD391" t="s">
        <v>8037</v>
      </c>
      <c r="AE391" t="s">
        <v>8038</v>
      </c>
      <c r="AF391" t="s">
        <v>74</v>
      </c>
      <c r="AG391">
        <v>25</v>
      </c>
      <c r="AH391">
        <v>5</v>
      </c>
      <c r="AI391">
        <v>5</v>
      </c>
      <c r="AJ391">
        <v>0</v>
      </c>
      <c r="AK391">
        <v>4</v>
      </c>
      <c r="AL391" t="s">
        <v>372</v>
      </c>
      <c r="AM391" t="s">
        <v>4100</v>
      </c>
      <c r="AN391" t="s">
        <v>7256</v>
      </c>
      <c r="AO391" t="s">
        <v>7257</v>
      </c>
      <c r="AP391" t="s">
        <v>7258</v>
      </c>
      <c r="AQ391" t="s">
        <v>74</v>
      </c>
      <c r="AR391" t="s">
        <v>7259</v>
      </c>
      <c r="AS391" t="s">
        <v>7260</v>
      </c>
      <c r="AT391" t="s">
        <v>7235</v>
      </c>
      <c r="AU391">
        <v>2018</v>
      </c>
      <c r="AV391">
        <v>59</v>
      </c>
      <c r="AW391">
        <v>76</v>
      </c>
      <c r="AX391">
        <v>1</v>
      </c>
      <c r="AY391" t="s">
        <v>74</v>
      </c>
      <c r="AZ391" t="s">
        <v>74</v>
      </c>
      <c r="BA391" t="s">
        <v>74</v>
      </c>
      <c r="BB391">
        <v>16</v>
      </c>
      <c r="BC391">
        <v>28</v>
      </c>
      <c r="BD391" t="s">
        <v>74</v>
      </c>
      <c r="BE391" t="s">
        <v>8039</v>
      </c>
      <c r="BF391" t="str">
        <f>HYPERLINK("http://dx.doi.org/10.1017/aog.2017.44","http://dx.doi.org/10.1017/aog.2017.44")</f>
        <v>http://dx.doi.org/10.1017/aog.2017.44</v>
      </c>
      <c r="BG391" t="s">
        <v>74</v>
      </c>
      <c r="BH391" t="s">
        <v>74</v>
      </c>
      <c r="BI391">
        <v>13</v>
      </c>
      <c r="BJ391" t="s">
        <v>338</v>
      </c>
      <c r="BK391" t="s">
        <v>101</v>
      </c>
      <c r="BL391" t="s">
        <v>339</v>
      </c>
      <c r="BM391" t="s">
        <v>7262</v>
      </c>
      <c r="BN391" t="s">
        <v>74</v>
      </c>
      <c r="BO391" t="s">
        <v>133</v>
      </c>
      <c r="BP391" t="s">
        <v>74</v>
      </c>
      <c r="BQ391" t="s">
        <v>74</v>
      </c>
      <c r="BR391" t="s">
        <v>105</v>
      </c>
      <c r="BS391" t="s">
        <v>8040</v>
      </c>
      <c r="BT391" t="str">
        <f>HYPERLINK("https%3A%2F%2Fwww.webofscience.com%2Fwos%2Fwoscc%2Ffull-record%2FWOS:000440821000004","View Full Record in Web of Science")</f>
        <v>View Full Record in Web of Science</v>
      </c>
    </row>
    <row r="392" spans="1:72" x14ac:dyDescent="0.15">
      <c r="A392" t="s">
        <v>72</v>
      </c>
      <c r="B392" t="s">
        <v>8041</v>
      </c>
      <c r="C392" t="s">
        <v>74</v>
      </c>
      <c r="D392" t="s">
        <v>74</v>
      </c>
      <c r="E392" t="s">
        <v>74</v>
      </c>
      <c r="F392" t="s">
        <v>8042</v>
      </c>
      <c r="G392" t="s">
        <v>74</v>
      </c>
      <c r="H392" t="s">
        <v>74</v>
      </c>
      <c r="I392" t="s">
        <v>8043</v>
      </c>
      <c r="J392" t="s">
        <v>7243</v>
      </c>
      <c r="K392" t="s">
        <v>74</v>
      </c>
      <c r="L392" t="s">
        <v>74</v>
      </c>
      <c r="M392" t="s">
        <v>78</v>
      </c>
      <c r="N392" t="s">
        <v>79</v>
      </c>
      <c r="O392" t="s">
        <v>74</v>
      </c>
      <c r="P392" t="s">
        <v>74</v>
      </c>
      <c r="Q392" t="s">
        <v>74</v>
      </c>
      <c r="R392" t="s">
        <v>74</v>
      </c>
      <c r="S392" t="s">
        <v>74</v>
      </c>
      <c r="T392" t="s">
        <v>8044</v>
      </c>
      <c r="U392" t="s">
        <v>8045</v>
      </c>
      <c r="V392" t="s">
        <v>8046</v>
      </c>
      <c r="W392" t="s">
        <v>8047</v>
      </c>
      <c r="X392" t="s">
        <v>8048</v>
      </c>
      <c r="Y392" t="s">
        <v>8049</v>
      </c>
      <c r="Z392" t="s">
        <v>8050</v>
      </c>
      <c r="AA392" t="s">
        <v>74</v>
      </c>
      <c r="AB392" t="s">
        <v>8051</v>
      </c>
      <c r="AC392" t="s">
        <v>8052</v>
      </c>
      <c r="AD392" t="s">
        <v>8053</v>
      </c>
      <c r="AE392" t="s">
        <v>8054</v>
      </c>
      <c r="AF392" t="s">
        <v>74</v>
      </c>
      <c r="AG392">
        <v>59</v>
      </c>
      <c r="AH392">
        <v>41</v>
      </c>
      <c r="AI392">
        <v>49</v>
      </c>
      <c r="AJ392">
        <v>2</v>
      </c>
      <c r="AK392">
        <v>29</v>
      </c>
      <c r="AL392" t="s">
        <v>372</v>
      </c>
      <c r="AM392" t="s">
        <v>4100</v>
      </c>
      <c r="AN392" t="s">
        <v>7256</v>
      </c>
      <c r="AO392" t="s">
        <v>7257</v>
      </c>
      <c r="AP392" t="s">
        <v>7258</v>
      </c>
      <c r="AQ392" t="s">
        <v>74</v>
      </c>
      <c r="AR392" t="s">
        <v>7259</v>
      </c>
      <c r="AS392" t="s">
        <v>7260</v>
      </c>
      <c r="AT392" t="s">
        <v>7235</v>
      </c>
      <c r="AU392">
        <v>2018</v>
      </c>
      <c r="AV392">
        <v>59</v>
      </c>
      <c r="AW392">
        <v>76</v>
      </c>
      <c r="AX392">
        <v>1</v>
      </c>
      <c r="AY392" t="s">
        <v>74</v>
      </c>
      <c r="AZ392" t="s">
        <v>74</v>
      </c>
      <c r="BA392" t="s">
        <v>74</v>
      </c>
      <c r="BB392">
        <v>42</v>
      </c>
      <c r="BC392">
        <v>55</v>
      </c>
      <c r="BD392" t="s">
        <v>74</v>
      </c>
      <c r="BE392" t="s">
        <v>8055</v>
      </c>
      <c r="BF392" t="str">
        <f>HYPERLINK("http://dx.doi.org/10.1017/aog.2017.36","http://dx.doi.org/10.1017/aog.2017.36")</f>
        <v>http://dx.doi.org/10.1017/aog.2017.36</v>
      </c>
      <c r="BG392" t="s">
        <v>74</v>
      </c>
      <c r="BH392" t="s">
        <v>74</v>
      </c>
      <c r="BI392">
        <v>14</v>
      </c>
      <c r="BJ392" t="s">
        <v>338</v>
      </c>
      <c r="BK392" t="s">
        <v>101</v>
      </c>
      <c r="BL392" t="s">
        <v>339</v>
      </c>
      <c r="BM392" t="s">
        <v>7262</v>
      </c>
      <c r="BN392" t="s">
        <v>74</v>
      </c>
      <c r="BO392" t="s">
        <v>133</v>
      </c>
      <c r="BP392" t="s">
        <v>74</v>
      </c>
      <c r="BQ392" t="s">
        <v>74</v>
      </c>
      <c r="BR392" t="s">
        <v>105</v>
      </c>
      <c r="BS392" t="s">
        <v>8056</v>
      </c>
      <c r="BT392" t="str">
        <f>HYPERLINK("https%3A%2F%2Fwww.webofscience.com%2Fwos%2Fwoscc%2Ffull-record%2FWOS:000440821000006","View Full Record in Web of Science")</f>
        <v>View Full Record in Web of Science</v>
      </c>
    </row>
    <row r="393" spans="1:72" x14ac:dyDescent="0.15">
      <c r="A393" t="s">
        <v>72</v>
      </c>
      <c r="B393" t="s">
        <v>8057</v>
      </c>
      <c r="C393" t="s">
        <v>74</v>
      </c>
      <c r="D393" t="s">
        <v>74</v>
      </c>
      <c r="E393" t="s">
        <v>74</v>
      </c>
      <c r="F393" t="s">
        <v>8058</v>
      </c>
      <c r="G393" t="s">
        <v>74</v>
      </c>
      <c r="H393" t="s">
        <v>74</v>
      </c>
      <c r="I393" t="s">
        <v>8059</v>
      </c>
      <c r="J393" t="s">
        <v>7243</v>
      </c>
      <c r="K393" t="s">
        <v>74</v>
      </c>
      <c r="L393" t="s">
        <v>74</v>
      </c>
      <c r="M393" t="s">
        <v>78</v>
      </c>
      <c r="N393" t="s">
        <v>79</v>
      </c>
      <c r="O393" t="s">
        <v>74</v>
      </c>
      <c r="P393" t="s">
        <v>74</v>
      </c>
      <c r="Q393" t="s">
        <v>74</v>
      </c>
      <c r="R393" t="s">
        <v>74</v>
      </c>
      <c r="S393" t="s">
        <v>74</v>
      </c>
      <c r="T393" t="s">
        <v>8060</v>
      </c>
      <c r="U393" t="s">
        <v>8061</v>
      </c>
      <c r="V393" t="s">
        <v>8062</v>
      </c>
      <c r="W393" t="s">
        <v>8063</v>
      </c>
      <c r="X393" t="s">
        <v>8064</v>
      </c>
      <c r="Y393" t="s">
        <v>8065</v>
      </c>
      <c r="Z393" t="s">
        <v>8066</v>
      </c>
      <c r="AA393" t="s">
        <v>8067</v>
      </c>
      <c r="AB393" t="s">
        <v>8068</v>
      </c>
      <c r="AC393" t="s">
        <v>8069</v>
      </c>
      <c r="AD393" t="s">
        <v>8070</v>
      </c>
      <c r="AE393" t="s">
        <v>8071</v>
      </c>
      <c r="AF393" t="s">
        <v>74</v>
      </c>
      <c r="AG393">
        <v>64</v>
      </c>
      <c r="AH393">
        <v>31</v>
      </c>
      <c r="AI393">
        <v>38</v>
      </c>
      <c r="AJ393">
        <v>2</v>
      </c>
      <c r="AK393">
        <v>18</v>
      </c>
      <c r="AL393" t="s">
        <v>372</v>
      </c>
      <c r="AM393" t="s">
        <v>4100</v>
      </c>
      <c r="AN393" t="s">
        <v>7256</v>
      </c>
      <c r="AO393" t="s">
        <v>7257</v>
      </c>
      <c r="AP393" t="s">
        <v>7258</v>
      </c>
      <c r="AQ393" t="s">
        <v>74</v>
      </c>
      <c r="AR393" t="s">
        <v>7259</v>
      </c>
      <c r="AS393" t="s">
        <v>7260</v>
      </c>
      <c r="AT393" t="s">
        <v>7235</v>
      </c>
      <c r="AU393">
        <v>2018</v>
      </c>
      <c r="AV393">
        <v>59</v>
      </c>
      <c r="AW393">
        <v>76</v>
      </c>
      <c r="AX393">
        <v>1</v>
      </c>
      <c r="AY393" t="s">
        <v>74</v>
      </c>
      <c r="AZ393" t="s">
        <v>74</v>
      </c>
      <c r="BA393" t="s">
        <v>74</v>
      </c>
      <c r="BB393">
        <v>56</v>
      </c>
      <c r="BC393">
        <v>65</v>
      </c>
      <c r="BD393" t="s">
        <v>74</v>
      </c>
      <c r="BE393" t="s">
        <v>8072</v>
      </c>
      <c r="BF393" t="str">
        <f>HYPERLINK("http://dx.doi.org/10.1017/aog.2018.9","http://dx.doi.org/10.1017/aog.2018.9")</f>
        <v>http://dx.doi.org/10.1017/aog.2018.9</v>
      </c>
      <c r="BG393" t="s">
        <v>74</v>
      </c>
      <c r="BH393" t="s">
        <v>74</v>
      </c>
      <c r="BI393">
        <v>10</v>
      </c>
      <c r="BJ393" t="s">
        <v>338</v>
      </c>
      <c r="BK393" t="s">
        <v>101</v>
      </c>
      <c r="BL393" t="s">
        <v>339</v>
      </c>
      <c r="BM393" t="s">
        <v>7262</v>
      </c>
      <c r="BN393" t="s">
        <v>74</v>
      </c>
      <c r="BO393" t="s">
        <v>764</v>
      </c>
      <c r="BP393" t="s">
        <v>74</v>
      </c>
      <c r="BQ393" t="s">
        <v>74</v>
      </c>
      <c r="BR393" t="s">
        <v>105</v>
      </c>
      <c r="BS393" t="s">
        <v>8073</v>
      </c>
      <c r="BT393" t="str">
        <f>HYPERLINK("https%3A%2F%2Fwww.webofscience.com%2Fwos%2Fwoscc%2Ffull-record%2FWOS:000440821000007","View Full Record in Web of Science")</f>
        <v>View Full Record in Web of Science</v>
      </c>
    </row>
    <row r="394" spans="1:72" x14ac:dyDescent="0.15">
      <c r="A394" t="s">
        <v>72</v>
      </c>
      <c r="B394" t="s">
        <v>8074</v>
      </c>
      <c r="C394" t="s">
        <v>74</v>
      </c>
      <c r="D394" t="s">
        <v>74</v>
      </c>
      <c r="E394" t="s">
        <v>74</v>
      </c>
      <c r="F394" t="s">
        <v>8075</v>
      </c>
      <c r="G394" t="s">
        <v>74</v>
      </c>
      <c r="H394" t="s">
        <v>74</v>
      </c>
      <c r="I394" t="s">
        <v>8076</v>
      </c>
      <c r="J394" t="s">
        <v>4090</v>
      </c>
      <c r="K394" t="s">
        <v>74</v>
      </c>
      <c r="L394" t="s">
        <v>74</v>
      </c>
      <c r="M394" t="s">
        <v>78</v>
      </c>
      <c r="N394" t="s">
        <v>79</v>
      </c>
      <c r="O394" t="s">
        <v>74</v>
      </c>
      <c r="P394" t="s">
        <v>74</v>
      </c>
      <c r="Q394" t="s">
        <v>74</v>
      </c>
      <c r="R394" t="s">
        <v>74</v>
      </c>
      <c r="S394" t="s">
        <v>74</v>
      </c>
      <c r="T394" t="s">
        <v>8077</v>
      </c>
      <c r="U394" t="s">
        <v>8078</v>
      </c>
      <c r="V394" t="s">
        <v>8079</v>
      </c>
      <c r="W394" t="s">
        <v>8080</v>
      </c>
      <c r="X394" t="s">
        <v>8081</v>
      </c>
      <c r="Y394" t="s">
        <v>8082</v>
      </c>
      <c r="Z394" t="s">
        <v>8083</v>
      </c>
      <c r="AA394" t="s">
        <v>8084</v>
      </c>
      <c r="AB394" t="s">
        <v>8085</v>
      </c>
      <c r="AC394" t="s">
        <v>8086</v>
      </c>
      <c r="AD394" t="s">
        <v>8087</v>
      </c>
      <c r="AE394" t="s">
        <v>8088</v>
      </c>
      <c r="AF394" t="s">
        <v>74</v>
      </c>
      <c r="AG394">
        <v>48</v>
      </c>
      <c r="AH394">
        <v>13</v>
      </c>
      <c r="AI394">
        <v>14</v>
      </c>
      <c r="AJ394">
        <v>1</v>
      </c>
      <c r="AK394">
        <v>19</v>
      </c>
      <c r="AL394" t="s">
        <v>4099</v>
      </c>
      <c r="AM394" t="s">
        <v>4100</v>
      </c>
      <c r="AN394" t="s">
        <v>4101</v>
      </c>
      <c r="AO394" t="s">
        <v>4102</v>
      </c>
      <c r="AP394" t="s">
        <v>4103</v>
      </c>
      <c r="AQ394" t="s">
        <v>74</v>
      </c>
      <c r="AR394" t="s">
        <v>4104</v>
      </c>
      <c r="AS394" t="s">
        <v>4105</v>
      </c>
      <c r="AT394" t="s">
        <v>7235</v>
      </c>
      <c r="AU394">
        <v>2018</v>
      </c>
      <c r="AV394">
        <v>221</v>
      </c>
      <c r="AW394">
        <v>8</v>
      </c>
      <c r="AX394" t="s">
        <v>74</v>
      </c>
      <c r="AY394" t="s">
        <v>74</v>
      </c>
      <c r="AZ394" t="s">
        <v>74</v>
      </c>
      <c r="BA394" t="s">
        <v>74</v>
      </c>
      <c r="BB394" t="s">
        <v>74</v>
      </c>
      <c r="BC394" t="s">
        <v>74</v>
      </c>
      <c r="BD394" t="s">
        <v>8089</v>
      </c>
      <c r="BE394" t="s">
        <v>8090</v>
      </c>
      <c r="BF394" t="str">
        <f>HYPERLINK("http://dx.doi.org/10.1242/jeb.177568","http://dx.doi.org/10.1242/jeb.177568")</f>
        <v>http://dx.doi.org/10.1242/jeb.177568</v>
      </c>
      <c r="BG394" t="s">
        <v>74</v>
      </c>
      <c r="BH394" t="s">
        <v>74</v>
      </c>
      <c r="BI394">
        <v>9</v>
      </c>
      <c r="BJ394" t="s">
        <v>4108</v>
      </c>
      <c r="BK394" t="s">
        <v>101</v>
      </c>
      <c r="BL394" t="s">
        <v>4109</v>
      </c>
      <c r="BM394" t="s">
        <v>8091</v>
      </c>
      <c r="BN394">
        <v>29593081</v>
      </c>
      <c r="BO394" t="s">
        <v>341</v>
      </c>
      <c r="BP394" t="s">
        <v>74</v>
      </c>
      <c r="BQ394" t="s">
        <v>74</v>
      </c>
      <c r="BR394" t="s">
        <v>105</v>
      </c>
      <c r="BS394" t="s">
        <v>8092</v>
      </c>
      <c r="BT394" t="str">
        <f>HYPERLINK("https%3A%2F%2Fwww.webofscience.com%2Fwos%2Fwoscc%2Ffull-record%2FWOS:000438909900020","View Full Record in Web of Science")</f>
        <v>View Full Record in Web of Science</v>
      </c>
    </row>
    <row r="395" spans="1:72" x14ac:dyDescent="0.15">
      <c r="A395" t="s">
        <v>72</v>
      </c>
      <c r="B395" t="s">
        <v>8093</v>
      </c>
      <c r="C395" t="s">
        <v>74</v>
      </c>
      <c r="D395" t="s">
        <v>74</v>
      </c>
      <c r="E395" t="s">
        <v>74</v>
      </c>
      <c r="F395" t="s">
        <v>8094</v>
      </c>
      <c r="G395" t="s">
        <v>74</v>
      </c>
      <c r="H395" t="s">
        <v>74</v>
      </c>
      <c r="I395" t="s">
        <v>8095</v>
      </c>
      <c r="J395" t="s">
        <v>8096</v>
      </c>
      <c r="K395" t="s">
        <v>74</v>
      </c>
      <c r="L395" t="s">
        <v>74</v>
      </c>
      <c r="M395" t="s">
        <v>78</v>
      </c>
      <c r="N395" t="s">
        <v>52</v>
      </c>
      <c r="O395" t="s">
        <v>8097</v>
      </c>
      <c r="P395" t="s">
        <v>8098</v>
      </c>
      <c r="Q395" t="s">
        <v>8099</v>
      </c>
      <c r="R395" t="s">
        <v>74</v>
      </c>
      <c r="S395" t="s">
        <v>74</v>
      </c>
      <c r="T395" t="s">
        <v>74</v>
      </c>
      <c r="U395" t="s">
        <v>74</v>
      </c>
      <c r="V395" t="s">
        <v>74</v>
      </c>
      <c r="W395" t="s">
        <v>74</v>
      </c>
      <c r="X395" t="s">
        <v>74</v>
      </c>
      <c r="Y395" t="s">
        <v>74</v>
      </c>
      <c r="Z395" t="s">
        <v>74</v>
      </c>
      <c r="AA395" t="s">
        <v>8100</v>
      </c>
      <c r="AB395" t="s">
        <v>74</v>
      </c>
      <c r="AC395" t="s">
        <v>8101</v>
      </c>
      <c r="AD395" t="s">
        <v>4355</v>
      </c>
      <c r="AE395" t="s">
        <v>8102</v>
      </c>
      <c r="AF395" t="s">
        <v>74</v>
      </c>
      <c r="AG395">
        <v>0</v>
      </c>
      <c r="AH395">
        <v>0</v>
      </c>
      <c r="AI395">
        <v>0</v>
      </c>
      <c r="AJ395">
        <v>0</v>
      </c>
      <c r="AK395">
        <v>2</v>
      </c>
      <c r="AL395" t="s">
        <v>8103</v>
      </c>
      <c r="AM395" t="s">
        <v>8104</v>
      </c>
      <c r="AN395" t="s">
        <v>8105</v>
      </c>
      <c r="AO395" t="s">
        <v>8106</v>
      </c>
      <c r="AP395" t="s">
        <v>8107</v>
      </c>
      <c r="AQ395" t="s">
        <v>74</v>
      </c>
      <c r="AR395" t="s">
        <v>8108</v>
      </c>
      <c r="AS395" t="s">
        <v>8109</v>
      </c>
      <c r="AT395" t="s">
        <v>7235</v>
      </c>
      <c r="AU395">
        <v>2018</v>
      </c>
      <c r="AV395">
        <v>32</v>
      </c>
      <c r="AW395">
        <v>1</v>
      </c>
      <c r="AX395" t="s">
        <v>74</v>
      </c>
      <c r="AY395" t="s">
        <v>8110</v>
      </c>
      <c r="AZ395" t="s">
        <v>74</v>
      </c>
      <c r="BA395">
        <v>859.2</v>
      </c>
      <c r="BB395" t="s">
        <v>74</v>
      </c>
      <c r="BC395" t="s">
        <v>74</v>
      </c>
      <c r="BD395" t="s">
        <v>74</v>
      </c>
      <c r="BE395" t="s">
        <v>74</v>
      </c>
      <c r="BF395" t="s">
        <v>74</v>
      </c>
      <c r="BG395" t="s">
        <v>74</v>
      </c>
      <c r="BH395" t="s">
        <v>74</v>
      </c>
      <c r="BI395">
        <v>2</v>
      </c>
      <c r="BJ395" t="s">
        <v>8111</v>
      </c>
      <c r="BK395" t="s">
        <v>1449</v>
      </c>
      <c r="BL395" t="s">
        <v>8112</v>
      </c>
      <c r="BM395" t="s">
        <v>8113</v>
      </c>
      <c r="BN395" t="s">
        <v>74</v>
      </c>
      <c r="BO395" t="s">
        <v>74</v>
      </c>
      <c r="BP395" t="s">
        <v>74</v>
      </c>
      <c r="BQ395" t="s">
        <v>74</v>
      </c>
      <c r="BR395" t="s">
        <v>105</v>
      </c>
      <c r="BS395" t="s">
        <v>8114</v>
      </c>
      <c r="BT395" t="str">
        <f>HYPERLINK("https%3A%2F%2Fwww.webofscience.com%2Fwos%2Fwoscc%2Ffull-record%2FWOS:000436986706054","View Full Record in Web of Science")</f>
        <v>View Full Record in Web of Science</v>
      </c>
    </row>
    <row r="396" spans="1:72" x14ac:dyDescent="0.15">
      <c r="A396" t="s">
        <v>72</v>
      </c>
      <c r="B396" t="s">
        <v>8115</v>
      </c>
      <c r="C396" t="s">
        <v>74</v>
      </c>
      <c r="D396" t="s">
        <v>74</v>
      </c>
      <c r="E396" t="s">
        <v>74</v>
      </c>
      <c r="F396" t="s">
        <v>8116</v>
      </c>
      <c r="G396" t="s">
        <v>74</v>
      </c>
      <c r="H396" t="s">
        <v>74</v>
      </c>
      <c r="I396" t="s">
        <v>8117</v>
      </c>
      <c r="J396" t="s">
        <v>8096</v>
      </c>
      <c r="K396" t="s">
        <v>74</v>
      </c>
      <c r="L396" t="s">
        <v>74</v>
      </c>
      <c r="M396" t="s">
        <v>78</v>
      </c>
      <c r="N396" t="s">
        <v>52</v>
      </c>
      <c r="O396" t="s">
        <v>8118</v>
      </c>
      <c r="P396" t="s">
        <v>8098</v>
      </c>
      <c r="Q396" t="s">
        <v>8119</v>
      </c>
      <c r="R396" t="s">
        <v>74</v>
      </c>
      <c r="S396" t="s">
        <v>8120</v>
      </c>
      <c r="T396" t="s">
        <v>74</v>
      </c>
      <c r="U396" t="s">
        <v>74</v>
      </c>
      <c r="V396" t="s">
        <v>74</v>
      </c>
      <c r="W396" t="s">
        <v>74</v>
      </c>
      <c r="X396" t="s">
        <v>74</v>
      </c>
      <c r="Y396" t="s">
        <v>74</v>
      </c>
      <c r="Z396" t="s">
        <v>74</v>
      </c>
      <c r="AA396" t="s">
        <v>8121</v>
      </c>
      <c r="AB396" t="s">
        <v>8122</v>
      </c>
      <c r="AC396" t="s">
        <v>8123</v>
      </c>
      <c r="AD396" t="s">
        <v>8124</v>
      </c>
      <c r="AE396" t="s">
        <v>8125</v>
      </c>
      <c r="AF396" t="s">
        <v>74</v>
      </c>
      <c r="AG396">
        <v>0</v>
      </c>
      <c r="AH396">
        <v>0</v>
      </c>
      <c r="AI396">
        <v>0</v>
      </c>
      <c r="AJ396">
        <v>0</v>
      </c>
      <c r="AK396">
        <v>1</v>
      </c>
      <c r="AL396" t="s">
        <v>8103</v>
      </c>
      <c r="AM396" t="s">
        <v>8104</v>
      </c>
      <c r="AN396" t="s">
        <v>8105</v>
      </c>
      <c r="AO396" t="s">
        <v>8106</v>
      </c>
      <c r="AP396" t="s">
        <v>8107</v>
      </c>
      <c r="AQ396" t="s">
        <v>74</v>
      </c>
      <c r="AR396" t="s">
        <v>8108</v>
      </c>
      <c r="AS396" t="s">
        <v>8109</v>
      </c>
      <c r="AT396" t="s">
        <v>7235</v>
      </c>
      <c r="AU396">
        <v>2018</v>
      </c>
      <c r="AV396">
        <v>32</v>
      </c>
      <c r="AW396">
        <v>1</v>
      </c>
      <c r="AX396" t="s">
        <v>74</v>
      </c>
      <c r="AY396" t="s">
        <v>8110</v>
      </c>
      <c r="AZ396" t="s">
        <v>74</v>
      </c>
      <c r="BA396">
        <v>674.17</v>
      </c>
      <c r="BB396" t="s">
        <v>74</v>
      </c>
      <c r="BC396" t="s">
        <v>74</v>
      </c>
      <c r="BD396" t="s">
        <v>74</v>
      </c>
      <c r="BE396" t="s">
        <v>74</v>
      </c>
      <c r="BF396" t="s">
        <v>74</v>
      </c>
      <c r="BG396" t="s">
        <v>74</v>
      </c>
      <c r="BH396" t="s">
        <v>74</v>
      </c>
      <c r="BI396">
        <v>1</v>
      </c>
      <c r="BJ396" t="s">
        <v>8111</v>
      </c>
      <c r="BK396" t="s">
        <v>1449</v>
      </c>
      <c r="BL396" t="s">
        <v>8112</v>
      </c>
      <c r="BM396" t="s">
        <v>8126</v>
      </c>
      <c r="BN396" t="s">
        <v>74</v>
      </c>
      <c r="BO396" t="s">
        <v>74</v>
      </c>
      <c r="BP396" t="s">
        <v>74</v>
      </c>
      <c r="BQ396" t="s">
        <v>74</v>
      </c>
      <c r="BR396" t="s">
        <v>105</v>
      </c>
      <c r="BS396" t="s">
        <v>8127</v>
      </c>
      <c r="BT396" t="str">
        <f>HYPERLINK("https%3A%2F%2Fwww.webofscience.com%2Fwos%2Fwoscc%2Ffull-record%2FWOS:000436985004384","View Full Record in Web of Science")</f>
        <v>View Full Record in Web of Science</v>
      </c>
    </row>
    <row r="397" spans="1:72" x14ac:dyDescent="0.15">
      <c r="A397" t="s">
        <v>72</v>
      </c>
      <c r="B397" t="s">
        <v>8128</v>
      </c>
      <c r="C397" t="s">
        <v>74</v>
      </c>
      <c r="D397" t="s">
        <v>74</v>
      </c>
      <c r="E397" t="s">
        <v>74</v>
      </c>
      <c r="F397" t="s">
        <v>8129</v>
      </c>
      <c r="G397" t="s">
        <v>74</v>
      </c>
      <c r="H397" t="s">
        <v>74</v>
      </c>
      <c r="I397" t="s">
        <v>8130</v>
      </c>
      <c r="J397" t="s">
        <v>810</v>
      </c>
      <c r="K397" t="s">
        <v>74</v>
      </c>
      <c r="L397" t="s">
        <v>74</v>
      </c>
      <c r="M397" t="s">
        <v>78</v>
      </c>
      <c r="N397" t="s">
        <v>79</v>
      </c>
      <c r="O397" t="s">
        <v>74</v>
      </c>
      <c r="P397" t="s">
        <v>74</v>
      </c>
      <c r="Q397" t="s">
        <v>74</v>
      </c>
      <c r="R397" t="s">
        <v>74</v>
      </c>
      <c r="S397" t="s">
        <v>74</v>
      </c>
      <c r="T397" t="s">
        <v>8131</v>
      </c>
      <c r="U397" t="s">
        <v>8132</v>
      </c>
      <c r="V397" t="s">
        <v>8133</v>
      </c>
      <c r="W397" t="s">
        <v>8134</v>
      </c>
      <c r="X397" t="s">
        <v>8135</v>
      </c>
      <c r="Y397" t="s">
        <v>8136</v>
      </c>
      <c r="Z397" t="s">
        <v>8137</v>
      </c>
      <c r="AA397" t="s">
        <v>8138</v>
      </c>
      <c r="AB397" t="s">
        <v>8139</v>
      </c>
      <c r="AC397" t="s">
        <v>8140</v>
      </c>
      <c r="AD397" t="s">
        <v>8141</v>
      </c>
      <c r="AE397" t="s">
        <v>8142</v>
      </c>
      <c r="AF397" t="s">
        <v>74</v>
      </c>
      <c r="AG397">
        <v>47</v>
      </c>
      <c r="AH397">
        <v>16</v>
      </c>
      <c r="AI397">
        <v>16</v>
      </c>
      <c r="AJ397">
        <v>2</v>
      </c>
      <c r="AK397">
        <v>18</v>
      </c>
      <c r="AL397" t="s">
        <v>627</v>
      </c>
      <c r="AM397" t="s">
        <v>628</v>
      </c>
      <c r="AN397" t="s">
        <v>629</v>
      </c>
      <c r="AO397" t="s">
        <v>823</v>
      </c>
      <c r="AP397" t="s">
        <v>74</v>
      </c>
      <c r="AQ397" t="s">
        <v>74</v>
      </c>
      <c r="AR397" t="s">
        <v>824</v>
      </c>
      <c r="AS397" t="s">
        <v>825</v>
      </c>
      <c r="AT397" t="s">
        <v>7235</v>
      </c>
      <c r="AU397">
        <v>2018</v>
      </c>
      <c r="AV397">
        <v>10</v>
      </c>
      <c r="AW397">
        <v>4</v>
      </c>
      <c r="AX397" t="s">
        <v>74</v>
      </c>
      <c r="AY397" t="s">
        <v>74</v>
      </c>
      <c r="AZ397" t="s">
        <v>74</v>
      </c>
      <c r="BA397" t="s">
        <v>74</v>
      </c>
      <c r="BB397" t="s">
        <v>74</v>
      </c>
      <c r="BC397" t="s">
        <v>74</v>
      </c>
      <c r="BD397">
        <v>621</v>
      </c>
      <c r="BE397" t="s">
        <v>8143</v>
      </c>
      <c r="BF397" t="str">
        <f>HYPERLINK("http://dx.doi.org/10.3390/rs10040621","http://dx.doi.org/10.3390/rs10040621")</f>
        <v>http://dx.doi.org/10.3390/rs10040621</v>
      </c>
      <c r="BG397" t="s">
        <v>74</v>
      </c>
      <c r="BH397" t="s">
        <v>74</v>
      </c>
      <c r="BI397">
        <v>20</v>
      </c>
      <c r="BJ397" t="s">
        <v>827</v>
      </c>
      <c r="BK397" t="s">
        <v>101</v>
      </c>
      <c r="BL397" t="s">
        <v>828</v>
      </c>
      <c r="BM397" t="s">
        <v>8144</v>
      </c>
      <c r="BN397" t="s">
        <v>74</v>
      </c>
      <c r="BO397" t="s">
        <v>830</v>
      </c>
      <c r="BP397" t="s">
        <v>74</v>
      </c>
      <c r="BQ397" t="s">
        <v>74</v>
      </c>
      <c r="BR397" t="s">
        <v>105</v>
      </c>
      <c r="BS397" t="s">
        <v>8145</v>
      </c>
      <c r="BT397" t="str">
        <f>HYPERLINK("https%3A%2F%2Fwww.webofscience.com%2Fwos%2Fwoscc%2Ffull-record%2FWOS:000435187500133","View Full Record in Web of Science")</f>
        <v>View Full Record in Web of Science</v>
      </c>
    </row>
    <row r="398" spans="1:72" x14ac:dyDescent="0.15">
      <c r="A398" t="s">
        <v>72</v>
      </c>
      <c r="B398" t="s">
        <v>8146</v>
      </c>
      <c r="C398" t="s">
        <v>74</v>
      </c>
      <c r="D398" t="s">
        <v>74</v>
      </c>
      <c r="E398" t="s">
        <v>74</v>
      </c>
      <c r="F398" t="s">
        <v>8147</v>
      </c>
      <c r="G398" t="s">
        <v>74</v>
      </c>
      <c r="H398" t="s">
        <v>74</v>
      </c>
      <c r="I398" t="s">
        <v>8148</v>
      </c>
      <c r="J398" t="s">
        <v>810</v>
      </c>
      <c r="K398" t="s">
        <v>74</v>
      </c>
      <c r="L398" t="s">
        <v>74</v>
      </c>
      <c r="M398" t="s">
        <v>78</v>
      </c>
      <c r="N398" t="s">
        <v>79</v>
      </c>
      <c r="O398" t="s">
        <v>74</v>
      </c>
      <c r="P398" t="s">
        <v>74</v>
      </c>
      <c r="Q398" t="s">
        <v>74</v>
      </c>
      <c r="R398" t="s">
        <v>74</v>
      </c>
      <c r="S398" t="s">
        <v>74</v>
      </c>
      <c r="T398" t="s">
        <v>8149</v>
      </c>
      <c r="U398" t="s">
        <v>8150</v>
      </c>
      <c r="V398" t="s">
        <v>8151</v>
      </c>
      <c r="W398" t="s">
        <v>8152</v>
      </c>
      <c r="X398" t="s">
        <v>8153</v>
      </c>
      <c r="Y398" t="s">
        <v>8154</v>
      </c>
      <c r="Z398" t="s">
        <v>8155</v>
      </c>
      <c r="AA398" t="s">
        <v>8156</v>
      </c>
      <c r="AB398" t="s">
        <v>8157</v>
      </c>
      <c r="AC398" t="s">
        <v>8158</v>
      </c>
      <c r="AD398" t="s">
        <v>1126</v>
      </c>
      <c r="AE398" t="s">
        <v>8159</v>
      </c>
      <c r="AF398" t="s">
        <v>74</v>
      </c>
      <c r="AG398">
        <v>38</v>
      </c>
      <c r="AH398">
        <v>6</v>
      </c>
      <c r="AI398">
        <v>6</v>
      </c>
      <c r="AJ398">
        <v>2</v>
      </c>
      <c r="AK398">
        <v>17</v>
      </c>
      <c r="AL398" t="s">
        <v>627</v>
      </c>
      <c r="AM398" t="s">
        <v>628</v>
      </c>
      <c r="AN398" t="s">
        <v>629</v>
      </c>
      <c r="AO398" t="s">
        <v>823</v>
      </c>
      <c r="AP398" t="s">
        <v>74</v>
      </c>
      <c r="AQ398" t="s">
        <v>74</v>
      </c>
      <c r="AR398" t="s">
        <v>824</v>
      </c>
      <c r="AS398" t="s">
        <v>825</v>
      </c>
      <c r="AT398" t="s">
        <v>7235</v>
      </c>
      <c r="AU398">
        <v>2018</v>
      </c>
      <c r="AV398">
        <v>10</v>
      </c>
      <c r="AW398">
        <v>4</v>
      </c>
      <c r="AX398" t="s">
        <v>74</v>
      </c>
      <c r="AY398" t="s">
        <v>74</v>
      </c>
      <c r="AZ398" t="s">
        <v>74</v>
      </c>
      <c r="BA398" t="s">
        <v>74</v>
      </c>
      <c r="BB398" t="s">
        <v>74</v>
      </c>
      <c r="BC398" t="s">
        <v>74</v>
      </c>
      <c r="BD398">
        <v>539</v>
      </c>
      <c r="BE398" t="s">
        <v>8160</v>
      </c>
      <c r="BF398" t="str">
        <f>HYPERLINK("http://dx.doi.org/10.3390/rs10040539","http://dx.doi.org/10.3390/rs10040539")</f>
        <v>http://dx.doi.org/10.3390/rs10040539</v>
      </c>
      <c r="BG398" t="s">
        <v>74</v>
      </c>
      <c r="BH398" t="s">
        <v>74</v>
      </c>
      <c r="BI398">
        <v>14</v>
      </c>
      <c r="BJ398" t="s">
        <v>827</v>
      </c>
      <c r="BK398" t="s">
        <v>101</v>
      </c>
      <c r="BL398" t="s">
        <v>828</v>
      </c>
      <c r="BM398" t="s">
        <v>8144</v>
      </c>
      <c r="BN398" t="s">
        <v>74</v>
      </c>
      <c r="BO398" t="s">
        <v>133</v>
      </c>
      <c r="BP398" t="s">
        <v>74</v>
      </c>
      <c r="BQ398" t="s">
        <v>74</v>
      </c>
      <c r="BR398" t="s">
        <v>105</v>
      </c>
      <c r="BS398" t="s">
        <v>8161</v>
      </c>
      <c r="BT398" t="str">
        <f>HYPERLINK("https%3A%2F%2Fwww.webofscience.com%2Fwos%2Fwoscc%2Ffull-record%2FWOS:000435187500051","View Full Record in Web of Science")</f>
        <v>View Full Record in Web of Science</v>
      </c>
    </row>
    <row r="399" spans="1:72" x14ac:dyDescent="0.15">
      <c r="A399" t="s">
        <v>72</v>
      </c>
      <c r="B399" t="s">
        <v>8162</v>
      </c>
      <c r="C399" t="s">
        <v>74</v>
      </c>
      <c r="D399" t="s">
        <v>74</v>
      </c>
      <c r="E399" t="s">
        <v>74</v>
      </c>
      <c r="F399" t="s">
        <v>8163</v>
      </c>
      <c r="G399" t="s">
        <v>74</v>
      </c>
      <c r="H399" t="s">
        <v>74</v>
      </c>
      <c r="I399" t="s">
        <v>8164</v>
      </c>
      <c r="J399" t="s">
        <v>8165</v>
      </c>
      <c r="K399" t="s">
        <v>74</v>
      </c>
      <c r="L399" t="s">
        <v>74</v>
      </c>
      <c r="M399" t="s">
        <v>78</v>
      </c>
      <c r="N399" t="s">
        <v>79</v>
      </c>
      <c r="O399" t="s">
        <v>74</v>
      </c>
      <c r="P399" t="s">
        <v>74</v>
      </c>
      <c r="Q399" t="s">
        <v>74</v>
      </c>
      <c r="R399" t="s">
        <v>74</v>
      </c>
      <c r="S399" t="s">
        <v>74</v>
      </c>
      <c r="T399" t="s">
        <v>74</v>
      </c>
      <c r="U399" t="s">
        <v>8166</v>
      </c>
      <c r="V399" t="s">
        <v>8167</v>
      </c>
      <c r="W399" t="s">
        <v>8168</v>
      </c>
      <c r="X399" t="s">
        <v>8169</v>
      </c>
      <c r="Y399" t="s">
        <v>8170</v>
      </c>
      <c r="Z399" t="s">
        <v>8171</v>
      </c>
      <c r="AA399" t="s">
        <v>74</v>
      </c>
      <c r="AB399" t="s">
        <v>74</v>
      </c>
      <c r="AC399" t="s">
        <v>74</v>
      </c>
      <c r="AD399" t="s">
        <v>74</v>
      </c>
      <c r="AE399" t="s">
        <v>74</v>
      </c>
      <c r="AF399" t="s">
        <v>74</v>
      </c>
      <c r="AG399">
        <v>28</v>
      </c>
      <c r="AH399">
        <v>5</v>
      </c>
      <c r="AI399">
        <v>5</v>
      </c>
      <c r="AJ399">
        <v>2</v>
      </c>
      <c r="AK399">
        <v>5</v>
      </c>
      <c r="AL399" t="s">
        <v>277</v>
      </c>
      <c r="AM399" t="s">
        <v>278</v>
      </c>
      <c r="AN399" t="s">
        <v>279</v>
      </c>
      <c r="AO399" t="s">
        <v>8172</v>
      </c>
      <c r="AP399" t="s">
        <v>8173</v>
      </c>
      <c r="AQ399" t="s">
        <v>74</v>
      </c>
      <c r="AR399" t="s">
        <v>8174</v>
      </c>
      <c r="AS399" t="s">
        <v>8175</v>
      </c>
      <c r="AT399" t="s">
        <v>7235</v>
      </c>
      <c r="AU399">
        <v>2018</v>
      </c>
      <c r="AV399">
        <v>134</v>
      </c>
      <c r="AW399" t="s">
        <v>74</v>
      </c>
      <c r="AX399" t="s">
        <v>74</v>
      </c>
      <c r="AY399" t="s">
        <v>74</v>
      </c>
      <c r="AZ399" t="s">
        <v>74</v>
      </c>
      <c r="BA399" t="s">
        <v>74</v>
      </c>
      <c r="BB399">
        <v>41</v>
      </c>
      <c r="BC399">
        <v>47</v>
      </c>
      <c r="BD399" t="s">
        <v>74</v>
      </c>
      <c r="BE399" t="s">
        <v>8176</v>
      </c>
      <c r="BF399" t="str">
        <f>HYPERLINK("http://dx.doi.org/10.1016/j.dsr.2018.02.005","http://dx.doi.org/10.1016/j.dsr.2018.02.005")</f>
        <v>http://dx.doi.org/10.1016/j.dsr.2018.02.005</v>
      </c>
      <c r="BG399" t="s">
        <v>74</v>
      </c>
      <c r="BH399" t="s">
        <v>74</v>
      </c>
      <c r="BI399">
        <v>7</v>
      </c>
      <c r="BJ399" t="s">
        <v>364</v>
      </c>
      <c r="BK399" t="s">
        <v>101</v>
      </c>
      <c r="BL399" t="s">
        <v>364</v>
      </c>
      <c r="BM399" t="s">
        <v>8177</v>
      </c>
      <c r="BN399" t="s">
        <v>74</v>
      </c>
      <c r="BO399" t="s">
        <v>74</v>
      </c>
      <c r="BP399" t="s">
        <v>74</v>
      </c>
      <c r="BQ399" t="s">
        <v>74</v>
      </c>
      <c r="BR399" t="s">
        <v>105</v>
      </c>
      <c r="BS399" t="s">
        <v>8178</v>
      </c>
      <c r="BT399" t="str">
        <f>HYPERLINK("https%3A%2F%2Fwww.webofscience.com%2Fwos%2Fwoscc%2Ffull-record%2FWOS:000437817600005","View Full Record in Web of Science")</f>
        <v>View Full Record in Web of Science</v>
      </c>
    </row>
    <row r="400" spans="1:72" x14ac:dyDescent="0.15">
      <c r="A400" t="s">
        <v>72</v>
      </c>
      <c r="B400" t="s">
        <v>8179</v>
      </c>
      <c r="C400" t="s">
        <v>74</v>
      </c>
      <c r="D400" t="s">
        <v>74</v>
      </c>
      <c r="E400" t="s">
        <v>74</v>
      </c>
      <c r="F400" t="s">
        <v>8180</v>
      </c>
      <c r="G400" t="s">
        <v>74</v>
      </c>
      <c r="H400" t="s">
        <v>74</v>
      </c>
      <c r="I400" t="s">
        <v>8181</v>
      </c>
      <c r="J400" t="s">
        <v>8165</v>
      </c>
      <c r="K400" t="s">
        <v>74</v>
      </c>
      <c r="L400" t="s">
        <v>74</v>
      </c>
      <c r="M400" t="s">
        <v>78</v>
      </c>
      <c r="N400" t="s">
        <v>79</v>
      </c>
      <c r="O400" t="s">
        <v>74</v>
      </c>
      <c r="P400" t="s">
        <v>74</v>
      </c>
      <c r="Q400" t="s">
        <v>74</v>
      </c>
      <c r="R400" t="s">
        <v>74</v>
      </c>
      <c r="S400" t="s">
        <v>74</v>
      </c>
      <c r="T400" t="s">
        <v>8182</v>
      </c>
      <c r="U400" t="s">
        <v>8183</v>
      </c>
      <c r="V400" t="s">
        <v>8184</v>
      </c>
      <c r="W400" t="s">
        <v>8185</v>
      </c>
      <c r="X400" t="s">
        <v>8186</v>
      </c>
      <c r="Y400" t="s">
        <v>8187</v>
      </c>
      <c r="Z400" t="s">
        <v>8188</v>
      </c>
      <c r="AA400" t="s">
        <v>8189</v>
      </c>
      <c r="AB400" t="s">
        <v>8190</v>
      </c>
      <c r="AC400" t="s">
        <v>74</v>
      </c>
      <c r="AD400" t="s">
        <v>74</v>
      </c>
      <c r="AE400" t="s">
        <v>74</v>
      </c>
      <c r="AF400" t="s">
        <v>74</v>
      </c>
      <c r="AG400">
        <v>100</v>
      </c>
      <c r="AH400">
        <v>33</v>
      </c>
      <c r="AI400">
        <v>33</v>
      </c>
      <c r="AJ400">
        <v>0</v>
      </c>
      <c r="AK400">
        <v>20</v>
      </c>
      <c r="AL400" t="s">
        <v>277</v>
      </c>
      <c r="AM400" t="s">
        <v>278</v>
      </c>
      <c r="AN400" t="s">
        <v>279</v>
      </c>
      <c r="AO400" t="s">
        <v>8172</v>
      </c>
      <c r="AP400" t="s">
        <v>8173</v>
      </c>
      <c r="AQ400" t="s">
        <v>74</v>
      </c>
      <c r="AR400" t="s">
        <v>8174</v>
      </c>
      <c r="AS400" t="s">
        <v>8175</v>
      </c>
      <c r="AT400" t="s">
        <v>7235</v>
      </c>
      <c r="AU400">
        <v>2018</v>
      </c>
      <c r="AV400">
        <v>134</v>
      </c>
      <c r="AW400" t="s">
        <v>74</v>
      </c>
      <c r="AX400" t="s">
        <v>74</v>
      </c>
      <c r="AY400" t="s">
        <v>74</v>
      </c>
      <c r="AZ400" t="s">
        <v>74</v>
      </c>
      <c r="BA400" t="s">
        <v>74</v>
      </c>
      <c r="BB400">
        <v>64</v>
      </c>
      <c r="BC400">
        <v>79</v>
      </c>
      <c r="BD400" t="s">
        <v>74</v>
      </c>
      <c r="BE400" t="s">
        <v>8191</v>
      </c>
      <c r="BF400" t="str">
        <f>HYPERLINK("http://dx.doi.org/10.1016/j.dsr.2018.01.006","http://dx.doi.org/10.1016/j.dsr.2018.01.006")</f>
        <v>http://dx.doi.org/10.1016/j.dsr.2018.01.006</v>
      </c>
      <c r="BG400" t="s">
        <v>74</v>
      </c>
      <c r="BH400" t="s">
        <v>74</v>
      </c>
      <c r="BI400">
        <v>16</v>
      </c>
      <c r="BJ400" t="s">
        <v>364</v>
      </c>
      <c r="BK400" t="s">
        <v>101</v>
      </c>
      <c r="BL400" t="s">
        <v>364</v>
      </c>
      <c r="BM400" t="s">
        <v>8177</v>
      </c>
      <c r="BN400" t="s">
        <v>74</v>
      </c>
      <c r="BO400" t="s">
        <v>341</v>
      </c>
      <c r="BP400" t="s">
        <v>74</v>
      </c>
      <c r="BQ400" t="s">
        <v>74</v>
      </c>
      <c r="BR400" t="s">
        <v>105</v>
      </c>
      <c r="BS400" t="s">
        <v>8192</v>
      </c>
      <c r="BT400" t="str">
        <f>HYPERLINK("https%3A%2F%2Fwww.webofscience.com%2Fwos%2Fwoscc%2Ffull-record%2FWOS:000437817600008","View Full Record in Web of Science")</f>
        <v>View Full Record in Web of Science</v>
      </c>
    </row>
    <row r="401" spans="1:72" x14ac:dyDescent="0.15">
      <c r="A401" t="s">
        <v>72</v>
      </c>
      <c r="B401" t="s">
        <v>8193</v>
      </c>
      <c r="C401" t="s">
        <v>74</v>
      </c>
      <c r="D401" t="s">
        <v>74</v>
      </c>
      <c r="E401" t="s">
        <v>74</v>
      </c>
      <c r="F401" t="s">
        <v>8194</v>
      </c>
      <c r="G401" t="s">
        <v>74</v>
      </c>
      <c r="H401" t="s">
        <v>74</v>
      </c>
      <c r="I401" t="s">
        <v>8195</v>
      </c>
      <c r="J401" t="s">
        <v>8196</v>
      </c>
      <c r="K401" t="s">
        <v>74</v>
      </c>
      <c r="L401" t="s">
        <v>74</v>
      </c>
      <c r="M401" t="s">
        <v>78</v>
      </c>
      <c r="N401" t="s">
        <v>79</v>
      </c>
      <c r="O401" t="s">
        <v>74</v>
      </c>
      <c r="P401" t="s">
        <v>74</v>
      </c>
      <c r="Q401" t="s">
        <v>74</v>
      </c>
      <c r="R401" t="s">
        <v>74</v>
      </c>
      <c r="S401" t="s">
        <v>74</v>
      </c>
      <c r="T401" t="s">
        <v>8197</v>
      </c>
      <c r="U401" t="s">
        <v>8198</v>
      </c>
      <c r="V401" t="s">
        <v>8199</v>
      </c>
      <c r="W401" t="s">
        <v>8200</v>
      </c>
      <c r="X401" t="s">
        <v>8201</v>
      </c>
      <c r="Y401" t="s">
        <v>8202</v>
      </c>
      <c r="Z401" t="s">
        <v>8203</v>
      </c>
      <c r="AA401" t="s">
        <v>8204</v>
      </c>
      <c r="AB401" t="s">
        <v>8205</v>
      </c>
      <c r="AC401" t="s">
        <v>8206</v>
      </c>
      <c r="AD401" t="s">
        <v>8207</v>
      </c>
      <c r="AE401" t="s">
        <v>8208</v>
      </c>
      <c r="AF401" t="s">
        <v>74</v>
      </c>
      <c r="AG401">
        <v>73</v>
      </c>
      <c r="AH401">
        <v>24</v>
      </c>
      <c r="AI401">
        <v>27</v>
      </c>
      <c r="AJ401">
        <v>2</v>
      </c>
      <c r="AK401">
        <v>46</v>
      </c>
      <c r="AL401" t="s">
        <v>627</v>
      </c>
      <c r="AM401" t="s">
        <v>628</v>
      </c>
      <c r="AN401" t="s">
        <v>629</v>
      </c>
      <c r="AO401" t="s">
        <v>8209</v>
      </c>
      <c r="AP401" t="s">
        <v>74</v>
      </c>
      <c r="AQ401" t="s">
        <v>74</v>
      </c>
      <c r="AR401" t="s">
        <v>8210</v>
      </c>
      <c r="AS401" t="s">
        <v>8211</v>
      </c>
      <c r="AT401" t="s">
        <v>7235</v>
      </c>
      <c r="AU401">
        <v>2018</v>
      </c>
      <c r="AV401">
        <v>15</v>
      </c>
      <c r="AW401">
        <v>4</v>
      </c>
      <c r="AX401" t="s">
        <v>74</v>
      </c>
      <c r="AY401" t="s">
        <v>74</v>
      </c>
      <c r="AZ401" t="s">
        <v>74</v>
      </c>
      <c r="BA401" t="s">
        <v>74</v>
      </c>
      <c r="BB401" t="s">
        <v>74</v>
      </c>
      <c r="BC401" t="s">
        <v>74</v>
      </c>
      <c r="BD401">
        <v>734</v>
      </c>
      <c r="BE401" t="s">
        <v>8212</v>
      </c>
      <c r="BF401" t="str">
        <f>HYPERLINK("http://dx.doi.org/10.3390/ijerph15040734","http://dx.doi.org/10.3390/ijerph15040734")</f>
        <v>http://dx.doi.org/10.3390/ijerph15040734</v>
      </c>
      <c r="BG401" t="s">
        <v>74</v>
      </c>
      <c r="BH401" t="s">
        <v>74</v>
      </c>
      <c r="BI401">
        <v>14</v>
      </c>
      <c r="BJ401" t="s">
        <v>5260</v>
      </c>
      <c r="BK401" t="s">
        <v>484</v>
      </c>
      <c r="BL401" t="s">
        <v>5261</v>
      </c>
      <c r="BM401" t="s">
        <v>8213</v>
      </c>
      <c r="BN401">
        <v>29649142</v>
      </c>
      <c r="BO401" t="s">
        <v>2233</v>
      </c>
      <c r="BP401" t="s">
        <v>74</v>
      </c>
      <c r="BQ401" t="s">
        <v>74</v>
      </c>
      <c r="BR401" t="s">
        <v>105</v>
      </c>
      <c r="BS401" t="s">
        <v>8214</v>
      </c>
      <c r="BT401" t="str">
        <f>HYPERLINK("https%3A%2F%2Fwww.webofscience.com%2Fwos%2Fwoscc%2Ffull-record%2FWOS:000434868800173","View Full Record in Web of Science")</f>
        <v>View Full Record in Web of Science</v>
      </c>
    </row>
    <row r="402" spans="1:72" x14ac:dyDescent="0.15">
      <c r="A402" t="s">
        <v>72</v>
      </c>
      <c r="B402" t="s">
        <v>8215</v>
      </c>
      <c r="C402" t="s">
        <v>74</v>
      </c>
      <c r="D402" t="s">
        <v>74</v>
      </c>
      <c r="E402" t="s">
        <v>74</v>
      </c>
      <c r="F402" t="s">
        <v>8216</v>
      </c>
      <c r="G402" t="s">
        <v>74</v>
      </c>
      <c r="H402" t="s">
        <v>74</v>
      </c>
      <c r="I402" t="s">
        <v>8217</v>
      </c>
      <c r="J402" t="s">
        <v>4115</v>
      </c>
      <c r="K402" t="s">
        <v>74</v>
      </c>
      <c r="L402" t="s">
        <v>74</v>
      </c>
      <c r="M402" t="s">
        <v>78</v>
      </c>
      <c r="N402" t="s">
        <v>79</v>
      </c>
      <c r="O402" t="s">
        <v>74</v>
      </c>
      <c r="P402" t="s">
        <v>74</v>
      </c>
      <c r="Q402" t="s">
        <v>74</v>
      </c>
      <c r="R402" t="s">
        <v>74</v>
      </c>
      <c r="S402" t="s">
        <v>74</v>
      </c>
      <c r="T402" t="s">
        <v>74</v>
      </c>
      <c r="U402" t="s">
        <v>8218</v>
      </c>
      <c r="V402" t="s">
        <v>8219</v>
      </c>
      <c r="W402" t="s">
        <v>8220</v>
      </c>
      <c r="X402" t="s">
        <v>8221</v>
      </c>
      <c r="Y402" t="s">
        <v>8222</v>
      </c>
      <c r="Z402" t="s">
        <v>8223</v>
      </c>
      <c r="AA402" t="s">
        <v>8224</v>
      </c>
      <c r="AB402" t="s">
        <v>8225</v>
      </c>
      <c r="AC402" t="s">
        <v>8226</v>
      </c>
      <c r="AD402" t="s">
        <v>8227</v>
      </c>
      <c r="AE402" t="s">
        <v>8228</v>
      </c>
      <c r="AF402" t="s">
        <v>74</v>
      </c>
      <c r="AG402">
        <v>65</v>
      </c>
      <c r="AH402">
        <v>32</v>
      </c>
      <c r="AI402">
        <v>36</v>
      </c>
      <c r="AJ402">
        <v>0</v>
      </c>
      <c r="AK402">
        <v>6</v>
      </c>
      <c r="AL402" t="s">
        <v>3595</v>
      </c>
      <c r="AM402" t="s">
        <v>3596</v>
      </c>
      <c r="AN402" t="s">
        <v>3597</v>
      </c>
      <c r="AO402" t="s">
        <v>4122</v>
      </c>
      <c r="AP402" t="s">
        <v>4123</v>
      </c>
      <c r="AQ402" t="s">
        <v>74</v>
      </c>
      <c r="AR402" t="s">
        <v>4124</v>
      </c>
      <c r="AS402" t="s">
        <v>4125</v>
      </c>
      <c r="AT402" t="s">
        <v>7235</v>
      </c>
      <c r="AU402">
        <v>2018</v>
      </c>
      <c r="AV402">
        <v>48</v>
      </c>
      <c r="AW402">
        <v>4</v>
      </c>
      <c r="AX402" t="s">
        <v>74</v>
      </c>
      <c r="AY402" t="s">
        <v>74</v>
      </c>
      <c r="AZ402" t="s">
        <v>74</v>
      </c>
      <c r="BA402" t="s">
        <v>74</v>
      </c>
      <c r="BB402">
        <v>773</v>
      </c>
      <c r="BC402">
        <v>794</v>
      </c>
      <c r="BD402" t="s">
        <v>74</v>
      </c>
      <c r="BE402" t="s">
        <v>8229</v>
      </c>
      <c r="BF402" t="str">
        <f>HYPERLINK("http://dx.doi.org/10.1175/JPO-D-17-0205.1","http://dx.doi.org/10.1175/JPO-D-17-0205.1")</f>
        <v>http://dx.doi.org/10.1175/JPO-D-17-0205.1</v>
      </c>
      <c r="BG402" t="s">
        <v>74</v>
      </c>
      <c r="BH402" t="s">
        <v>74</v>
      </c>
      <c r="BI402">
        <v>22</v>
      </c>
      <c r="BJ402" t="s">
        <v>364</v>
      </c>
      <c r="BK402" t="s">
        <v>101</v>
      </c>
      <c r="BL402" t="s">
        <v>364</v>
      </c>
      <c r="BM402" t="s">
        <v>8230</v>
      </c>
      <c r="BN402" t="s">
        <v>74</v>
      </c>
      <c r="BO402" t="s">
        <v>2746</v>
      </c>
      <c r="BP402" t="s">
        <v>74</v>
      </c>
      <c r="BQ402" t="s">
        <v>74</v>
      </c>
      <c r="BR402" t="s">
        <v>105</v>
      </c>
      <c r="BS402" t="s">
        <v>8231</v>
      </c>
      <c r="BT402" t="str">
        <f>HYPERLINK("https%3A%2F%2Fwww.webofscience.com%2Fwos%2Fwoscc%2Ffull-record%2FWOS:000434940100002","View Full Record in Web of Science")</f>
        <v>View Full Record in Web of Science</v>
      </c>
    </row>
    <row r="403" spans="1:72" x14ac:dyDescent="0.15">
      <c r="A403" t="s">
        <v>72</v>
      </c>
      <c r="B403" t="s">
        <v>8232</v>
      </c>
      <c r="C403" t="s">
        <v>74</v>
      </c>
      <c r="D403" t="s">
        <v>74</v>
      </c>
      <c r="E403" t="s">
        <v>74</v>
      </c>
      <c r="F403" t="s">
        <v>8233</v>
      </c>
      <c r="G403" t="s">
        <v>74</v>
      </c>
      <c r="H403" t="s">
        <v>74</v>
      </c>
      <c r="I403" t="s">
        <v>8234</v>
      </c>
      <c r="J403" t="s">
        <v>8235</v>
      </c>
      <c r="K403" t="s">
        <v>74</v>
      </c>
      <c r="L403" t="s">
        <v>74</v>
      </c>
      <c r="M403" t="s">
        <v>78</v>
      </c>
      <c r="N403" t="s">
        <v>79</v>
      </c>
      <c r="O403" t="s">
        <v>74</v>
      </c>
      <c r="P403" t="s">
        <v>74</v>
      </c>
      <c r="Q403" t="s">
        <v>74</v>
      </c>
      <c r="R403" t="s">
        <v>74</v>
      </c>
      <c r="S403" t="s">
        <v>74</v>
      </c>
      <c r="T403" t="s">
        <v>8236</v>
      </c>
      <c r="U403" t="s">
        <v>8237</v>
      </c>
      <c r="V403" t="s">
        <v>8238</v>
      </c>
      <c r="W403" t="s">
        <v>8239</v>
      </c>
      <c r="X403" t="s">
        <v>8135</v>
      </c>
      <c r="Y403" t="s">
        <v>8240</v>
      </c>
      <c r="Z403" t="s">
        <v>8241</v>
      </c>
      <c r="AA403" t="s">
        <v>8242</v>
      </c>
      <c r="AB403" t="s">
        <v>8243</v>
      </c>
      <c r="AC403" t="s">
        <v>8244</v>
      </c>
      <c r="AD403" t="s">
        <v>8245</v>
      </c>
      <c r="AE403" t="s">
        <v>8246</v>
      </c>
      <c r="AF403" t="s">
        <v>74</v>
      </c>
      <c r="AG403">
        <v>30</v>
      </c>
      <c r="AH403">
        <v>6</v>
      </c>
      <c r="AI403">
        <v>7</v>
      </c>
      <c r="AJ403">
        <v>2</v>
      </c>
      <c r="AK403">
        <v>33</v>
      </c>
      <c r="AL403" t="s">
        <v>627</v>
      </c>
      <c r="AM403" t="s">
        <v>628</v>
      </c>
      <c r="AN403" t="s">
        <v>629</v>
      </c>
      <c r="AO403" t="s">
        <v>74</v>
      </c>
      <c r="AP403" t="s">
        <v>8247</v>
      </c>
      <c r="AQ403" t="s">
        <v>74</v>
      </c>
      <c r="AR403" t="s">
        <v>8248</v>
      </c>
      <c r="AS403" t="s">
        <v>8249</v>
      </c>
      <c r="AT403" t="s">
        <v>7235</v>
      </c>
      <c r="AU403">
        <v>2018</v>
      </c>
      <c r="AV403">
        <v>18</v>
      </c>
      <c r="AW403">
        <v>4</v>
      </c>
      <c r="AX403" t="s">
        <v>74</v>
      </c>
      <c r="AY403" t="s">
        <v>74</v>
      </c>
      <c r="AZ403" t="s">
        <v>74</v>
      </c>
      <c r="BA403" t="s">
        <v>74</v>
      </c>
      <c r="BB403" t="s">
        <v>74</v>
      </c>
      <c r="BC403" t="s">
        <v>74</v>
      </c>
      <c r="BD403">
        <v>1109</v>
      </c>
      <c r="BE403" t="s">
        <v>8250</v>
      </c>
      <c r="BF403" t="str">
        <f>HYPERLINK("http://dx.doi.org/10.3390/s18041109","http://dx.doi.org/10.3390/s18041109")</f>
        <v>http://dx.doi.org/10.3390/s18041109</v>
      </c>
      <c r="BG403" t="s">
        <v>74</v>
      </c>
      <c r="BH403" t="s">
        <v>74</v>
      </c>
      <c r="BI403">
        <v>13</v>
      </c>
      <c r="BJ403" t="s">
        <v>8251</v>
      </c>
      <c r="BK403" t="s">
        <v>101</v>
      </c>
      <c r="BL403" t="s">
        <v>8252</v>
      </c>
      <c r="BM403" t="s">
        <v>8253</v>
      </c>
      <c r="BN403">
        <v>29621173</v>
      </c>
      <c r="BO403" t="s">
        <v>2293</v>
      </c>
      <c r="BP403" t="s">
        <v>74</v>
      </c>
      <c r="BQ403" t="s">
        <v>74</v>
      </c>
      <c r="BR403" t="s">
        <v>105</v>
      </c>
      <c r="BS403" t="s">
        <v>8254</v>
      </c>
      <c r="BT403" t="str">
        <f>HYPERLINK("https%3A%2F%2Fwww.webofscience.com%2Fwos%2Fwoscc%2Ffull-record%2FWOS:000435574800181","View Full Record in Web of Science")</f>
        <v>View Full Record in Web of Science</v>
      </c>
    </row>
    <row r="404" spans="1:72" x14ac:dyDescent="0.15">
      <c r="A404" t="s">
        <v>72</v>
      </c>
      <c r="B404" t="s">
        <v>8255</v>
      </c>
      <c r="C404" t="s">
        <v>74</v>
      </c>
      <c r="D404" t="s">
        <v>74</v>
      </c>
      <c r="E404" t="s">
        <v>74</v>
      </c>
      <c r="F404" t="s">
        <v>8256</v>
      </c>
      <c r="G404" t="s">
        <v>74</v>
      </c>
      <c r="H404" t="s">
        <v>74</v>
      </c>
      <c r="I404" t="s">
        <v>8257</v>
      </c>
      <c r="J404" t="s">
        <v>8258</v>
      </c>
      <c r="K404" t="s">
        <v>74</v>
      </c>
      <c r="L404" t="s">
        <v>74</v>
      </c>
      <c r="M404" t="s">
        <v>78</v>
      </c>
      <c r="N404" t="s">
        <v>79</v>
      </c>
      <c r="O404" t="s">
        <v>74</v>
      </c>
      <c r="P404" t="s">
        <v>74</v>
      </c>
      <c r="Q404" t="s">
        <v>74</v>
      </c>
      <c r="R404" t="s">
        <v>74</v>
      </c>
      <c r="S404" t="s">
        <v>74</v>
      </c>
      <c r="T404" t="s">
        <v>8259</v>
      </c>
      <c r="U404" t="s">
        <v>8260</v>
      </c>
      <c r="V404" t="s">
        <v>8261</v>
      </c>
      <c r="W404" t="s">
        <v>8262</v>
      </c>
      <c r="X404" t="s">
        <v>8263</v>
      </c>
      <c r="Y404" t="s">
        <v>8264</v>
      </c>
      <c r="Z404" t="s">
        <v>8265</v>
      </c>
      <c r="AA404" t="s">
        <v>8266</v>
      </c>
      <c r="AB404" t="s">
        <v>8267</v>
      </c>
      <c r="AC404" t="s">
        <v>8268</v>
      </c>
      <c r="AD404" t="s">
        <v>8269</v>
      </c>
      <c r="AE404" t="s">
        <v>8270</v>
      </c>
      <c r="AF404" t="s">
        <v>74</v>
      </c>
      <c r="AG404">
        <v>90</v>
      </c>
      <c r="AH404">
        <v>83</v>
      </c>
      <c r="AI404">
        <v>87</v>
      </c>
      <c r="AJ404">
        <v>3</v>
      </c>
      <c r="AK404">
        <v>63</v>
      </c>
      <c r="AL404" t="s">
        <v>179</v>
      </c>
      <c r="AM404" t="s">
        <v>180</v>
      </c>
      <c r="AN404" t="s">
        <v>181</v>
      </c>
      <c r="AO404" t="s">
        <v>8271</v>
      </c>
      <c r="AP404" t="s">
        <v>74</v>
      </c>
      <c r="AQ404" t="s">
        <v>74</v>
      </c>
      <c r="AR404" t="s">
        <v>8258</v>
      </c>
      <c r="AS404" t="s">
        <v>8272</v>
      </c>
      <c r="AT404" t="s">
        <v>7235</v>
      </c>
      <c r="AU404">
        <v>2018</v>
      </c>
      <c r="AV404">
        <v>9</v>
      </c>
      <c r="AW404">
        <v>4</v>
      </c>
      <c r="AX404" t="s">
        <v>74</v>
      </c>
      <c r="AY404" t="s">
        <v>74</v>
      </c>
      <c r="AZ404" t="s">
        <v>74</v>
      </c>
      <c r="BA404" t="s">
        <v>74</v>
      </c>
      <c r="BB404" t="s">
        <v>74</v>
      </c>
      <c r="BC404" t="s">
        <v>74</v>
      </c>
      <c r="BD404" t="s">
        <v>8273</v>
      </c>
      <c r="BE404" t="s">
        <v>8274</v>
      </c>
      <c r="BF404" t="str">
        <f>HYPERLINK("http://dx.doi.org/10.1002/ecs2.2171","http://dx.doi.org/10.1002/ecs2.2171")</f>
        <v>http://dx.doi.org/10.1002/ecs2.2171</v>
      </c>
      <c r="BG404" t="s">
        <v>74</v>
      </c>
      <c r="BH404" t="s">
        <v>74</v>
      </c>
      <c r="BI404">
        <v>17</v>
      </c>
      <c r="BJ404" t="s">
        <v>314</v>
      </c>
      <c r="BK404" t="s">
        <v>101</v>
      </c>
      <c r="BL404" t="s">
        <v>315</v>
      </c>
      <c r="BM404" t="s">
        <v>8275</v>
      </c>
      <c r="BN404" t="s">
        <v>74</v>
      </c>
      <c r="BO404" t="s">
        <v>133</v>
      </c>
      <c r="BP404" t="s">
        <v>74</v>
      </c>
      <c r="BQ404" t="s">
        <v>74</v>
      </c>
      <c r="BR404" t="s">
        <v>105</v>
      </c>
      <c r="BS404" t="s">
        <v>8276</v>
      </c>
      <c r="BT404" t="str">
        <f>HYPERLINK("https%3A%2F%2Fwww.webofscience.com%2Fwos%2Fwoscc%2Ffull-record%2FWOS:000435729400004","View Full Record in Web of Science")</f>
        <v>View Full Record in Web of Science</v>
      </c>
    </row>
    <row r="405" spans="1:72" x14ac:dyDescent="0.15">
      <c r="A405" t="s">
        <v>72</v>
      </c>
      <c r="B405" t="s">
        <v>8277</v>
      </c>
      <c r="C405" t="s">
        <v>74</v>
      </c>
      <c r="D405" t="s">
        <v>74</v>
      </c>
      <c r="E405" t="s">
        <v>74</v>
      </c>
      <c r="F405" t="s">
        <v>8278</v>
      </c>
      <c r="G405" t="s">
        <v>74</v>
      </c>
      <c r="H405" t="s">
        <v>74</v>
      </c>
      <c r="I405" t="s">
        <v>8279</v>
      </c>
      <c r="J405" t="s">
        <v>3656</v>
      </c>
      <c r="K405" t="s">
        <v>74</v>
      </c>
      <c r="L405" t="s">
        <v>74</v>
      </c>
      <c r="M405" t="s">
        <v>78</v>
      </c>
      <c r="N405" t="s">
        <v>79</v>
      </c>
      <c r="O405" t="s">
        <v>74</v>
      </c>
      <c r="P405" t="s">
        <v>74</v>
      </c>
      <c r="Q405" t="s">
        <v>74</v>
      </c>
      <c r="R405" t="s">
        <v>74</v>
      </c>
      <c r="S405" t="s">
        <v>74</v>
      </c>
      <c r="T405" t="s">
        <v>8280</v>
      </c>
      <c r="U405" t="s">
        <v>8281</v>
      </c>
      <c r="V405" t="s">
        <v>8282</v>
      </c>
      <c r="W405" t="s">
        <v>8283</v>
      </c>
      <c r="X405" t="s">
        <v>8284</v>
      </c>
      <c r="Y405" t="s">
        <v>8285</v>
      </c>
      <c r="Z405" t="s">
        <v>8286</v>
      </c>
      <c r="AA405" t="s">
        <v>8287</v>
      </c>
      <c r="AB405" t="s">
        <v>8288</v>
      </c>
      <c r="AC405" t="s">
        <v>8289</v>
      </c>
      <c r="AD405" t="s">
        <v>8290</v>
      </c>
      <c r="AE405" t="s">
        <v>8291</v>
      </c>
      <c r="AF405" t="s">
        <v>74</v>
      </c>
      <c r="AG405">
        <v>39</v>
      </c>
      <c r="AH405">
        <v>2</v>
      </c>
      <c r="AI405">
        <v>2</v>
      </c>
      <c r="AJ405">
        <v>1</v>
      </c>
      <c r="AK405">
        <v>13</v>
      </c>
      <c r="AL405" t="s">
        <v>574</v>
      </c>
      <c r="AM405" t="s">
        <v>575</v>
      </c>
      <c r="AN405" t="s">
        <v>576</v>
      </c>
      <c r="AO405" t="s">
        <v>3669</v>
      </c>
      <c r="AP405" t="s">
        <v>3670</v>
      </c>
      <c r="AQ405" t="s">
        <v>74</v>
      </c>
      <c r="AR405" t="s">
        <v>3671</v>
      </c>
      <c r="AS405" t="s">
        <v>3672</v>
      </c>
      <c r="AT405" t="s">
        <v>7235</v>
      </c>
      <c r="AU405">
        <v>2018</v>
      </c>
      <c r="AV405">
        <v>123</v>
      </c>
      <c r="AW405">
        <v>4</v>
      </c>
      <c r="AX405" t="s">
        <v>74</v>
      </c>
      <c r="AY405" t="s">
        <v>74</v>
      </c>
      <c r="AZ405" t="s">
        <v>74</v>
      </c>
      <c r="BA405" t="s">
        <v>74</v>
      </c>
      <c r="BB405">
        <v>2615</v>
      </c>
      <c r="BC405">
        <v>2634</v>
      </c>
      <c r="BD405" t="s">
        <v>74</v>
      </c>
      <c r="BE405" t="s">
        <v>8292</v>
      </c>
      <c r="BF405" t="str">
        <f>HYPERLINK("http://dx.doi.org/10.1002/2017JC013536","http://dx.doi.org/10.1002/2017JC013536")</f>
        <v>http://dx.doi.org/10.1002/2017JC013536</v>
      </c>
      <c r="BG405" t="s">
        <v>74</v>
      </c>
      <c r="BH405" t="s">
        <v>74</v>
      </c>
      <c r="BI405">
        <v>20</v>
      </c>
      <c r="BJ405" t="s">
        <v>364</v>
      </c>
      <c r="BK405" t="s">
        <v>101</v>
      </c>
      <c r="BL405" t="s">
        <v>364</v>
      </c>
      <c r="BM405" t="s">
        <v>7522</v>
      </c>
      <c r="BN405" t="s">
        <v>74</v>
      </c>
      <c r="BO405" t="s">
        <v>5821</v>
      </c>
      <c r="BP405" t="s">
        <v>74</v>
      </c>
      <c r="BQ405" t="s">
        <v>74</v>
      </c>
      <c r="BR405" t="s">
        <v>105</v>
      </c>
      <c r="BS405" t="s">
        <v>8293</v>
      </c>
      <c r="BT405" t="str">
        <f>HYPERLINK("https%3A%2F%2Fwww.webofscience.com%2Fwos%2Fwoscc%2Ffull-record%2FWOS:000434131900017","View Full Record in Web of Science")</f>
        <v>View Full Record in Web of Science</v>
      </c>
    </row>
    <row r="406" spans="1:72" x14ac:dyDescent="0.15">
      <c r="A406" t="s">
        <v>72</v>
      </c>
      <c r="B406" t="s">
        <v>8294</v>
      </c>
      <c r="C406" t="s">
        <v>74</v>
      </c>
      <c r="D406" t="s">
        <v>74</v>
      </c>
      <c r="E406" t="s">
        <v>74</v>
      </c>
      <c r="F406" t="s">
        <v>8295</v>
      </c>
      <c r="G406" t="s">
        <v>74</v>
      </c>
      <c r="H406" t="s">
        <v>74</v>
      </c>
      <c r="I406" t="s">
        <v>8296</v>
      </c>
      <c r="J406" t="s">
        <v>3656</v>
      </c>
      <c r="K406" t="s">
        <v>74</v>
      </c>
      <c r="L406" t="s">
        <v>74</v>
      </c>
      <c r="M406" t="s">
        <v>78</v>
      </c>
      <c r="N406" t="s">
        <v>79</v>
      </c>
      <c r="O406" t="s">
        <v>74</v>
      </c>
      <c r="P406" t="s">
        <v>74</v>
      </c>
      <c r="Q406" t="s">
        <v>74</v>
      </c>
      <c r="R406" t="s">
        <v>74</v>
      </c>
      <c r="S406" t="s">
        <v>74</v>
      </c>
      <c r="T406" t="s">
        <v>8297</v>
      </c>
      <c r="U406" t="s">
        <v>8298</v>
      </c>
      <c r="V406" t="s">
        <v>8299</v>
      </c>
      <c r="W406" t="s">
        <v>8300</v>
      </c>
      <c r="X406" t="s">
        <v>8301</v>
      </c>
      <c r="Y406" t="s">
        <v>8302</v>
      </c>
      <c r="Z406" t="s">
        <v>8303</v>
      </c>
      <c r="AA406" t="s">
        <v>8304</v>
      </c>
      <c r="AB406" t="s">
        <v>8305</v>
      </c>
      <c r="AC406" t="s">
        <v>8306</v>
      </c>
      <c r="AD406" t="s">
        <v>8307</v>
      </c>
      <c r="AE406" t="s">
        <v>8308</v>
      </c>
      <c r="AF406" t="s">
        <v>74</v>
      </c>
      <c r="AG406">
        <v>43</v>
      </c>
      <c r="AH406">
        <v>21</v>
      </c>
      <c r="AI406">
        <v>21</v>
      </c>
      <c r="AJ406">
        <v>0</v>
      </c>
      <c r="AK406">
        <v>7</v>
      </c>
      <c r="AL406" t="s">
        <v>574</v>
      </c>
      <c r="AM406" t="s">
        <v>575</v>
      </c>
      <c r="AN406" t="s">
        <v>576</v>
      </c>
      <c r="AO406" t="s">
        <v>3669</v>
      </c>
      <c r="AP406" t="s">
        <v>3670</v>
      </c>
      <c r="AQ406" t="s">
        <v>74</v>
      </c>
      <c r="AR406" t="s">
        <v>3671</v>
      </c>
      <c r="AS406" t="s">
        <v>3672</v>
      </c>
      <c r="AT406" t="s">
        <v>7235</v>
      </c>
      <c r="AU406">
        <v>2018</v>
      </c>
      <c r="AV406">
        <v>123</v>
      </c>
      <c r="AW406">
        <v>4</v>
      </c>
      <c r="AX406" t="s">
        <v>74</v>
      </c>
      <c r="AY406" t="s">
        <v>74</v>
      </c>
      <c r="AZ406" t="s">
        <v>74</v>
      </c>
      <c r="BA406" t="s">
        <v>74</v>
      </c>
      <c r="BB406">
        <v>2646</v>
      </c>
      <c r="BC406">
        <v>2667</v>
      </c>
      <c r="BD406" t="s">
        <v>74</v>
      </c>
      <c r="BE406" t="s">
        <v>8309</v>
      </c>
      <c r="BF406" t="str">
        <f>HYPERLINK("http://dx.doi.org/10.1002/2018JC013774","http://dx.doi.org/10.1002/2018JC013774")</f>
        <v>http://dx.doi.org/10.1002/2018JC013774</v>
      </c>
      <c r="BG406" t="s">
        <v>74</v>
      </c>
      <c r="BH406" t="s">
        <v>74</v>
      </c>
      <c r="BI406">
        <v>22</v>
      </c>
      <c r="BJ406" t="s">
        <v>364</v>
      </c>
      <c r="BK406" t="s">
        <v>101</v>
      </c>
      <c r="BL406" t="s">
        <v>364</v>
      </c>
      <c r="BM406" t="s">
        <v>7522</v>
      </c>
      <c r="BN406" t="s">
        <v>74</v>
      </c>
      <c r="BO406" t="s">
        <v>8310</v>
      </c>
      <c r="BP406" t="s">
        <v>74</v>
      </c>
      <c r="BQ406" t="s">
        <v>74</v>
      </c>
      <c r="BR406" t="s">
        <v>105</v>
      </c>
      <c r="BS406" t="s">
        <v>8311</v>
      </c>
      <c r="BT406" t="str">
        <f>HYPERLINK("https%3A%2F%2Fwww.webofscience.com%2Fwos%2Fwoscc%2Ffull-record%2FWOS:000434131900019","View Full Record in Web of Science")</f>
        <v>View Full Record in Web of Science</v>
      </c>
    </row>
    <row r="407" spans="1:72" x14ac:dyDescent="0.15">
      <c r="A407" t="s">
        <v>72</v>
      </c>
      <c r="B407" t="s">
        <v>8312</v>
      </c>
      <c r="C407" t="s">
        <v>74</v>
      </c>
      <c r="D407" t="s">
        <v>74</v>
      </c>
      <c r="E407" t="s">
        <v>74</v>
      </c>
      <c r="F407" t="s">
        <v>8313</v>
      </c>
      <c r="G407" t="s">
        <v>74</v>
      </c>
      <c r="H407" t="s">
        <v>74</v>
      </c>
      <c r="I407" t="s">
        <v>8314</v>
      </c>
      <c r="J407" t="s">
        <v>3656</v>
      </c>
      <c r="K407" t="s">
        <v>74</v>
      </c>
      <c r="L407" t="s">
        <v>74</v>
      </c>
      <c r="M407" t="s">
        <v>78</v>
      </c>
      <c r="N407" t="s">
        <v>79</v>
      </c>
      <c r="O407" t="s">
        <v>74</v>
      </c>
      <c r="P407" t="s">
        <v>74</v>
      </c>
      <c r="Q407" t="s">
        <v>74</v>
      </c>
      <c r="R407" t="s">
        <v>74</v>
      </c>
      <c r="S407" t="s">
        <v>74</v>
      </c>
      <c r="T407" t="s">
        <v>8315</v>
      </c>
      <c r="U407" t="s">
        <v>8316</v>
      </c>
      <c r="V407" t="s">
        <v>8317</v>
      </c>
      <c r="W407" t="s">
        <v>8318</v>
      </c>
      <c r="X407" t="s">
        <v>8319</v>
      </c>
      <c r="Y407" t="s">
        <v>8320</v>
      </c>
      <c r="Z407" t="s">
        <v>8321</v>
      </c>
      <c r="AA407" t="s">
        <v>8322</v>
      </c>
      <c r="AB407" t="s">
        <v>8323</v>
      </c>
      <c r="AC407" t="s">
        <v>8324</v>
      </c>
      <c r="AD407" t="s">
        <v>8325</v>
      </c>
      <c r="AE407" t="s">
        <v>8326</v>
      </c>
      <c r="AF407" t="s">
        <v>74</v>
      </c>
      <c r="AG407">
        <v>64</v>
      </c>
      <c r="AH407">
        <v>19</v>
      </c>
      <c r="AI407">
        <v>22</v>
      </c>
      <c r="AJ407">
        <v>0</v>
      </c>
      <c r="AK407">
        <v>19</v>
      </c>
      <c r="AL407" t="s">
        <v>574</v>
      </c>
      <c r="AM407" t="s">
        <v>575</v>
      </c>
      <c r="AN407" t="s">
        <v>576</v>
      </c>
      <c r="AO407" t="s">
        <v>3669</v>
      </c>
      <c r="AP407" t="s">
        <v>3670</v>
      </c>
      <c r="AQ407" t="s">
        <v>74</v>
      </c>
      <c r="AR407" t="s">
        <v>3671</v>
      </c>
      <c r="AS407" t="s">
        <v>3672</v>
      </c>
      <c r="AT407" t="s">
        <v>7235</v>
      </c>
      <c r="AU407">
        <v>2018</v>
      </c>
      <c r="AV407">
        <v>123</v>
      </c>
      <c r="AW407">
        <v>4</v>
      </c>
      <c r="AX407" t="s">
        <v>74</v>
      </c>
      <c r="AY407" t="s">
        <v>74</v>
      </c>
      <c r="AZ407" t="s">
        <v>74</v>
      </c>
      <c r="BA407" t="s">
        <v>74</v>
      </c>
      <c r="BB407">
        <v>3072</v>
      </c>
      <c r="BC407">
        <v>3099</v>
      </c>
      <c r="BD407" t="s">
        <v>74</v>
      </c>
      <c r="BE407" t="s">
        <v>8327</v>
      </c>
      <c r="BF407" t="str">
        <f>HYPERLINK("http://dx.doi.org/10.1029/2018JC013833","http://dx.doi.org/10.1029/2018JC013833")</f>
        <v>http://dx.doi.org/10.1029/2018JC013833</v>
      </c>
      <c r="BG407" t="s">
        <v>74</v>
      </c>
      <c r="BH407" t="s">
        <v>74</v>
      </c>
      <c r="BI407">
        <v>28</v>
      </c>
      <c r="BJ407" t="s">
        <v>364</v>
      </c>
      <c r="BK407" t="s">
        <v>101</v>
      </c>
      <c r="BL407" t="s">
        <v>364</v>
      </c>
      <c r="BM407" t="s">
        <v>7522</v>
      </c>
      <c r="BN407" t="s">
        <v>74</v>
      </c>
      <c r="BO407" t="s">
        <v>1421</v>
      </c>
      <c r="BP407" t="s">
        <v>74</v>
      </c>
      <c r="BQ407" t="s">
        <v>74</v>
      </c>
      <c r="BR407" t="s">
        <v>105</v>
      </c>
      <c r="BS407" t="s">
        <v>8328</v>
      </c>
      <c r="BT407" t="str">
        <f>HYPERLINK("https%3A%2F%2Fwww.webofscience.com%2Fwos%2Fwoscc%2Ffull-record%2FWOS:000434131900043","View Full Record in Web of Science")</f>
        <v>View Full Record in Web of Science</v>
      </c>
    </row>
    <row r="408" spans="1:72" x14ac:dyDescent="0.15">
      <c r="A408" t="s">
        <v>72</v>
      </c>
      <c r="B408" t="s">
        <v>8329</v>
      </c>
      <c r="C408" t="s">
        <v>74</v>
      </c>
      <c r="D408" t="s">
        <v>74</v>
      </c>
      <c r="E408" t="s">
        <v>74</v>
      </c>
      <c r="F408" t="s">
        <v>8330</v>
      </c>
      <c r="G408" t="s">
        <v>74</v>
      </c>
      <c r="H408" t="s">
        <v>74</v>
      </c>
      <c r="I408" t="s">
        <v>8331</v>
      </c>
      <c r="J408" t="s">
        <v>8332</v>
      </c>
      <c r="K408" t="s">
        <v>74</v>
      </c>
      <c r="L408" t="s">
        <v>74</v>
      </c>
      <c r="M408" t="s">
        <v>78</v>
      </c>
      <c r="N408" t="s">
        <v>8333</v>
      </c>
      <c r="O408" t="s">
        <v>74</v>
      </c>
      <c r="P408" t="s">
        <v>74</v>
      </c>
      <c r="Q408" t="s">
        <v>74</v>
      </c>
      <c r="R408" t="s">
        <v>74</v>
      </c>
      <c r="S408" t="s">
        <v>74</v>
      </c>
      <c r="T408" t="s">
        <v>74</v>
      </c>
      <c r="U408" t="s">
        <v>74</v>
      </c>
      <c r="V408" t="s">
        <v>74</v>
      </c>
      <c r="W408" t="s">
        <v>8334</v>
      </c>
      <c r="X408" t="s">
        <v>8335</v>
      </c>
      <c r="Y408" t="s">
        <v>8336</v>
      </c>
      <c r="Z408" t="s">
        <v>74</v>
      </c>
      <c r="AA408" t="s">
        <v>74</v>
      </c>
      <c r="AB408" t="s">
        <v>74</v>
      </c>
      <c r="AC408" t="s">
        <v>74</v>
      </c>
      <c r="AD408" t="s">
        <v>74</v>
      </c>
      <c r="AE408" t="s">
        <v>74</v>
      </c>
      <c r="AF408" t="s">
        <v>74</v>
      </c>
      <c r="AG408">
        <v>1</v>
      </c>
      <c r="AH408">
        <v>0</v>
      </c>
      <c r="AI408">
        <v>0</v>
      </c>
      <c r="AJ408">
        <v>0</v>
      </c>
      <c r="AK408">
        <v>0</v>
      </c>
      <c r="AL408" t="s">
        <v>1539</v>
      </c>
      <c r="AM408" t="s">
        <v>1540</v>
      </c>
      <c r="AN408" t="s">
        <v>1541</v>
      </c>
      <c r="AO408" t="s">
        <v>8337</v>
      </c>
      <c r="AP408" t="s">
        <v>74</v>
      </c>
      <c r="AQ408" t="s">
        <v>74</v>
      </c>
      <c r="AR408" t="s">
        <v>8338</v>
      </c>
      <c r="AS408" t="s">
        <v>8339</v>
      </c>
      <c r="AT408" t="s">
        <v>7235</v>
      </c>
      <c r="AU408">
        <v>2018</v>
      </c>
      <c r="AV408">
        <v>60</v>
      </c>
      <c r="AW408" t="s">
        <v>74</v>
      </c>
      <c r="AX408" t="s">
        <v>74</v>
      </c>
      <c r="AY408" t="s">
        <v>74</v>
      </c>
      <c r="AZ408" t="s">
        <v>74</v>
      </c>
      <c r="BA408" t="s">
        <v>74</v>
      </c>
      <c r="BB408">
        <v>101</v>
      </c>
      <c r="BC408">
        <v>101</v>
      </c>
      <c r="BD408" t="s">
        <v>74</v>
      </c>
      <c r="BE408" t="s">
        <v>8340</v>
      </c>
      <c r="BF408" t="str">
        <f>HYPERLINK("http://dx.doi.org/10.1016/j.jhg.2017.12.001","http://dx.doi.org/10.1016/j.jhg.2017.12.001")</f>
        <v>http://dx.doi.org/10.1016/j.jhg.2017.12.001</v>
      </c>
      <c r="BG408" t="s">
        <v>74</v>
      </c>
      <c r="BH408" t="s">
        <v>74</v>
      </c>
      <c r="BI408">
        <v>1</v>
      </c>
      <c r="BJ408" t="s">
        <v>8341</v>
      </c>
      <c r="BK408" t="s">
        <v>719</v>
      </c>
      <c r="BL408" t="s">
        <v>8342</v>
      </c>
      <c r="BM408" t="s">
        <v>8343</v>
      </c>
      <c r="BN408" t="s">
        <v>74</v>
      </c>
      <c r="BO408" t="s">
        <v>74</v>
      </c>
      <c r="BP408" t="s">
        <v>74</v>
      </c>
      <c r="BQ408" t="s">
        <v>74</v>
      </c>
      <c r="BR408" t="s">
        <v>105</v>
      </c>
      <c r="BS408" t="s">
        <v>8344</v>
      </c>
      <c r="BT408" t="str">
        <f>HYPERLINK("https%3A%2F%2Fwww.webofscience.com%2Fwos%2Fwoscc%2Ffull-record%2FWOS:000435048400011","View Full Record in Web of Science")</f>
        <v>View Full Record in Web of Science</v>
      </c>
    </row>
    <row r="409" spans="1:72" x14ac:dyDescent="0.15">
      <c r="A409" t="s">
        <v>72</v>
      </c>
      <c r="B409" t="s">
        <v>8345</v>
      </c>
      <c r="C409" t="s">
        <v>74</v>
      </c>
      <c r="D409" t="s">
        <v>74</v>
      </c>
      <c r="E409" t="s">
        <v>74</v>
      </c>
      <c r="F409" t="s">
        <v>8346</v>
      </c>
      <c r="G409" t="s">
        <v>74</v>
      </c>
      <c r="H409" t="s">
        <v>74</v>
      </c>
      <c r="I409" t="s">
        <v>8347</v>
      </c>
      <c r="J409" t="s">
        <v>8348</v>
      </c>
      <c r="K409" t="s">
        <v>74</v>
      </c>
      <c r="L409" t="s">
        <v>74</v>
      </c>
      <c r="M409" t="s">
        <v>78</v>
      </c>
      <c r="N409" t="s">
        <v>79</v>
      </c>
      <c r="O409" t="s">
        <v>74</v>
      </c>
      <c r="P409" t="s">
        <v>74</v>
      </c>
      <c r="Q409" t="s">
        <v>74</v>
      </c>
      <c r="R409" t="s">
        <v>74</v>
      </c>
      <c r="S409" t="s">
        <v>74</v>
      </c>
      <c r="T409" t="s">
        <v>8349</v>
      </c>
      <c r="U409" t="s">
        <v>8350</v>
      </c>
      <c r="V409" t="s">
        <v>8351</v>
      </c>
      <c r="W409" t="s">
        <v>8352</v>
      </c>
      <c r="X409" t="s">
        <v>8353</v>
      </c>
      <c r="Y409" t="s">
        <v>8354</v>
      </c>
      <c r="Z409" t="s">
        <v>8355</v>
      </c>
      <c r="AA409" t="s">
        <v>8356</v>
      </c>
      <c r="AB409" t="s">
        <v>8357</v>
      </c>
      <c r="AC409" t="s">
        <v>8358</v>
      </c>
      <c r="AD409" t="s">
        <v>8359</v>
      </c>
      <c r="AE409" t="s">
        <v>8360</v>
      </c>
      <c r="AF409" t="s">
        <v>74</v>
      </c>
      <c r="AG409">
        <v>55</v>
      </c>
      <c r="AH409">
        <v>4</v>
      </c>
      <c r="AI409">
        <v>4</v>
      </c>
      <c r="AJ409">
        <v>1</v>
      </c>
      <c r="AK409">
        <v>9</v>
      </c>
      <c r="AL409" t="s">
        <v>627</v>
      </c>
      <c r="AM409" t="s">
        <v>628</v>
      </c>
      <c r="AN409" t="s">
        <v>629</v>
      </c>
      <c r="AO409" t="s">
        <v>74</v>
      </c>
      <c r="AP409" t="s">
        <v>8361</v>
      </c>
      <c r="AQ409" t="s">
        <v>74</v>
      </c>
      <c r="AR409" t="s">
        <v>8362</v>
      </c>
      <c r="AS409" t="s">
        <v>8363</v>
      </c>
      <c r="AT409" t="s">
        <v>7235</v>
      </c>
      <c r="AU409">
        <v>2018</v>
      </c>
      <c r="AV409">
        <v>8</v>
      </c>
      <c r="AW409">
        <v>4</v>
      </c>
      <c r="AX409" t="s">
        <v>74</v>
      </c>
      <c r="AY409" t="s">
        <v>74</v>
      </c>
      <c r="AZ409" t="s">
        <v>74</v>
      </c>
      <c r="BA409" t="s">
        <v>74</v>
      </c>
      <c r="BB409" t="s">
        <v>74</v>
      </c>
      <c r="BC409" t="s">
        <v>74</v>
      </c>
      <c r="BD409">
        <v>139</v>
      </c>
      <c r="BE409" t="s">
        <v>8364</v>
      </c>
      <c r="BF409" t="str">
        <f>HYPERLINK("http://dx.doi.org/10.3390/min8040139","http://dx.doi.org/10.3390/min8040139")</f>
        <v>http://dx.doi.org/10.3390/min8040139</v>
      </c>
      <c r="BG409" t="s">
        <v>74</v>
      </c>
      <c r="BH409" t="s">
        <v>74</v>
      </c>
      <c r="BI409">
        <v>11</v>
      </c>
      <c r="BJ409" t="s">
        <v>8365</v>
      </c>
      <c r="BK409" t="s">
        <v>101</v>
      </c>
      <c r="BL409" t="s">
        <v>8365</v>
      </c>
      <c r="BM409" t="s">
        <v>8366</v>
      </c>
      <c r="BN409" t="s">
        <v>74</v>
      </c>
      <c r="BO409" t="s">
        <v>2695</v>
      </c>
      <c r="BP409" t="s">
        <v>74</v>
      </c>
      <c r="BQ409" t="s">
        <v>74</v>
      </c>
      <c r="BR409" t="s">
        <v>105</v>
      </c>
      <c r="BS409" t="s">
        <v>8367</v>
      </c>
      <c r="BT409" t="str">
        <f>HYPERLINK("https%3A%2F%2Fwww.webofscience.com%2Fwos%2Fwoscc%2Ffull-record%2FWOS:000434883100019","View Full Record in Web of Science")</f>
        <v>View Full Record in Web of Science</v>
      </c>
    </row>
    <row r="410" spans="1:72" x14ac:dyDescent="0.15">
      <c r="A410" t="s">
        <v>72</v>
      </c>
      <c r="B410" t="s">
        <v>8368</v>
      </c>
      <c r="C410" t="s">
        <v>74</v>
      </c>
      <c r="D410" t="s">
        <v>74</v>
      </c>
      <c r="E410" t="s">
        <v>74</v>
      </c>
      <c r="F410" t="s">
        <v>8369</v>
      </c>
      <c r="G410" t="s">
        <v>74</v>
      </c>
      <c r="H410" t="s">
        <v>74</v>
      </c>
      <c r="I410" t="s">
        <v>8370</v>
      </c>
      <c r="J410" t="s">
        <v>8371</v>
      </c>
      <c r="K410" t="s">
        <v>74</v>
      </c>
      <c r="L410" t="s">
        <v>74</v>
      </c>
      <c r="M410" t="s">
        <v>78</v>
      </c>
      <c r="N410" t="s">
        <v>79</v>
      </c>
      <c r="O410" t="s">
        <v>74</v>
      </c>
      <c r="P410" t="s">
        <v>74</v>
      </c>
      <c r="Q410" t="s">
        <v>74</v>
      </c>
      <c r="R410" t="s">
        <v>74</v>
      </c>
      <c r="S410" t="s">
        <v>74</v>
      </c>
      <c r="T410" t="s">
        <v>8372</v>
      </c>
      <c r="U410" t="s">
        <v>8373</v>
      </c>
      <c r="V410" t="s">
        <v>8374</v>
      </c>
      <c r="W410" t="s">
        <v>8375</v>
      </c>
      <c r="X410" t="s">
        <v>8376</v>
      </c>
      <c r="Y410" t="s">
        <v>8377</v>
      </c>
      <c r="Z410" t="s">
        <v>8378</v>
      </c>
      <c r="AA410" t="s">
        <v>8379</v>
      </c>
      <c r="AB410" t="s">
        <v>74</v>
      </c>
      <c r="AC410" t="s">
        <v>74</v>
      </c>
      <c r="AD410" t="s">
        <v>74</v>
      </c>
      <c r="AE410" t="s">
        <v>74</v>
      </c>
      <c r="AF410" t="s">
        <v>74</v>
      </c>
      <c r="AG410">
        <v>175</v>
      </c>
      <c r="AH410">
        <v>13</v>
      </c>
      <c r="AI410">
        <v>13</v>
      </c>
      <c r="AJ410">
        <v>0</v>
      </c>
      <c r="AK410">
        <v>7</v>
      </c>
      <c r="AL410" t="s">
        <v>914</v>
      </c>
      <c r="AM410" t="s">
        <v>452</v>
      </c>
      <c r="AN410" t="s">
        <v>915</v>
      </c>
      <c r="AO410" t="s">
        <v>8380</v>
      </c>
      <c r="AP410" t="s">
        <v>8381</v>
      </c>
      <c r="AQ410" t="s">
        <v>74</v>
      </c>
      <c r="AR410" t="s">
        <v>8382</v>
      </c>
      <c r="AS410" t="s">
        <v>8383</v>
      </c>
      <c r="AT410" t="s">
        <v>7235</v>
      </c>
      <c r="AU410">
        <v>2018</v>
      </c>
      <c r="AV410">
        <v>95</v>
      </c>
      <c r="AW410" t="s">
        <v>74</v>
      </c>
      <c r="AX410" t="s">
        <v>74</v>
      </c>
      <c r="AY410" t="s">
        <v>74</v>
      </c>
      <c r="AZ410" t="s">
        <v>74</v>
      </c>
      <c r="BA410" t="s">
        <v>74</v>
      </c>
      <c r="BB410">
        <v>131</v>
      </c>
      <c r="BC410">
        <v>160</v>
      </c>
      <c r="BD410" t="s">
        <v>74</v>
      </c>
      <c r="BE410" t="s">
        <v>8384</v>
      </c>
      <c r="BF410" t="str">
        <f>HYPERLINK("http://dx.doi.org/10.1016/j.oregeorev.2018.02.025","http://dx.doi.org/10.1016/j.oregeorev.2018.02.025")</f>
        <v>http://dx.doi.org/10.1016/j.oregeorev.2018.02.025</v>
      </c>
      <c r="BG410" t="s">
        <v>74</v>
      </c>
      <c r="BH410" t="s">
        <v>74</v>
      </c>
      <c r="BI410">
        <v>30</v>
      </c>
      <c r="BJ410" t="s">
        <v>8385</v>
      </c>
      <c r="BK410" t="s">
        <v>101</v>
      </c>
      <c r="BL410" t="s">
        <v>8385</v>
      </c>
      <c r="BM410" t="s">
        <v>8386</v>
      </c>
      <c r="BN410" t="s">
        <v>74</v>
      </c>
      <c r="BO410" t="s">
        <v>74</v>
      </c>
      <c r="BP410" t="s">
        <v>74</v>
      </c>
      <c r="BQ410" t="s">
        <v>74</v>
      </c>
      <c r="BR410" t="s">
        <v>105</v>
      </c>
      <c r="BS410" t="s">
        <v>8387</v>
      </c>
      <c r="BT410" t="str">
        <f>HYPERLINK("https%3A%2F%2Fwww.webofscience.com%2Fwos%2Fwoscc%2Ffull-record%2FWOS:000432760500009","View Full Record in Web of Science")</f>
        <v>View Full Record in Web of Science</v>
      </c>
    </row>
    <row r="411" spans="1:72" x14ac:dyDescent="0.15">
      <c r="A411" t="s">
        <v>72</v>
      </c>
      <c r="B411" t="s">
        <v>8388</v>
      </c>
      <c r="C411" t="s">
        <v>74</v>
      </c>
      <c r="D411" t="s">
        <v>74</v>
      </c>
      <c r="E411" t="s">
        <v>74</v>
      </c>
      <c r="F411" t="s">
        <v>8389</v>
      </c>
      <c r="G411" t="s">
        <v>74</v>
      </c>
      <c r="H411" t="s">
        <v>74</v>
      </c>
      <c r="I411" t="s">
        <v>8390</v>
      </c>
      <c r="J411" t="s">
        <v>8391</v>
      </c>
      <c r="K411" t="s">
        <v>74</v>
      </c>
      <c r="L411" t="s">
        <v>74</v>
      </c>
      <c r="M411" t="s">
        <v>78</v>
      </c>
      <c r="N411" t="s">
        <v>79</v>
      </c>
      <c r="O411" t="s">
        <v>74</v>
      </c>
      <c r="P411" t="s">
        <v>74</v>
      </c>
      <c r="Q411" t="s">
        <v>74</v>
      </c>
      <c r="R411" t="s">
        <v>74</v>
      </c>
      <c r="S411" t="s">
        <v>74</v>
      </c>
      <c r="T411" t="s">
        <v>8392</v>
      </c>
      <c r="U411" t="s">
        <v>8393</v>
      </c>
      <c r="V411" t="s">
        <v>8394</v>
      </c>
      <c r="W411" t="s">
        <v>8395</v>
      </c>
      <c r="X411" t="s">
        <v>8396</v>
      </c>
      <c r="Y411" t="s">
        <v>8397</v>
      </c>
      <c r="Z411" t="s">
        <v>8398</v>
      </c>
      <c r="AA411" t="s">
        <v>8399</v>
      </c>
      <c r="AB411" t="s">
        <v>8400</v>
      </c>
      <c r="AC411" t="s">
        <v>8401</v>
      </c>
      <c r="AD411" t="s">
        <v>8402</v>
      </c>
      <c r="AE411" t="s">
        <v>8403</v>
      </c>
      <c r="AF411" t="s">
        <v>74</v>
      </c>
      <c r="AG411">
        <v>60</v>
      </c>
      <c r="AH411">
        <v>28</v>
      </c>
      <c r="AI411">
        <v>28</v>
      </c>
      <c r="AJ411">
        <v>0</v>
      </c>
      <c r="AK411">
        <v>29</v>
      </c>
      <c r="AL411" t="s">
        <v>627</v>
      </c>
      <c r="AM411" t="s">
        <v>628</v>
      </c>
      <c r="AN411" t="s">
        <v>629</v>
      </c>
      <c r="AO411" t="s">
        <v>8404</v>
      </c>
      <c r="AP411" t="s">
        <v>74</v>
      </c>
      <c r="AQ411" t="s">
        <v>74</v>
      </c>
      <c r="AR411" t="s">
        <v>8391</v>
      </c>
      <c r="AS411" t="s">
        <v>8405</v>
      </c>
      <c r="AT411" t="s">
        <v>7235</v>
      </c>
      <c r="AU411">
        <v>2018</v>
      </c>
      <c r="AV411">
        <v>10</v>
      </c>
      <c r="AW411">
        <v>4</v>
      </c>
      <c r="AX411" t="s">
        <v>74</v>
      </c>
      <c r="AY411" t="s">
        <v>74</v>
      </c>
      <c r="AZ411" t="s">
        <v>74</v>
      </c>
      <c r="BA411" t="s">
        <v>74</v>
      </c>
      <c r="BB411" t="s">
        <v>74</v>
      </c>
      <c r="BC411" t="s">
        <v>74</v>
      </c>
      <c r="BD411">
        <v>147</v>
      </c>
      <c r="BE411" t="s">
        <v>8406</v>
      </c>
      <c r="BF411" t="str">
        <f>HYPERLINK("http://dx.doi.org/10.3390/toxins10040147","http://dx.doi.org/10.3390/toxins10040147")</f>
        <v>http://dx.doi.org/10.3390/toxins10040147</v>
      </c>
      <c r="BG411" t="s">
        <v>74</v>
      </c>
      <c r="BH411" t="s">
        <v>74</v>
      </c>
      <c r="BI411">
        <v>15</v>
      </c>
      <c r="BJ411" t="s">
        <v>8407</v>
      </c>
      <c r="BK411" t="s">
        <v>101</v>
      </c>
      <c r="BL411" t="s">
        <v>8407</v>
      </c>
      <c r="BM411" t="s">
        <v>8408</v>
      </c>
      <c r="BN411">
        <v>29614044</v>
      </c>
      <c r="BO411" t="s">
        <v>654</v>
      </c>
      <c r="BP411" t="s">
        <v>74</v>
      </c>
      <c r="BQ411" t="s">
        <v>74</v>
      </c>
      <c r="BR411" t="s">
        <v>105</v>
      </c>
      <c r="BS411" t="s">
        <v>8409</v>
      </c>
      <c r="BT411" t="str">
        <f>HYPERLINK("https%3A%2F%2Fwww.webofscience.com%2Fwos%2Fwoscc%2Ffull-record%2FWOS:000435183700018","View Full Record in Web of Science")</f>
        <v>View Full Record in Web of Science</v>
      </c>
    </row>
    <row r="412" spans="1:72" x14ac:dyDescent="0.15">
      <c r="A412" t="s">
        <v>72</v>
      </c>
      <c r="B412" t="s">
        <v>8410</v>
      </c>
      <c r="C412" t="s">
        <v>74</v>
      </c>
      <c r="D412" t="s">
        <v>74</v>
      </c>
      <c r="E412" t="s">
        <v>74</v>
      </c>
      <c r="F412" t="s">
        <v>8411</v>
      </c>
      <c r="G412" t="s">
        <v>74</v>
      </c>
      <c r="H412" t="s">
        <v>74</v>
      </c>
      <c r="I412" t="s">
        <v>8412</v>
      </c>
      <c r="J412" t="s">
        <v>8413</v>
      </c>
      <c r="K412" t="s">
        <v>74</v>
      </c>
      <c r="L412" t="s">
        <v>74</v>
      </c>
      <c r="M412" t="s">
        <v>78</v>
      </c>
      <c r="N412" t="s">
        <v>79</v>
      </c>
      <c r="O412" t="s">
        <v>74</v>
      </c>
      <c r="P412" t="s">
        <v>74</v>
      </c>
      <c r="Q412" t="s">
        <v>74</v>
      </c>
      <c r="R412" t="s">
        <v>74</v>
      </c>
      <c r="S412" t="s">
        <v>74</v>
      </c>
      <c r="T412" t="s">
        <v>8414</v>
      </c>
      <c r="U412" t="s">
        <v>8415</v>
      </c>
      <c r="V412" t="s">
        <v>8416</v>
      </c>
      <c r="W412" t="s">
        <v>8417</v>
      </c>
      <c r="X412" t="s">
        <v>8418</v>
      </c>
      <c r="Y412" t="s">
        <v>8419</v>
      </c>
      <c r="Z412" t="s">
        <v>8420</v>
      </c>
      <c r="AA412" t="s">
        <v>8421</v>
      </c>
      <c r="AB412" t="s">
        <v>8422</v>
      </c>
      <c r="AC412" t="s">
        <v>8423</v>
      </c>
      <c r="AD412" t="s">
        <v>8424</v>
      </c>
      <c r="AE412" t="s">
        <v>8425</v>
      </c>
      <c r="AF412" t="s">
        <v>74</v>
      </c>
      <c r="AG412">
        <v>46</v>
      </c>
      <c r="AH412">
        <v>23</v>
      </c>
      <c r="AI412">
        <v>24</v>
      </c>
      <c r="AJ412">
        <v>2</v>
      </c>
      <c r="AK412">
        <v>9</v>
      </c>
      <c r="AL412" t="s">
        <v>627</v>
      </c>
      <c r="AM412" t="s">
        <v>628</v>
      </c>
      <c r="AN412" t="s">
        <v>629</v>
      </c>
      <c r="AO412" t="s">
        <v>8426</v>
      </c>
      <c r="AP412" t="s">
        <v>74</v>
      </c>
      <c r="AQ412" t="s">
        <v>74</v>
      </c>
      <c r="AR412" t="s">
        <v>8413</v>
      </c>
      <c r="AS412" t="s">
        <v>8427</v>
      </c>
      <c r="AT412" t="s">
        <v>7235</v>
      </c>
      <c r="AU412">
        <v>2018</v>
      </c>
      <c r="AV412">
        <v>11</v>
      </c>
      <c r="AW412">
        <v>4</v>
      </c>
      <c r="AX412" t="s">
        <v>74</v>
      </c>
      <c r="AY412" t="s">
        <v>74</v>
      </c>
      <c r="AZ412" t="s">
        <v>74</v>
      </c>
      <c r="BA412" t="s">
        <v>74</v>
      </c>
      <c r="BB412" t="s">
        <v>74</v>
      </c>
      <c r="BC412" t="s">
        <v>74</v>
      </c>
      <c r="BD412">
        <v>591</v>
      </c>
      <c r="BE412" t="s">
        <v>8428</v>
      </c>
      <c r="BF412" t="str">
        <f>HYPERLINK("http://dx.doi.org/10.3390/ma11040591","http://dx.doi.org/10.3390/ma11040591")</f>
        <v>http://dx.doi.org/10.3390/ma11040591</v>
      </c>
      <c r="BG412" t="s">
        <v>74</v>
      </c>
      <c r="BH412" t="s">
        <v>74</v>
      </c>
      <c r="BI412">
        <v>17</v>
      </c>
      <c r="BJ412" t="s">
        <v>8429</v>
      </c>
      <c r="BK412" t="s">
        <v>101</v>
      </c>
      <c r="BL412" t="s">
        <v>8430</v>
      </c>
      <c r="BM412" t="s">
        <v>8431</v>
      </c>
      <c r="BN412">
        <v>29641490</v>
      </c>
      <c r="BO412" t="s">
        <v>2293</v>
      </c>
      <c r="BP412" t="s">
        <v>74</v>
      </c>
      <c r="BQ412" t="s">
        <v>74</v>
      </c>
      <c r="BR412" t="s">
        <v>105</v>
      </c>
      <c r="BS412" t="s">
        <v>8432</v>
      </c>
      <c r="BT412" t="str">
        <f>HYPERLINK("https%3A%2F%2Fwww.webofscience.com%2Fwos%2Fwoscc%2Ffull-record%2FWOS:000434710200133","View Full Record in Web of Science")</f>
        <v>View Full Record in Web of Science</v>
      </c>
    </row>
    <row r="413" spans="1:72" x14ac:dyDescent="0.15">
      <c r="A413" t="s">
        <v>72</v>
      </c>
      <c r="B413" t="s">
        <v>8433</v>
      </c>
      <c r="C413" t="s">
        <v>74</v>
      </c>
      <c r="D413" t="s">
        <v>74</v>
      </c>
      <c r="E413" t="s">
        <v>74</v>
      </c>
      <c r="F413" t="s">
        <v>8434</v>
      </c>
      <c r="G413" t="s">
        <v>74</v>
      </c>
      <c r="H413" t="s">
        <v>74</v>
      </c>
      <c r="I413" t="s">
        <v>8435</v>
      </c>
      <c r="J413" t="s">
        <v>4132</v>
      </c>
      <c r="K413" t="s">
        <v>74</v>
      </c>
      <c r="L413" t="s">
        <v>74</v>
      </c>
      <c r="M413" t="s">
        <v>78</v>
      </c>
      <c r="N413" t="s">
        <v>79</v>
      </c>
      <c r="O413" t="s">
        <v>74</v>
      </c>
      <c r="P413" t="s">
        <v>74</v>
      </c>
      <c r="Q413" t="s">
        <v>74</v>
      </c>
      <c r="R413" t="s">
        <v>74</v>
      </c>
      <c r="S413" t="s">
        <v>74</v>
      </c>
      <c r="T413" t="s">
        <v>8436</v>
      </c>
      <c r="U413" t="s">
        <v>8437</v>
      </c>
      <c r="V413" t="s">
        <v>8438</v>
      </c>
      <c r="W413" t="s">
        <v>8439</v>
      </c>
      <c r="X413" t="s">
        <v>8440</v>
      </c>
      <c r="Y413" t="s">
        <v>8441</v>
      </c>
      <c r="Z413" t="s">
        <v>8442</v>
      </c>
      <c r="AA413" t="s">
        <v>8443</v>
      </c>
      <c r="AB413" t="s">
        <v>8444</v>
      </c>
      <c r="AC413" t="s">
        <v>8445</v>
      </c>
      <c r="AD413" t="s">
        <v>8446</v>
      </c>
      <c r="AE413" t="s">
        <v>8447</v>
      </c>
      <c r="AF413" t="s">
        <v>74</v>
      </c>
      <c r="AG413">
        <v>45</v>
      </c>
      <c r="AH413">
        <v>5</v>
      </c>
      <c r="AI413">
        <v>5</v>
      </c>
      <c r="AJ413">
        <v>1</v>
      </c>
      <c r="AK413">
        <v>7</v>
      </c>
      <c r="AL413" t="s">
        <v>574</v>
      </c>
      <c r="AM413" t="s">
        <v>575</v>
      </c>
      <c r="AN413" t="s">
        <v>576</v>
      </c>
      <c r="AO413" t="s">
        <v>4144</v>
      </c>
      <c r="AP413" t="s">
        <v>74</v>
      </c>
      <c r="AQ413" t="s">
        <v>74</v>
      </c>
      <c r="AR413" t="s">
        <v>4145</v>
      </c>
      <c r="AS413" t="s">
        <v>4146</v>
      </c>
      <c r="AT413" t="s">
        <v>7235</v>
      </c>
      <c r="AU413">
        <v>2018</v>
      </c>
      <c r="AV413">
        <v>19</v>
      </c>
      <c r="AW413">
        <v>4</v>
      </c>
      <c r="AX413" t="s">
        <v>74</v>
      </c>
      <c r="AY413" t="s">
        <v>74</v>
      </c>
      <c r="AZ413" t="s">
        <v>74</v>
      </c>
      <c r="BA413" t="s">
        <v>74</v>
      </c>
      <c r="BB413">
        <v>1199</v>
      </c>
      <c r="BC413">
        <v>1216</v>
      </c>
      <c r="BD413" t="s">
        <v>74</v>
      </c>
      <c r="BE413" t="s">
        <v>8448</v>
      </c>
      <c r="BF413" t="str">
        <f>HYPERLINK("http://dx.doi.org/10.1002/2017GC007372","http://dx.doi.org/10.1002/2017GC007372")</f>
        <v>http://dx.doi.org/10.1002/2017GC007372</v>
      </c>
      <c r="BG413" t="s">
        <v>74</v>
      </c>
      <c r="BH413" t="s">
        <v>74</v>
      </c>
      <c r="BI413">
        <v>18</v>
      </c>
      <c r="BJ413" t="s">
        <v>260</v>
      </c>
      <c r="BK413" t="s">
        <v>101</v>
      </c>
      <c r="BL413" t="s">
        <v>260</v>
      </c>
      <c r="BM413" t="s">
        <v>8449</v>
      </c>
      <c r="BN413" t="s">
        <v>74</v>
      </c>
      <c r="BO413" t="s">
        <v>1802</v>
      </c>
      <c r="BP413" t="s">
        <v>74</v>
      </c>
      <c r="BQ413" t="s">
        <v>74</v>
      </c>
      <c r="BR413" t="s">
        <v>105</v>
      </c>
      <c r="BS413" t="s">
        <v>8450</v>
      </c>
      <c r="BT413" t="str">
        <f>HYPERLINK("https%3A%2F%2Fwww.webofscience.com%2Fwos%2Fwoscc%2Ffull-record%2FWOS:000434110500013","View Full Record in Web of Science")</f>
        <v>View Full Record in Web of Science</v>
      </c>
    </row>
    <row r="414" spans="1:72" x14ac:dyDescent="0.15">
      <c r="A414" t="s">
        <v>72</v>
      </c>
      <c r="B414" t="s">
        <v>8451</v>
      </c>
      <c r="C414" t="s">
        <v>74</v>
      </c>
      <c r="D414" t="s">
        <v>74</v>
      </c>
      <c r="E414" t="s">
        <v>74</v>
      </c>
      <c r="F414" t="s">
        <v>8452</v>
      </c>
      <c r="G414" t="s">
        <v>74</v>
      </c>
      <c r="H414" t="s">
        <v>74</v>
      </c>
      <c r="I414" t="s">
        <v>8453</v>
      </c>
      <c r="J414" t="s">
        <v>561</v>
      </c>
      <c r="K414" t="s">
        <v>74</v>
      </c>
      <c r="L414" t="s">
        <v>74</v>
      </c>
      <c r="M414" t="s">
        <v>78</v>
      </c>
      <c r="N414" t="s">
        <v>79</v>
      </c>
      <c r="O414" t="s">
        <v>74</v>
      </c>
      <c r="P414" t="s">
        <v>74</v>
      </c>
      <c r="Q414" t="s">
        <v>74</v>
      </c>
      <c r="R414" t="s">
        <v>74</v>
      </c>
      <c r="S414" t="s">
        <v>74</v>
      </c>
      <c r="T414" t="s">
        <v>8454</v>
      </c>
      <c r="U414" t="s">
        <v>8455</v>
      </c>
      <c r="V414" t="s">
        <v>8456</v>
      </c>
      <c r="W414" t="s">
        <v>8457</v>
      </c>
      <c r="X414" t="s">
        <v>8458</v>
      </c>
      <c r="Y414" t="s">
        <v>8459</v>
      </c>
      <c r="Z414" t="s">
        <v>8460</v>
      </c>
      <c r="AA414" t="s">
        <v>8461</v>
      </c>
      <c r="AB414" t="s">
        <v>8462</v>
      </c>
      <c r="AC414" t="s">
        <v>8463</v>
      </c>
      <c r="AD414" t="s">
        <v>8464</v>
      </c>
      <c r="AE414" t="s">
        <v>8465</v>
      </c>
      <c r="AF414" t="s">
        <v>74</v>
      </c>
      <c r="AG414">
        <v>52</v>
      </c>
      <c r="AH414">
        <v>49</v>
      </c>
      <c r="AI414">
        <v>52</v>
      </c>
      <c r="AJ414">
        <v>1</v>
      </c>
      <c r="AK414">
        <v>7</v>
      </c>
      <c r="AL414" t="s">
        <v>574</v>
      </c>
      <c r="AM414" t="s">
        <v>575</v>
      </c>
      <c r="AN414" t="s">
        <v>576</v>
      </c>
      <c r="AO414" t="s">
        <v>577</v>
      </c>
      <c r="AP414" t="s">
        <v>578</v>
      </c>
      <c r="AQ414" t="s">
        <v>74</v>
      </c>
      <c r="AR414" t="s">
        <v>579</v>
      </c>
      <c r="AS414" t="s">
        <v>580</v>
      </c>
      <c r="AT414" t="s">
        <v>7235</v>
      </c>
      <c r="AU414">
        <v>2018</v>
      </c>
      <c r="AV414">
        <v>123</v>
      </c>
      <c r="AW414">
        <v>4</v>
      </c>
      <c r="AX414" t="s">
        <v>74</v>
      </c>
      <c r="AY414" t="s">
        <v>74</v>
      </c>
      <c r="AZ414" t="s">
        <v>74</v>
      </c>
      <c r="BA414" t="s">
        <v>74</v>
      </c>
      <c r="BB414">
        <v>2605</v>
      </c>
      <c r="BC414">
        <v>2619</v>
      </c>
      <c r="BD414" t="s">
        <v>74</v>
      </c>
      <c r="BE414" t="s">
        <v>8466</v>
      </c>
      <c r="BF414" t="str">
        <f>HYPERLINK("http://dx.doi.org/10.1002/2017JA024593","http://dx.doi.org/10.1002/2017JA024593")</f>
        <v>http://dx.doi.org/10.1002/2017JA024593</v>
      </c>
      <c r="BG414" t="s">
        <v>74</v>
      </c>
      <c r="BH414" t="s">
        <v>74</v>
      </c>
      <c r="BI414">
        <v>15</v>
      </c>
      <c r="BJ414" t="s">
        <v>582</v>
      </c>
      <c r="BK414" t="s">
        <v>101</v>
      </c>
      <c r="BL414" t="s">
        <v>582</v>
      </c>
      <c r="BM414" t="s">
        <v>8467</v>
      </c>
      <c r="BN414" t="s">
        <v>74</v>
      </c>
      <c r="BO414" t="s">
        <v>1085</v>
      </c>
      <c r="BP414" t="s">
        <v>74</v>
      </c>
      <c r="BQ414" t="s">
        <v>74</v>
      </c>
      <c r="BR414" t="s">
        <v>105</v>
      </c>
      <c r="BS414" t="s">
        <v>8468</v>
      </c>
      <c r="BT414" t="str">
        <f>HYPERLINK("https%3A%2F%2Fwww.webofscience.com%2Fwos%2Fwoscc%2Ffull-record%2FWOS:000433498400010","View Full Record in Web of Science")</f>
        <v>View Full Record in Web of Science</v>
      </c>
    </row>
    <row r="415" spans="1:72" x14ac:dyDescent="0.15">
      <c r="A415" t="s">
        <v>72</v>
      </c>
      <c r="B415" t="s">
        <v>8469</v>
      </c>
      <c r="C415" t="s">
        <v>74</v>
      </c>
      <c r="D415" t="s">
        <v>74</v>
      </c>
      <c r="E415" t="s">
        <v>74</v>
      </c>
      <c r="F415" t="s">
        <v>8470</v>
      </c>
      <c r="G415" t="s">
        <v>74</v>
      </c>
      <c r="H415" t="s">
        <v>74</v>
      </c>
      <c r="I415" t="s">
        <v>8471</v>
      </c>
      <c r="J415" t="s">
        <v>561</v>
      </c>
      <c r="K415" t="s">
        <v>74</v>
      </c>
      <c r="L415" t="s">
        <v>74</v>
      </c>
      <c r="M415" t="s">
        <v>78</v>
      </c>
      <c r="N415" t="s">
        <v>79</v>
      </c>
      <c r="O415" t="s">
        <v>74</v>
      </c>
      <c r="P415" t="s">
        <v>74</v>
      </c>
      <c r="Q415" t="s">
        <v>74</v>
      </c>
      <c r="R415" t="s">
        <v>74</v>
      </c>
      <c r="S415" t="s">
        <v>74</v>
      </c>
      <c r="T415" t="s">
        <v>8472</v>
      </c>
      <c r="U415" t="s">
        <v>8473</v>
      </c>
      <c r="V415" t="s">
        <v>8474</v>
      </c>
      <c r="W415" t="s">
        <v>8475</v>
      </c>
      <c r="X415" t="s">
        <v>8476</v>
      </c>
      <c r="Y415" t="s">
        <v>8477</v>
      </c>
      <c r="Z415" t="s">
        <v>8478</v>
      </c>
      <c r="AA415" t="s">
        <v>8479</v>
      </c>
      <c r="AB415" t="s">
        <v>8480</v>
      </c>
      <c r="AC415" t="s">
        <v>8481</v>
      </c>
      <c r="AD415" t="s">
        <v>8482</v>
      </c>
      <c r="AE415" t="s">
        <v>8483</v>
      </c>
      <c r="AF415" t="s">
        <v>74</v>
      </c>
      <c r="AG415">
        <v>115</v>
      </c>
      <c r="AH415">
        <v>18</v>
      </c>
      <c r="AI415">
        <v>19</v>
      </c>
      <c r="AJ415">
        <v>0</v>
      </c>
      <c r="AK415">
        <v>11</v>
      </c>
      <c r="AL415" t="s">
        <v>574</v>
      </c>
      <c r="AM415" t="s">
        <v>575</v>
      </c>
      <c r="AN415" t="s">
        <v>576</v>
      </c>
      <c r="AO415" t="s">
        <v>577</v>
      </c>
      <c r="AP415" t="s">
        <v>578</v>
      </c>
      <c r="AQ415" t="s">
        <v>74</v>
      </c>
      <c r="AR415" t="s">
        <v>579</v>
      </c>
      <c r="AS415" t="s">
        <v>580</v>
      </c>
      <c r="AT415" t="s">
        <v>7235</v>
      </c>
      <c r="AU415">
        <v>2018</v>
      </c>
      <c r="AV415">
        <v>123</v>
      </c>
      <c r="AW415">
        <v>4</v>
      </c>
      <c r="AX415" t="s">
        <v>74</v>
      </c>
      <c r="AY415" t="s">
        <v>74</v>
      </c>
      <c r="AZ415" t="s">
        <v>74</v>
      </c>
      <c r="BA415" t="s">
        <v>74</v>
      </c>
      <c r="BB415">
        <v>2696</v>
      </c>
      <c r="BC415">
        <v>2713</v>
      </c>
      <c r="BD415" t="s">
        <v>74</v>
      </c>
      <c r="BE415" t="s">
        <v>8484</v>
      </c>
      <c r="BF415" t="str">
        <f>HYPERLINK("http://dx.doi.org/10.1002/2017JA025136","http://dx.doi.org/10.1002/2017JA025136")</f>
        <v>http://dx.doi.org/10.1002/2017JA025136</v>
      </c>
      <c r="BG415" t="s">
        <v>74</v>
      </c>
      <c r="BH415" t="s">
        <v>74</v>
      </c>
      <c r="BI415">
        <v>18</v>
      </c>
      <c r="BJ415" t="s">
        <v>582</v>
      </c>
      <c r="BK415" t="s">
        <v>101</v>
      </c>
      <c r="BL415" t="s">
        <v>582</v>
      </c>
      <c r="BM415" t="s">
        <v>8467</v>
      </c>
      <c r="BN415" t="s">
        <v>74</v>
      </c>
      <c r="BO415" t="s">
        <v>8485</v>
      </c>
      <c r="BP415" t="s">
        <v>74</v>
      </c>
      <c r="BQ415" t="s">
        <v>74</v>
      </c>
      <c r="BR415" t="s">
        <v>105</v>
      </c>
      <c r="BS415" t="s">
        <v>8486</v>
      </c>
      <c r="BT415" t="str">
        <f>HYPERLINK("https%3A%2F%2Fwww.webofscience.com%2Fwos%2Fwoscc%2Ffull-record%2FWOS:000433498400016","View Full Record in Web of Science")</f>
        <v>View Full Record in Web of Science</v>
      </c>
    </row>
    <row r="416" spans="1:72" x14ac:dyDescent="0.15">
      <c r="A416" t="s">
        <v>72</v>
      </c>
      <c r="B416" t="s">
        <v>8487</v>
      </c>
      <c r="C416" t="s">
        <v>74</v>
      </c>
      <c r="D416" t="s">
        <v>74</v>
      </c>
      <c r="E416" t="s">
        <v>74</v>
      </c>
      <c r="F416" t="s">
        <v>8487</v>
      </c>
      <c r="G416" t="s">
        <v>74</v>
      </c>
      <c r="H416" t="s">
        <v>74</v>
      </c>
      <c r="I416" t="s">
        <v>8488</v>
      </c>
      <c r="J416" t="s">
        <v>3743</v>
      </c>
      <c r="K416" t="s">
        <v>74</v>
      </c>
      <c r="L416" t="s">
        <v>74</v>
      </c>
      <c r="M416" t="s">
        <v>78</v>
      </c>
      <c r="N416" t="s">
        <v>8489</v>
      </c>
      <c r="O416" t="s">
        <v>74</v>
      </c>
      <c r="P416" t="s">
        <v>74</v>
      </c>
      <c r="Q416" t="s">
        <v>74</v>
      </c>
      <c r="R416" t="s">
        <v>74</v>
      </c>
      <c r="S416" t="s">
        <v>74</v>
      </c>
      <c r="T416" t="s">
        <v>74</v>
      </c>
      <c r="U416" t="s">
        <v>74</v>
      </c>
      <c r="V416" t="s">
        <v>74</v>
      </c>
      <c r="W416" t="s">
        <v>74</v>
      </c>
      <c r="X416" t="s">
        <v>74</v>
      </c>
      <c r="Y416" t="s">
        <v>74</v>
      </c>
      <c r="Z416" t="s">
        <v>74</v>
      </c>
      <c r="AA416" t="s">
        <v>74</v>
      </c>
      <c r="AB416" t="s">
        <v>74</v>
      </c>
      <c r="AC416" t="s">
        <v>74</v>
      </c>
      <c r="AD416" t="s">
        <v>74</v>
      </c>
      <c r="AE416" t="s">
        <v>74</v>
      </c>
      <c r="AF416" t="s">
        <v>74</v>
      </c>
      <c r="AG416">
        <v>0</v>
      </c>
      <c r="AH416">
        <v>0</v>
      </c>
      <c r="AI416">
        <v>0</v>
      </c>
      <c r="AJ416">
        <v>0</v>
      </c>
      <c r="AK416">
        <v>1</v>
      </c>
      <c r="AL416" t="s">
        <v>277</v>
      </c>
      <c r="AM416" t="s">
        <v>278</v>
      </c>
      <c r="AN416" t="s">
        <v>279</v>
      </c>
      <c r="AO416" t="s">
        <v>3756</v>
      </c>
      <c r="AP416" t="s">
        <v>3757</v>
      </c>
      <c r="AQ416" t="s">
        <v>74</v>
      </c>
      <c r="AR416" t="s">
        <v>3758</v>
      </c>
      <c r="AS416" t="s">
        <v>3759</v>
      </c>
      <c r="AT416" t="s">
        <v>7235</v>
      </c>
      <c r="AU416">
        <v>2018</v>
      </c>
      <c r="AV416">
        <v>129</v>
      </c>
      <c r="AW416">
        <v>1</v>
      </c>
      <c r="AX416" t="s">
        <v>74</v>
      </c>
      <c r="AY416" t="s">
        <v>74</v>
      </c>
      <c r="AZ416" t="s">
        <v>74</v>
      </c>
      <c r="BA416" t="s">
        <v>74</v>
      </c>
      <c r="BB416">
        <v>421</v>
      </c>
      <c r="BC416">
        <v>421</v>
      </c>
      <c r="BD416" t="s">
        <v>74</v>
      </c>
      <c r="BE416" t="s">
        <v>74</v>
      </c>
      <c r="BF416" t="s">
        <v>74</v>
      </c>
      <c r="BG416" t="s">
        <v>74</v>
      </c>
      <c r="BH416" t="s">
        <v>74</v>
      </c>
      <c r="BI416">
        <v>1</v>
      </c>
      <c r="BJ416" t="s">
        <v>2159</v>
      </c>
      <c r="BK416" t="s">
        <v>101</v>
      </c>
      <c r="BL416" t="s">
        <v>1268</v>
      </c>
      <c r="BM416" t="s">
        <v>8490</v>
      </c>
      <c r="BN416" t="s">
        <v>74</v>
      </c>
      <c r="BO416" t="s">
        <v>74</v>
      </c>
      <c r="BP416" t="s">
        <v>74</v>
      </c>
      <c r="BQ416" t="s">
        <v>74</v>
      </c>
      <c r="BR416" t="s">
        <v>105</v>
      </c>
      <c r="BS416" t="s">
        <v>8491</v>
      </c>
      <c r="BT416" t="str">
        <f>HYPERLINK("https%3A%2F%2Fwww.webofscience.com%2Fwos%2Fwoscc%2Ffull-record%2FWOS:000433401600055","View Full Record in Web of Science")</f>
        <v>View Full Record in Web of Science</v>
      </c>
    </row>
    <row r="417" spans="1:72" x14ac:dyDescent="0.15">
      <c r="A417" t="s">
        <v>72</v>
      </c>
      <c r="B417" t="s">
        <v>8492</v>
      </c>
      <c r="C417" t="s">
        <v>74</v>
      </c>
      <c r="D417" t="s">
        <v>74</v>
      </c>
      <c r="E417" t="s">
        <v>74</v>
      </c>
      <c r="F417" t="s">
        <v>8493</v>
      </c>
      <c r="G417" t="s">
        <v>74</v>
      </c>
      <c r="H417" t="s">
        <v>74</v>
      </c>
      <c r="I417" t="s">
        <v>8494</v>
      </c>
      <c r="J417" t="s">
        <v>4065</v>
      </c>
      <c r="K417" t="s">
        <v>74</v>
      </c>
      <c r="L417" t="s">
        <v>74</v>
      </c>
      <c r="M417" t="s">
        <v>78</v>
      </c>
      <c r="N417" t="s">
        <v>79</v>
      </c>
      <c r="O417" t="s">
        <v>74</v>
      </c>
      <c r="P417" t="s">
        <v>74</v>
      </c>
      <c r="Q417" t="s">
        <v>74</v>
      </c>
      <c r="R417" t="s">
        <v>74</v>
      </c>
      <c r="S417" t="s">
        <v>74</v>
      </c>
      <c r="T417" t="s">
        <v>8495</v>
      </c>
      <c r="U417" t="s">
        <v>8496</v>
      </c>
      <c r="V417" t="s">
        <v>8497</v>
      </c>
      <c r="W417" t="s">
        <v>8498</v>
      </c>
      <c r="X417" t="s">
        <v>8499</v>
      </c>
      <c r="Y417" t="s">
        <v>8500</v>
      </c>
      <c r="Z417" t="s">
        <v>8501</v>
      </c>
      <c r="AA417" t="s">
        <v>8502</v>
      </c>
      <c r="AB417" t="s">
        <v>8503</v>
      </c>
      <c r="AC417" t="s">
        <v>8504</v>
      </c>
      <c r="AD417" t="s">
        <v>8505</v>
      </c>
      <c r="AE417" t="s">
        <v>8506</v>
      </c>
      <c r="AF417" t="s">
        <v>74</v>
      </c>
      <c r="AG417">
        <v>138</v>
      </c>
      <c r="AH417">
        <v>11</v>
      </c>
      <c r="AI417">
        <v>13</v>
      </c>
      <c r="AJ417">
        <v>1</v>
      </c>
      <c r="AK417">
        <v>26</v>
      </c>
      <c r="AL417" t="s">
        <v>574</v>
      </c>
      <c r="AM417" t="s">
        <v>575</v>
      </c>
      <c r="AN417" t="s">
        <v>576</v>
      </c>
      <c r="AO417" t="s">
        <v>4078</v>
      </c>
      <c r="AP417" t="s">
        <v>4079</v>
      </c>
      <c r="AQ417" t="s">
        <v>74</v>
      </c>
      <c r="AR417" t="s">
        <v>4080</v>
      </c>
      <c r="AS417" t="s">
        <v>4081</v>
      </c>
      <c r="AT417" t="s">
        <v>7235</v>
      </c>
      <c r="AU417">
        <v>2018</v>
      </c>
      <c r="AV417">
        <v>32</v>
      </c>
      <c r="AW417">
        <v>4</v>
      </c>
      <c r="AX417" t="s">
        <v>74</v>
      </c>
      <c r="AY417" t="s">
        <v>74</v>
      </c>
      <c r="AZ417" t="s">
        <v>74</v>
      </c>
      <c r="BA417" t="s">
        <v>74</v>
      </c>
      <c r="BB417">
        <v>565</v>
      </c>
      <c r="BC417">
        <v>593</v>
      </c>
      <c r="BD417" t="s">
        <v>74</v>
      </c>
      <c r="BE417" t="s">
        <v>8507</v>
      </c>
      <c r="BF417" t="str">
        <f>HYPERLINK("http://dx.doi.org/10.1002/2017GB005753","http://dx.doi.org/10.1002/2017GB005753")</f>
        <v>http://dx.doi.org/10.1002/2017GB005753</v>
      </c>
      <c r="BG417" t="s">
        <v>74</v>
      </c>
      <c r="BH417" t="s">
        <v>74</v>
      </c>
      <c r="BI417">
        <v>29</v>
      </c>
      <c r="BJ417" t="s">
        <v>4083</v>
      </c>
      <c r="BK417" t="s">
        <v>101</v>
      </c>
      <c r="BL417" t="s">
        <v>4084</v>
      </c>
      <c r="BM417" t="s">
        <v>8508</v>
      </c>
      <c r="BN417" t="s">
        <v>74</v>
      </c>
      <c r="BO417" t="s">
        <v>5821</v>
      </c>
      <c r="BP417" t="s">
        <v>74</v>
      </c>
      <c r="BQ417" t="s">
        <v>74</v>
      </c>
      <c r="BR417" t="s">
        <v>105</v>
      </c>
      <c r="BS417" t="s">
        <v>8509</v>
      </c>
      <c r="BT417" t="str">
        <f>HYPERLINK("https%3A%2F%2Fwww.webofscience.com%2Fwos%2Fwoscc%2Ffull-record%2FWOS:000431991800004","View Full Record in Web of Science")</f>
        <v>View Full Record in Web of Science</v>
      </c>
    </row>
    <row r="418" spans="1:72" x14ac:dyDescent="0.15">
      <c r="A418" t="s">
        <v>72</v>
      </c>
      <c r="B418" t="s">
        <v>8510</v>
      </c>
      <c r="C418" t="s">
        <v>74</v>
      </c>
      <c r="D418" t="s">
        <v>74</v>
      </c>
      <c r="E418" t="s">
        <v>74</v>
      </c>
      <c r="F418" t="s">
        <v>8511</v>
      </c>
      <c r="G418" t="s">
        <v>74</v>
      </c>
      <c r="H418" t="s">
        <v>74</v>
      </c>
      <c r="I418" t="s">
        <v>8512</v>
      </c>
      <c r="J418" t="s">
        <v>8513</v>
      </c>
      <c r="K418" t="s">
        <v>74</v>
      </c>
      <c r="L418" t="s">
        <v>74</v>
      </c>
      <c r="M418" t="s">
        <v>78</v>
      </c>
      <c r="N418" t="s">
        <v>79</v>
      </c>
      <c r="O418" t="s">
        <v>74</v>
      </c>
      <c r="P418" t="s">
        <v>74</v>
      </c>
      <c r="Q418" t="s">
        <v>74</v>
      </c>
      <c r="R418" t="s">
        <v>74</v>
      </c>
      <c r="S418" t="s">
        <v>74</v>
      </c>
      <c r="T418" t="s">
        <v>8514</v>
      </c>
      <c r="U418" t="s">
        <v>8515</v>
      </c>
      <c r="V418" t="s">
        <v>8516</v>
      </c>
      <c r="W418" t="s">
        <v>8517</v>
      </c>
      <c r="X418" t="s">
        <v>3287</v>
      </c>
      <c r="Y418" t="s">
        <v>8518</v>
      </c>
      <c r="Z418" t="s">
        <v>8519</v>
      </c>
      <c r="AA418" t="s">
        <v>8520</v>
      </c>
      <c r="AB418" t="s">
        <v>8521</v>
      </c>
      <c r="AC418" t="s">
        <v>8522</v>
      </c>
      <c r="AD418" t="s">
        <v>8523</v>
      </c>
      <c r="AE418" t="s">
        <v>8524</v>
      </c>
      <c r="AF418" t="s">
        <v>74</v>
      </c>
      <c r="AG418">
        <v>36</v>
      </c>
      <c r="AH418">
        <v>15</v>
      </c>
      <c r="AI418">
        <v>15</v>
      </c>
      <c r="AJ418">
        <v>0</v>
      </c>
      <c r="AK418">
        <v>20</v>
      </c>
      <c r="AL418" t="s">
        <v>451</v>
      </c>
      <c r="AM418" t="s">
        <v>452</v>
      </c>
      <c r="AN418" t="s">
        <v>453</v>
      </c>
      <c r="AO418" t="s">
        <v>8525</v>
      </c>
      <c r="AP418" t="s">
        <v>8526</v>
      </c>
      <c r="AQ418" t="s">
        <v>74</v>
      </c>
      <c r="AR418" t="s">
        <v>8527</v>
      </c>
      <c r="AS418" t="s">
        <v>8528</v>
      </c>
      <c r="AT418" t="s">
        <v>7235</v>
      </c>
      <c r="AU418">
        <v>2018</v>
      </c>
      <c r="AV418">
        <v>163</v>
      </c>
      <c r="AW418" t="s">
        <v>74</v>
      </c>
      <c r="AX418" t="s">
        <v>74</v>
      </c>
      <c r="AY418" t="s">
        <v>74</v>
      </c>
      <c r="AZ418" t="s">
        <v>74</v>
      </c>
      <c r="BA418" t="s">
        <v>74</v>
      </c>
      <c r="BB418">
        <v>18</v>
      </c>
      <c r="BC418">
        <v>28</v>
      </c>
      <c r="BD418" t="s">
        <v>74</v>
      </c>
      <c r="BE418" t="s">
        <v>8529</v>
      </c>
      <c r="BF418" t="str">
        <f>HYPERLINK("http://dx.doi.org/10.1016/j.gloplacha.2018.02.009","http://dx.doi.org/10.1016/j.gloplacha.2018.02.009")</f>
        <v>http://dx.doi.org/10.1016/j.gloplacha.2018.02.009</v>
      </c>
      <c r="BG418" t="s">
        <v>74</v>
      </c>
      <c r="BH418" t="s">
        <v>74</v>
      </c>
      <c r="BI418">
        <v>11</v>
      </c>
      <c r="BJ418" t="s">
        <v>338</v>
      </c>
      <c r="BK418" t="s">
        <v>101</v>
      </c>
      <c r="BL418" t="s">
        <v>339</v>
      </c>
      <c r="BM418" t="s">
        <v>8530</v>
      </c>
      <c r="BN418" t="s">
        <v>74</v>
      </c>
      <c r="BO418" t="s">
        <v>1292</v>
      </c>
      <c r="BP418" t="s">
        <v>74</v>
      </c>
      <c r="BQ418" t="s">
        <v>74</v>
      </c>
      <c r="BR418" t="s">
        <v>105</v>
      </c>
      <c r="BS418" t="s">
        <v>8531</v>
      </c>
      <c r="BT418" t="str">
        <f>HYPERLINK("https%3A%2F%2Fwww.webofscience.com%2Fwos%2Fwoscc%2Ffull-record%2FWOS:000430771400003","View Full Record in Web of Science")</f>
        <v>View Full Record in Web of Science</v>
      </c>
    </row>
    <row r="419" spans="1:72" x14ac:dyDescent="0.15">
      <c r="A419" t="s">
        <v>72</v>
      </c>
      <c r="B419" t="s">
        <v>8532</v>
      </c>
      <c r="C419" t="s">
        <v>74</v>
      </c>
      <c r="D419" t="s">
        <v>74</v>
      </c>
      <c r="E419" t="s">
        <v>74</v>
      </c>
      <c r="F419" t="s">
        <v>8533</v>
      </c>
      <c r="G419" t="s">
        <v>74</v>
      </c>
      <c r="H419" t="s">
        <v>74</v>
      </c>
      <c r="I419" t="s">
        <v>8534</v>
      </c>
      <c r="J419" t="s">
        <v>8513</v>
      </c>
      <c r="K419" t="s">
        <v>74</v>
      </c>
      <c r="L419" t="s">
        <v>74</v>
      </c>
      <c r="M419" t="s">
        <v>78</v>
      </c>
      <c r="N419" t="s">
        <v>79</v>
      </c>
      <c r="O419" t="s">
        <v>74</v>
      </c>
      <c r="P419" t="s">
        <v>74</v>
      </c>
      <c r="Q419" t="s">
        <v>74</v>
      </c>
      <c r="R419" t="s">
        <v>74</v>
      </c>
      <c r="S419" t="s">
        <v>74</v>
      </c>
      <c r="T419" t="s">
        <v>8535</v>
      </c>
      <c r="U419" t="s">
        <v>8536</v>
      </c>
      <c r="V419" t="s">
        <v>8537</v>
      </c>
      <c r="W419" t="s">
        <v>8538</v>
      </c>
      <c r="X419" t="s">
        <v>8539</v>
      </c>
      <c r="Y419" t="s">
        <v>8540</v>
      </c>
      <c r="Z419" t="s">
        <v>8541</v>
      </c>
      <c r="AA419" t="s">
        <v>8542</v>
      </c>
      <c r="AB419" t="s">
        <v>8543</v>
      </c>
      <c r="AC419" t="s">
        <v>8544</v>
      </c>
      <c r="AD419" t="s">
        <v>8545</v>
      </c>
      <c r="AE419" t="s">
        <v>8546</v>
      </c>
      <c r="AF419" t="s">
        <v>74</v>
      </c>
      <c r="AG419">
        <v>138</v>
      </c>
      <c r="AH419">
        <v>21</v>
      </c>
      <c r="AI419">
        <v>22</v>
      </c>
      <c r="AJ419">
        <v>1</v>
      </c>
      <c r="AK419">
        <v>16</v>
      </c>
      <c r="AL419" t="s">
        <v>451</v>
      </c>
      <c r="AM419" t="s">
        <v>452</v>
      </c>
      <c r="AN419" t="s">
        <v>453</v>
      </c>
      <c r="AO419" t="s">
        <v>8525</v>
      </c>
      <c r="AP419" t="s">
        <v>8526</v>
      </c>
      <c r="AQ419" t="s">
        <v>74</v>
      </c>
      <c r="AR419" t="s">
        <v>8527</v>
      </c>
      <c r="AS419" t="s">
        <v>8528</v>
      </c>
      <c r="AT419" t="s">
        <v>7235</v>
      </c>
      <c r="AU419">
        <v>2018</v>
      </c>
      <c r="AV419">
        <v>163</v>
      </c>
      <c r="AW419" t="s">
        <v>74</v>
      </c>
      <c r="AX419" t="s">
        <v>74</v>
      </c>
      <c r="AY419" t="s">
        <v>74</v>
      </c>
      <c r="AZ419" t="s">
        <v>74</v>
      </c>
      <c r="BA419" t="s">
        <v>74</v>
      </c>
      <c r="BB419">
        <v>51</v>
      </c>
      <c r="BC419">
        <v>66</v>
      </c>
      <c r="BD419" t="s">
        <v>74</v>
      </c>
      <c r="BE419" t="s">
        <v>8547</v>
      </c>
      <c r="BF419" t="str">
        <f>HYPERLINK("http://dx.doi.org/10.1016/j.gloplacha.2018.02.002","http://dx.doi.org/10.1016/j.gloplacha.2018.02.002")</f>
        <v>http://dx.doi.org/10.1016/j.gloplacha.2018.02.002</v>
      </c>
      <c r="BG419" t="s">
        <v>74</v>
      </c>
      <c r="BH419" t="s">
        <v>74</v>
      </c>
      <c r="BI419">
        <v>16</v>
      </c>
      <c r="BJ419" t="s">
        <v>338</v>
      </c>
      <c r="BK419" t="s">
        <v>101</v>
      </c>
      <c r="BL419" t="s">
        <v>339</v>
      </c>
      <c r="BM419" t="s">
        <v>8530</v>
      </c>
      <c r="BN419" t="s">
        <v>74</v>
      </c>
      <c r="BO419" t="s">
        <v>74</v>
      </c>
      <c r="BP419" t="s">
        <v>74</v>
      </c>
      <c r="BQ419" t="s">
        <v>74</v>
      </c>
      <c r="BR419" t="s">
        <v>105</v>
      </c>
      <c r="BS419" t="s">
        <v>8548</v>
      </c>
      <c r="BT419" t="str">
        <f>HYPERLINK("https%3A%2F%2Fwww.webofscience.com%2Fwos%2Fwoscc%2Ffull-record%2FWOS:000430771400006","View Full Record in Web of Science")</f>
        <v>View Full Record in Web of Science</v>
      </c>
    </row>
    <row r="420" spans="1:72" x14ac:dyDescent="0.15">
      <c r="A420" t="s">
        <v>72</v>
      </c>
      <c r="B420" t="s">
        <v>8549</v>
      </c>
      <c r="C420" t="s">
        <v>74</v>
      </c>
      <c r="D420" t="s">
        <v>74</v>
      </c>
      <c r="E420" t="s">
        <v>74</v>
      </c>
      <c r="F420" t="s">
        <v>8550</v>
      </c>
      <c r="G420" t="s">
        <v>74</v>
      </c>
      <c r="H420" t="s">
        <v>74</v>
      </c>
      <c r="I420" t="s">
        <v>8551</v>
      </c>
      <c r="J420" t="s">
        <v>8513</v>
      </c>
      <c r="K420" t="s">
        <v>74</v>
      </c>
      <c r="L420" t="s">
        <v>74</v>
      </c>
      <c r="M420" t="s">
        <v>78</v>
      </c>
      <c r="N420" t="s">
        <v>79</v>
      </c>
      <c r="O420" t="s">
        <v>74</v>
      </c>
      <c r="P420" t="s">
        <v>74</v>
      </c>
      <c r="Q420" t="s">
        <v>74</v>
      </c>
      <c r="R420" t="s">
        <v>74</v>
      </c>
      <c r="S420" t="s">
        <v>74</v>
      </c>
      <c r="T420" t="s">
        <v>8552</v>
      </c>
      <c r="U420" t="s">
        <v>8553</v>
      </c>
      <c r="V420" t="s">
        <v>8554</v>
      </c>
      <c r="W420" t="s">
        <v>8555</v>
      </c>
      <c r="X420" t="s">
        <v>8556</v>
      </c>
      <c r="Y420" t="s">
        <v>8557</v>
      </c>
      <c r="Z420" t="s">
        <v>8558</v>
      </c>
      <c r="AA420" t="s">
        <v>8559</v>
      </c>
      <c r="AB420" t="s">
        <v>8560</v>
      </c>
      <c r="AC420" t="s">
        <v>8561</v>
      </c>
      <c r="AD420" t="s">
        <v>4316</v>
      </c>
      <c r="AE420" t="s">
        <v>8562</v>
      </c>
      <c r="AF420" t="s">
        <v>74</v>
      </c>
      <c r="AG420">
        <v>64</v>
      </c>
      <c r="AH420">
        <v>8</v>
      </c>
      <c r="AI420">
        <v>10</v>
      </c>
      <c r="AJ420">
        <v>0</v>
      </c>
      <c r="AK420">
        <v>10</v>
      </c>
      <c r="AL420" t="s">
        <v>914</v>
      </c>
      <c r="AM420" t="s">
        <v>452</v>
      </c>
      <c r="AN420" t="s">
        <v>915</v>
      </c>
      <c r="AO420" t="s">
        <v>8525</v>
      </c>
      <c r="AP420" t="s">
        <v>8526</v>
      </c>
      <c r="AQ420" t="s">
        <v>74</v>
      </c>
      <c r="AR420" t="s">
        <v>8527</v>
      </c>
      <c r="AS420" t="s">
        <v>8528</v>
      </c>
      <c r="AT420" t="s">
        <v>7235</v>
      </c>
      <c r="AU420">
        <v>2018</v>
      </c>
      <c r="AV420">
        <v>163</v>
      </c>
      <c r="AW420" t="s">
        <v>74</v>
      </c>
      <c r="AX420" t="s">
        <v>74</v>
      </c>
      <c r="AY420" t="s">
        <v>74</v>
      </c>
      <c r="AZ420" t="s">
        <v>74</v>
      </c>
      <c r="BA420" t="s">
        <v>74</v>
      </c>
      <c r="BB420">
        <v>86</v>
      </c>
      <c r="BC420">
        <v>96</v>
      </c>
      <c r="BD420" t="s">
        <v>74</v>
      </c>
      <c r="BE420" t="s">
        <v>8563</v>
      </c>
      <c r="BF420" t="str">
        <f>HYPERLINK("http://dx.doi.org/10.1016/j.gloplacha.2018.02.006","http://dx.doi.org/10.1016/j.gloplacha.2018.02.006")</f>
        <v>http://dx.doi.org/10.1016/j.gloplacha.2018.02.006</v>
      </c>
      <c r="BG420" t="s">
        <v>74</v>
      </c>
      <c r="BH420" t="s">
        <v>74</v>
      </c>
      <c r="BI420">
        <v>11</v>
      </c>
      <c r="BJ420" t="s">
        <v>338</v>
      </c>
      <c r="BK420" t="s">
        <v>101</v>
      </c>
      <c r="BL420" t="s">
        <v>339</v>
      </c>
      <c r="BM420" t="s">
        <v>8530</v>
      </c>
      <c r="BN420" t="s">
        <v>74</v>
      </c>
      <c r="BO420" t="s">
        <v>341</v>
      </c>
      <c r="BP420" t="s">
        <v>74</v>
      </c>
      <c r="BQ420" t="s">
        <v>74</v>
      </c>
      <c r="BR420" t="s">
        <v>105</v>
      </c>
      <c r="BS420" t="s">
        <v>8564</v>
      </c>
      <c r="BT420" t="str">
        <f>HYPERLINK("https%3A%2F%2Fwww.webofscience.com%2Fwos%2Fwoscc%2Ffull-record%2FWOS:000430771400008","View Full Record in Web of Science")</f>
        <v>View Full Record in Web of Science</v>
      </c>
    </row>
    <row r="421" spans="1:72" x14ac:dyDescent="0.15">
      <c r="A421" t="s">
        <v>72</v>
      </c>
      <c r="B421" t="s">
        <v>8565</v>
      </c>
      <c r="C421" t="s">
        <v>74</v>
      </c>
      <c r="D421" t="s">
        <v>74</v>
      </c>
      <c r="E421" t="s">
        <v>74</v>
      </c>
      <c r="F421" t="s">
        <v>8566</v>
      </c>
      <c r="G421" t="s">
        <v>74</v>
      </c>
      <c r="H421" t="s">
        <v>74</v>
      </c>
      <c r="I421" t="s">
        <v>8567</v>
      </c>
      <c r="J421" t="s">
        <v>8568</v>
      </c>
      <c r="K421" t="s">
        <v>74</v>
      </c>
      <c r="L421" t="s">
        <v>74</v>
      </c>
      <c r="M421" t="s">
        <v>78</v>
      </c>
      <c r="N421" t="s">
        <v>79</v>
      </c>
      <c r="O421" t="s">
        <v>74</v>
      </c>
      <c r="P421" t="s">
        <v>74</v>
      </c>
      <c r="Q421" t="s">
        <v>74</v>
      </c>
      <c r="R421" t="s">
        <v>74</v>
      </c>
      <c r="S421" t="s">
        <v>74</v>
      </c>
      <c r="T421" t="s">
        <v>8569</v>
      </c>
      <c r="U421" t="s">
        <v>8570</v>
      </c>
      <c r="V421" t="s">
        <v>8571</v>
      </c>
      <c r="W421" t="s">
        <v>8572</v>
      </c>
      <c r="X421" t="s">
        <v>8573</v>
      </c>
      <c r="Y421" t="s">
        <v>8574</v>
      </c>
      <c r="Z421" t="s">
        <v>8575</v>
      </c>
      <c r="AA421" t="s">
        <v>8576</v>
      </c>
      <c r="AB421" t="s">
        <v>8577</v>
      </c>
      <c r="AC421" t="s">
        <v>8578</v>
      </c>
      <c r="AD421" t="s">
        <v>8579</v>
      </c>
      <c r="AE421" t="s">
        <v>8580</v>
      </c>
      <c r="AF421" t="s">
        <v>74</v>
      </c>
      <c r="AG421">
        <v>72</v>
      </c>
      <c r="AH421">
        <v>22</v>
      </c>
      <c r="AI421">
        <v>24</v>
      </c>
      <c r="AJ421">
        <v>1</v>
      </c>
      <c r="AK421">
        <v>22</v>
      </c>
      <c r="AL421" t="s">
        <v>8581</v>
      </c>
      <c r="AM421" t="s">
        <v>8582</v>
      </c>
      <c r="AN421" t="s">
        <v>8583</v>
      </c>
      <c r="AO421" t="s">
        <v>8584</v>
      </c>
      <c r="AP421" t="s">
        <v>8585</v>
      </c>
      <c r="AQ421" t="s">
        <v>74</v>
      </c>
      <c r="AR421" t="s">
        <v>8586</v>
      </c>
      <c r="AS421" t="s">
        <v>8587</v>
      </c>
      <c r="AT421" t="s">
        <v>7235</v>
      </c>
      <c r="AU421">
        <v>2018</v>
      </c>
      <c r="AV421">
        <v>103</v>
      </c>
      <c r="AW421">
        <v>4</v>
      </c>
      <c r="AX421" t="s">
        <v>74</v>
      </c>
      <c r="AY421" t="s">
        <v>74</v>
      </c>
      <c r="AZ421" t="s">
        <v>74</v>
      </c>
      <c r="BA421" t="s">
        <v>74</v>
      </c>
      <c r="BB421">
        <v>610</v>
      </c>
      <c r="BC421">
        <v>622</v>
      </c>
      <c r="BD421" t="s">
        <v>74</v>
      </c>
      <c r="BE421" t="s">
        <v>8588</v>
      </c>
      <c r="BF421" t="str">
        <f>HYPERLINK("http://dx.doi.org/10.2138/am-2018-6214","http://dx.doi.org/10.2138/am-2018-6214")</f>
        <v>http://dx.doi.org/10.2138/am-2018-6214</v>
      </c>
      <c r="BG421" t="s">
        <v>74</v>
      </c>
      <c r="BH421" t="s">
        <v>74</v>
      </c>
      <c r="BI421">
        <v>13</v>
      </c>
      <c r="BJ421" t="s">
        <v>5011</v>
      </c>
      <c r="BK421" t="s">
        <v>101</v>
      </c>
      <c r="BL421" t="s">
        <v>5011</v>
      </c>
      <c r="BM421" t="s">
        <v>8589</v>
      </c>
      <c r="BN421" t="s">
        <v>74</v>
      </c>
      <c r="BO421" t="s">
        <v>74</v>
      </c>
      <c r="BP421" t="s">
        <v>74</v>
      </c>
      <c r="BQ421" t="s">
        <v>74</v>
      </c>
      <c r="BR421" t="s">
        <v>105</v>
      </c>
      <c r="BS421" t="s">
        <v>8590</v>
      </c>
      <c r="BT421" t="str">
        <f>HYPERLINK("https%3A%2F%2Fwww.webofscience.com%2Fwos%2Fwoscc%2Ffull-record%2FWOS:000431122000008","View Full Record in Web of Science")</f>
        <v>View Full Record in Web of Science</v>
      </c>
    </row>
    <row r="422" spans="1:72" x14ac:dyDescent="0.15">
      <c r="A422" t="s">
        <v>72</v>
      </c>
      <c r="B422" t="s">
        <v>8591</v>
      </c>
      <c r="C422" t="s">
        <v>74</v>
      </c>
      <c r="D422" t="s">
        <v>74</v>
      </c>
      <c r="E422" t="s">
        <v>74</v>
      </c>
      <c r="F422" t="s">
        <v>8592</v>
      </c>
      <c r="G422" t="s">
        <v>74</v>
      </c>
      <c r="H422" t="s">
        <v>74</v>
      </c>
      <c r="I422" t="s">
        <v>8593</v>
      </c>
      <c r="J422" t="s">
        <v>8594</v>
      </c>
      <c r="K422" t="s">
        <v>74</v>
      </c>
      <c r="L422" t="s">
        <v>74</v>
      </c>
      <c r="M422" t="s">
        <v>78</v>
      </c>
      <c r="N422" t="s">
        <v>999</v>
      </c>
      <c r="O422" t="s">
        <v>74</v>
      </c>
      <c r="P422" t="s">
        <v>74</v>
      </c>
      <c r="Q422" t="s">
        <v>74</v>
      </c>
      <c r="R422" t="s">
        <v>74</v>
      </c>
      <c r="S422" t="s">
        <v>74</v>
      </c>
      <c r="T422" t="s">
        <v>74</v>
      </c>
      <c r="U422" t="s">
        <v>74</v>
      </c>
      <c r="V422" t="s">
        <v>74</v>
      </c>
      <c r="W422" t="s">
        <v>8595</v>
      </c>
      <c r="X422" t="s">
        <v>3455</v>
      </c>
      <c r="Y422" t="s">
        <v>8596</v>
      </c>
      <c r="Z422" t="s">
        <v>8597</v>
      </c>
      <c r="AA422" t="s">
        <v>8598</v>
      </c>
      <c r="AB422" t="s">
        <v>74</v>
      </c>
      <c r="AC422" t="s">
        <v>8599</v>
      </c>
      <c r="AD422" t="s">
        <v>8600</v>
      </c>
      <c r="AE422" t="s">
        <v>8601</v>
      </c>
      <c r="AF422" t="s">
        <v>74</v>
      </c>
      <c r="AG422">
        <v>1</v>
      </c>
      <c r="AH422">
        <v>0</v>
      </c>
      <c r="AI422">
        <v>0</v>
      </c>
      <c r="AJ422">
        <v>0</v>
      </c>
      <c r="AK422">
        <v>6</v>
      </c>
      <c r="AL422" t="s">
        <v>914</v>
      </c>
      <c r="AM422" t="s">
        <v>452</v>
      </c>
      <c r="AN422" t="s">
        <v>915</v>
      </c>
      <c r="AO422" t="s">
        <v>8602</v>
      </c>
      <c r="AP422" t="s">
        <v>8603</v>
      </c>
      <c r="AQ422" t="s">
        <v>74</v>
      </c>
      <c r="AR422" t="s">
        <v>8594</v>
      </c>
      <c r="AS422" t="s">
        <v>8604</v>
      </c>
      <c r="AT422" t="s">
        <v>7424</v>
      </c>
      <c r="AU422">
        <v>2018</v>
      </c>
      <c r="AV422">
        <v>491</v>
      </c>
      <c r="AW422" t="s">
        <v>74</v>
      </c>
      <c r="AX422" t="s">
        <v>74</v>
      </c>
      <c r="AY422" t="s">
        <v>74</v>
      </c>
      <c r="AZ422" t="s">
        <v>74</v>
      </c>
      <c r="BA422" t="s">
        <v>74</v>
      </c>
      <c r="BB422">
        <v>399</v>
      </c>
      <c r="BC422">
        <v>399</v>
      </c>
      <c r="BD422" t="s">
        <v>74</v>
      </c>
      <c r="BE422" t="s">
        <v>8605</v>
      </c>
      <c r="BF422" t="str">
        <f>HYPERLINK("http://dx.doi.org/10.1016/j.aquaculture.2018.04.023","http://dx.doi.org/10.1016/j.aquaculture.2018.04.023")</f>
        <v>http://dx.doi.org/10.1016/j.aquaculture.2018.04.023</v>
      </c>
      <c r="BG422" t="s">
        <v>74</v>
      </c>
      <c r="BH422" t="s">
        <v>74</v>
      </c>
      <c r="BI422">
        <v>1</v>
      </c>
      <c r="BJ422" t="s">
        <v>3627</v>
      </c>
      <c r="BK422" t="s">
        <v>101</v>
      </c>
      <c r="BL422" t="s">
        <v>3627</v>
      </c>
      <c r="BM422" t="s">
        <v>8606</v>
      </c>
      <c r="BN422" t="s">
        <v>74</v>
      </c>
      <c r="BO422" t="s">
        <v>74</v>
      </c>
      <c r="BP422" t="s">
        <v>74</v>
      </c>
      <c r="BQ422" t="s">
        <v>74</v>
      </c>
      <c r="BR422" t="s">
        <v>105</v>
      </c>
      <c r="BS422" t="s">
        <v>8607</v>
      </c>
      <c r="BT422" t="str">
        <f>HYPERLINK("https%3A%2F%2Fwww.webofscience.com%2Fwos%2Fwoscc%2Ffull-record%2FWOS:000431009400052","View Full Record in Web of Science")</f>
        <v>View Full Record in Web of Science</v>
      </c>
    </row>
    <row r="423" spans="1:72" x14ac:dyDescent="0.15">
      <c r="A423" t="s">
        <v>72</v>
      </c>
      <c r="B423" t="s">
        <v>8608</v>
      </c>
      <c r="C423" t="s">
        <v>74</v>
      </c>
      <c r="D423" t="s">
        <v>74</v>
      </c>
      <c r="E423" t="s">
        <v>74</v>
      </c>
      <c r="F423" t="s">
        <v>8609</v>
      </c>
      <c r="G423" t="s">
        <v>74</v>
      </c>
      <c r="H423" t="s">
        <v>74</v>
      </c>
      <c r="I423" t="s">
        <v>8610</v>
      </c>
      <c r="J423" t="s">
        <v>8611</v>
      </c>
      <c r="K423" t="s">
        <v>74</v>
      </c>
      <c r="L423" t="s">
        <v>74</v>
      </c>
      <c r="M423" t="s">
        <v>78</v>
      </c>
      <c r="N423" t="s">
        <v>79</v>
      </c>
      <c r="O423" t="s">
        <v>74</v>
      </c>
      <c r="P423" t="s">
        <v>74</v>
      </c>
      <c r="Q423" t="s">
        <v>74</v>
      </c>
      <c r="R423" t="s">
        <v>74</v>
      </c>
      <c r="S423" t="s">
        <v>74</v>
      </c>
      <c r="T423" t="s">
        <v>8612</v>
      </c>
      <c r="U423" t="s">
        <v>8613</v>
      </c>
      <c r="V423" t="s">
        <v>8614</v>
      </c>
      <c r="W423" t="s">
        <v>8615</v>
      </c>
      <c r="X423" t="s">
        <v>8616</v>
      </c>
      <c r="Y423" t="s">
        <v>8617</v>
      </c>
      <c r="Z423" t="s">
        <v>8618</v>
      </c>
      <c r="AA423" t="s">
        <v>8619</v>
      </c>
      <c r="AB423" t="s">
        <v>8620</v>
      </c>
      <c r="AC423" t="s">
        <v>8621</v>
      </c>
      <c r="AD423" t="s">
        <v>8622</v>
      </c>
      <c r="AE423" t="s">
        <v>8623</v>
      </c>
      <c r="AF423" t="s">
        <v>74</v>
      </c>
      <c r="AG423">
        <v>69</v>
      </c>
      <c r="AH423">
        <v>13</v>
      </c>
      <c r="AI423">
        <v>14</v>
      </c>
      <c r="AJ423">
        <v>1</v>
      </c>
      <c r="AK423">
        <v>17</v>
      </c>
      <c r="AL423" t="s">
        <v>3508</v>
      </c>
      <c r="AM423" t="s">
        <v>1540</v>
      </c>
      <c r="AN423" t="s">
        <v>8624</v>
      </c>
      <c r="AO423" t="s">
        <v>8625</v>
      </c>
      <c r="AP423" t="s">
        <v>8626</v>
      </c>
      <c r="AQ423" t="s">
        <v>74</v>
      </c>
      <c r="AR423" t="s">
        <v>8627</v>
      </c>
      <c r="AS423" t="s">
        <v>8628</v>
      </c>
      <c r="AT423" t="s">
        <v>7235</v>
      </c>
      <c r="AU423">
        <v>2018</v>
      </c>
      <c r="AV423">
        <v>99</v>
      </c>
      <c r="AW423">
        <v>4</v>
      </c>
      <c r="AX423" t="s">
        <v>74</v>
      </c>
      <c r="AY423" t="s">
        <v>74</v>
      </c>
      <c r="AZ423" t="s">
        <v>74</v>
      </c>
      <c r="BA423" t="s">
        <v>74</v>
      </c>
      <c r="BB423">
        <v>549</v>
      </c>
      <c r="BC423">
        <v>557</v>
      </c>
      <c r="BD423" t="s">
        <v>74</v>
      </c>
      <c r="BE423" t="s">
        <v>8629</v>
      </c>
      <c r="BF423" t="str">
        <f>HYPERLINK("http://dx.doi.org/10.1099/jgv.0.001028","http://dx.doi.org/10.1099/jgv.0.001028")</f>
        <v>http://dx.doi.org/10.1099/jgv.0.001028</v>
      </c>
      <c r="BG423" t="s">
        <v>74</v>
      </c>
      <c r="BH423" t="s">
        <v>74</v>
      </c>
      <c r="BI423">
        <v>9</v>
      </c>
      <c r="BJ423" t="s">
        <v>8630</v>
      </c>
      <c r="BK423" t="s">
        <v>101</v>
      </c>
      <c r="BL423" t="s">
        <v>8630</v>
      </c>
      <c r="BM423" t="s">
        <v>8631</v>
      </c>
      <c r="BN423">
        <v>29469687</v>
      </c>
      <c r="BO423" t="s">
        <v>1802</v>
      </c>
      <c r="BP423" t="s">
        <v>74</v>
      </c>
      <c r="BQ423" t="s">
        <v>74</v>
      </c>
      <c r="BR423" t="s">
        <v>105</v>
      </c>
      <c r="BS423" t="s">
        <v>8632</v>
      </c>
      <c r="BT423" t="str">
        <f>HYPERLINK("https%3A%2F%2Fwww.webofscience.com%2Fwos%2Fwoscc%2Ffull-record%2FWOS:000431022600012","View Full Record in Web of Science")</f>
        <v>View Full Record in Web of Science</v>
      </c>
    </row>
    <row r="424" spans="1:72" x14ac:dyDescent="0.15">
      <c r="A424" t="s">
        <v>72</v>
      </c>
      <c r="B424" t="s">
        <v>8633</v>
      </c>
      <c r="C424" t="s">
        <v>74</v>
      </c>
      <c r="D424" t="s">
        <v>74</v>
      </c>
      <c r="E424" t="s">
        <v>74</v>
      </c>
      <c r="F424" t="s">
        <v>8634</v>
      </c>
      <c r="G424" t="s">
        <v>74</v>
      </c>
      <c r="H424" t="s">
        <v>74</v>
      </c>
      <c r="I424" t="s">
        <v>8635</v>
      </c>
      <c r="J424" t="s">
        <v>7597</v>
      </c>
      <c r="K424" t="s">
        <v>74</v>
      </c>
      <c r="L424" t="s">
        <v>74</v>
      </c>
      <c r="M424" t="s">
        <v>78</v>
      </c>
      <c r="N424" t="s">
        <v>79</v>
      </c>
      <c r="O424" t="s">
        <v>74</v>
      </c>
      <c r="P424" t="s">
        <v>74</v>
      </c>
      <c r="Q424" t="s">
        <v>74</v>
      </c>
      <c r="R424" t="s">
        <v>74</v>
      </c>
      <c r="S424" t="s">
        <v>74</v>
      </c>
      <c r="T424" t="s">
        <v>8636</v>
      </c>
      <c r="U424" t="s">
        <v>8637</v>
      </c>
      <c r="V424" t="s">
        <v>8638</v>
      </c>
      <c r="W424" t="s">
        <v>8639</v>
      </c>
      <c r="X424" t="s">
        <v>8640</v>
      </c>
      <c r="Y424" t="s">
        <v>8641</v>
      </c>
      <c r="Z424" t="s">
        <v>8642</v>
      </c>
      <c r="AA424" t="s">
        <v>8643</v>
      </c>
      <c r="AB424" t="s">
        <v>8644</v>
      </c>
      <c r="AC424" t="s">
        <v>8645</v>
      </c>
      <c r="AD424" t="s">
        <v>8646</v>
      </c>
      <c r="AE424" t="s">
        <v>8647</v>
      </c>
      <c r="AF424" t="s">
        <v>74</v>
      </c>
      <c r="AG424">
        <v>49</v>
      </c>
      <c r="AH424">
        <v>9</v>
      </c>
      <c r="AI424">
        <v>10</v>
      </c>
      <c r="AJ424">
        <v>0</v>
      </c>
      <c r="AK424">
        <v>4</v>
      </c>
      <c r="AL424" t="s">
        <v>179</v>
      </c>
      <c r="AM424" t="s">
        <v>180</v>
      </c>
      <c r="AN424" t="s">
        <v>181</v>
      </c>
      <c r="AO424" t="s">
        <v>7609</v>
      </c>
      <c r="AP424" t="s">
        <v>7610</v>
      </c>
      <c r="AQ424" t="s">
        <v>74</v>
      </c>
      <c r="AR424" t="s">
        <v>7611</v>
      </c>
      <c r="AS424" t="s">
        <v>7612</v>
      </c>
      <c r="AT424" t="s">
        <v>7235</v>
      </c>
      <c r="AU424">
        <v>2018</v>
      </c>
      <c r="AV424">
        <v>34</v>
      </c>
      <c r="AW424">
        <v>2</v>
      </c>
      <c r="AX424" t="s">
        <v>74</v>
      </c>
      <c r="AY424" t="s">
        <v>74</v>
      </c>
      <c r="AZ424" t="s">
        <v>74</v>
      </c>
      <c r="BA424" t="s">
        <v>74</v>
      </c>
      <c r="BB424">
        <v>403</v>
      </c>
      <c r="BC424">
        <v>419</v>
      </c>
      <c r="BD424" t="s">
        <v>74</v>
      </c>
      <c r="BE424" t="s">
        <v>8648</v>
      </c>
      <c r="BF424" t="str">
        <f>HYPERLINK("http://dx.doi.org/10.1111/mms.12461","http://dx.doi.org/10.1111/mms.12461")</f>
        <v>http://dx.doi.org/10.1111/mms.12461</v>
      </c>
      <c r="BG424" t="s">
        <v>74</v>
      </c>
      <c r="BH424" t="s">
        <v>74</v>
      </c>
      <c r="BI424">
        <v>17</v>
      </c>
      <c r="BJ424" t="s">
        <v>4680</v>
      </c>
      <c r="BK424" t="s">
        <v>101</v>
      </c>
      <c r="BL424" t="s">
        <v>4680</v>
      </c>
      <c r="BM424" t="s">
        <v>7614</v>
      </c>
      <c r="BN424" t="s">
        <v>74</v>
      </c>
      <c r="BO424" t="s">
        <v>104</v>
      </c>
      <c r="BP424" t="s">
        <v>74</v>
      </c>
      <c r="BQ424" t="s">
        <v>74</v>
      </c>
      <c r="BR424" t="s">
        <v>105</v>
      </c>
      <c r="BS424" t="s">
        <v>8649</v>
      </c>
      <c r="BT424" t="str">
        <f>HYPERLINK("https%3A%2F%2Fwww.webofscience.com%2Fwos%2Fwoscc%2Ffull-record%2FWOS:000430918200008","View Full Record in Web of Science")</f>
        <v>View Full Record in Web of Science</v>
      </c>
    </row>
    <row r="425" spans="1:72" x14ac:dyDescent="0.15">
      <c r="A425" t="s">
        <v>72</v>
      </c>
      <c r="B425" t="s">
        <v>8650</v>
      </c>
      <c r="C425" t="s">
        <v>74</v>
      </c>
      <c r="D425" t="s">
        <v>74</v>
      </c>
      <c r="E425" t="s">
        <v>74</v>
      </c>
      <c r="F425" t="s">
        <v>8651</v>
      </c>
      <c r="G425" t="s">
        <v>74</v>
      </c>
      <c r="H425" t="s">
        <v>74</v>
      </c>
      <c r="I425" t="s">
        <v>8652</v>
      </c>
      <c r="J425" t="s">
        <v>8653</v>
      </c>
      <c r="K425" t="s">
        <v>74</v>
      </c>
      <c r="L425" t="s">
        <v>74</v>
      </c>
      <c r="M425" t="s">
        <v>78</v>
      </c>
      <c r="N425" t="s">
        <v>79</v>
      </c>
      <c r="O425" t="s">
        <v>74</v>
      </c>
      <c r="P425" t="s">
        <v>74</v>
      </c>
      <c r="Q425" t="s">
        <v>74</v>
      </c>
      <c r="R425" t="s">
        <v>74</v>
      </c>
      <c r="S425" t="s">
        <v>74</v>
      </c>
      <c r="T425" t="s">
        <v>74</v>
      </c>
      <c r="U425" t="s">
        <v>8654</v>
      </c>
      <c r="V425" t="s">
        <v>8655</v>
      </c>
      <c r="W425" t="s">
        <v>8656</v>
      </c>
      <c r="X425" t="s">
        <v>8657</v>
      </c>
      <c r="Y425" t="s">
        <v>8658</v>
      </c>
      <c r="Z425" t="s">
        <v>8659</v>
      </c>
      <c r="AA425" t="s">
        <v>8660</v>
      </c>
      <c r="AB425" t="s">
        <v>8661</v>
      </c>
      <c r="AC425" t="s">
        <v>8662</v>
      </c>
      <c r="AD425" t="s">
        <v>8663</v>
      </c>
      <c r="AE425" t="s">
        <v>8664</v>
      </c>
      <c r="AF425" t="s">
        <v>74</v>
      </c>
      <c r="AG425">
        <v>19</v>
      </c>
      <c r="AH425">
        <v>3</v>
      </c>
      <c r="AI425">
        <v>3</v>
      </c>
      <c r="AJ425">
        <v>1</v>
      </c>
      <c r="AK425">
        <v>7</v>
      </c>
      <c r="AL425" t="s">
        <v>8665</v>
      </c>
      <c r="AM425" t="s">
        <v>8666</v>
      </c>
      <c r="AN425" t="s">
        <v>8667</v>
      </c>
      <c r="AO425" t="s">
        <v>8668</v>
      </c>
      <c r="AP425" t="s">
        <v>8669</v>
      </c>
      <c r="AQ425" t="s">
        <v>74</v>
      </c>
      <c r="AR425" t="s">
        <v>8670</v>
      </c>
      <c r="AS425" t="s">
        <v>8671</v>
      </c>
      <c r="AT425" t="s">
        <v>7235</v>
      </c>
      <c r="AU425">
        <v>2018</v>
      </c>
      <c r="AV425">
        <v>89</v>
      </c>
      <c r="AW425">
        <v>4</v>
      </c>
      <c r="AX425" t="s">
        <v>74</v>
      </c>
      <c r="AY425" t="s">
        <v>74</v>
      </c>
      <c r="AZ425" t="s">
        <v>74</v>
      </c>
      <c r="BA425" t="s">
        <v>74</v>
      </c>
      <c r="BB425" t="s">
        <v>74</v>
      </c>
      <c r="BC425" t="s">
        <v>74</v>
      </c>
      <c r="BD425">
        <v>44502</v>
      </c>
      <c r="BE425" t="s">
        <v>8672</v>
      </c>
      <c r="BF425" t="str">
        <f>HYPERLINK("http://dx.doi.org/10.1063/1.5023481","http://dx.doi.org/10.1063/1.5023481")</f>
        <v>http://dx.doi.org/10.1063/1.5023481</v>
      </c>
      <c r="BG425" t="s">
        <v>74</v>
      </c>
      <c r="BH425" t="s">
        <v>74</v>
      </c>
      <c r="BI425">
        <v>8</v>
      </c>
      <c r="BJ425" t="s">
        <v>8673</v>
      </c>
      <c r="BK425" t="s">
        <v>101</v>
      </c>
      <c r="BL425" t="s">
        <v>8674</v>
      </c>
      <c r="BM425" t="s">
        <v>8675</v>
      </c>
      <c r="BN425">
        <v>29716353</v>
      </c>
      <c r="BO425" t="s">
        <v>74</v>
      </c>
      <c r="BP425" t="s">
        <v>74</v>
      </c>
      <c r="BQ425" t="s">
        <v>74</v>
      </c>
      <c r="BR425" t="s">
        <v>105</v>
      </c>
      <c r="BS425" t="s">
        <v>8676</v>
      </c>
      <c r="BT425" t="str">
        <f>HYPERLINK("https%3A%2F%2Fwww.webofscience.com%2Fwos%2Fwoscc%2Ffull-record%2FWOS:000431139400037","View Full Record in Web of Science")</f>
        <v>View Full Record in Web of Science</v>
      </c>
    </row>
    <row r="426" spans="1:72" x14ac:dyDescent="0.15">
      <c r="A426" t="s">
        <v>72</v>
      </c>
      <c r="B426" t="s">
        <v>8677</v>
      </c>
      <c r="C426" t="s">
        <v>74</v>
      </c>
      <c r="D426" t="s">
        <v>74</v>
      </c>
      <c r="E426" t="s">
        <v>74</v>
      </c>
      <c r="F426" t="s">
        <v>8678</v>
      </c>
      <c r="G426" t="s">
        <v>74</v>
      </c>
      <c r="H426" t="s">
        <v>74</v>
      </c>
      <c r="I426" t="s">
        <v>8679</v>
      </c>
      <c r="J426" t="s">
        <v>8680</v>
      </c>
      <c r="K426" t="s">
        <v>74</v>
      </c>
      <c r="L426" t="s">
        <v>74</v>
      </c>
      <c r="M426" t="s">
        <v>78</v>
      </c>
      <c r="N426" t="s">
        <v>79</v>
      </c>
      <c r="O426" t="s">
        <v>74</v>
      </c>
      <c r="P426" t="s">
        <v>74</v>
      </c>
      <c r="Q426" t="s">
        <v>74</v>
      </c>
      <c r="R426" t="s">
        <v>74</v>
      </c>
      <c r="S426" t="s">
        <v>74</v>
      </c>
      <c r="T426" t="s">
        <v>74</v>
      </c>
      <c r="U426" t="s">
        <v>8681</v>
      </c>
      <c r="V426" t="s">
        <v>8682</v>
      </c>
      <c r="W426" t="s">
        <v>8683</v>
      </c>
      <c r="X426" t="s">
        <v>8684</v>
      </c>
      <c r="Y426" t="s">
        <v>8685</v>
      </c>
      <c r="Z426" t="s">
        <v>8686</v>
      </c>
      <c r="AA426" t="s">
        <v>8687</v>
      </c>
      <c r="AB426" t="s">
        <v>8688</v>
      </c>
      <c r="AC426" t="s">
        <v>8689</v>
      </c>
      <c r="AD426" t="s">
        <v>8690</v>
      </c>
      <c r="AE426" t="s">
        <v>8691</v>
      </c>
      <c r="AF426" t="s">
        <v>74</v>
      </c>
      <c r="AG426">
        <v>43</v>
      </c>
      <c r="AH426">
        <v>4</v>
      </c>
      <c r="AI426">
        <v>5</v>
      </c>
      <c r="AJ426">
        <v>1</v>
      </c>
      <c r="AK426">
        <v>3</v>
      </c>
      <c r="AL426" t="s">
        <v>3595</v>
      </c>
      <c r="AM426" t="s">
        <v>3596</v>
      </c>
      <c r="AN426" t="s">
        <v>3597</v>
      </c>
      <c r="AO426" t="s">
        <v>8692</v>
      </c>
      <c r="AP426" t="s">
        <v>8693</v>
      </c>
      <c r="AQ426" t="s">
        <v>74</v>
      </c>
      <c r="AR426" t="s">
        <v>8694</v>
      </c>
      <c r="AS426" t="s">
        <v>8695</v>
      </c>
      <c r="AT426" t="s">
        <v>7235</v>
      </c>
      <c r="AU426">
        <v>2018</v>
      </c>
      <c r="AV426">
        <v>35</v>
      </c>
      <c r="AW426">
        <v>4</v>
      </c>
      <c r="AX426" t="s">
        <v>74</v>
      </c>
      <c r="AY426" t="s">
        <v>74</v>
      </c>
      <c r="AZ426" t="s">
        <v>74</v>
      </c>
      <c r="BA426" t="s">
        <v>74</v>
      </c>
      <c r="BB426">
        <v>911</v>
      </c>
      <c r="BC426">
        <v>926</v>
      </c>
      <c r="BD426" t="s">
        <v>74</v>
      </c>
      <c r="BE426" t="s">
        <v>8696</v>
      </c>
      <c r="BF426" t="str">
        <f>HYPERLINK("http://dx.doi.org/10.1175/JTECH-D-17-0086.1","http://dx.doi.org/10.1175/JTECH-D-17-0086.1")</f>
        <v>http://dx.doi.org/10.1175/JTECH-D-17-0086.1</v>
      </c>
      <c r="BG426" t="s">
        <v>74</v>
      </c>
      <c r="BH426" t="s">
        <v>74</v>
      </c>
      <c r="BI426">
        <v>16</v>
      </c>
      <c r="BJ426" t="s">
        <v>8697</v>
      </c>
      <c r="BK426" t="s">
        <v>101</v>
      </c>
      <c r="BL426" t="s">
        <v>8698</v>
      </c>
      <c r="BM426" t="s">
        <v>8699</v>
      </c>
      <c r="BN426" t="s">
        <v>74</v>
      </c>
      <c r="BO426" t="s">
        <v>341</v>
      </c>
      <c r="BP426" t="s">
        <v>74</v>
      </c>
      <c r="BQ426" t="s">
        <v>74</v>
      </c>
      <c r="BR426" t="s">
        <v>105</v>
      </c>
      <c r="BS426" t="s">
        <v>8700</v>
      </c>
      <c r="BT426" t="str">
        <f>HYPERLINK("https%3A%2F%2Fwww.webofscience.com%2Fwos%2Fwoscc%2Ffull-record%2FWOS:000430971300014","View Full Record in Web of Science")</f>
        <v>View Full Record in Web of Science</v>
      </c>
    </row>
    <row r="427" spans="1:72" x14ac:dyDescent="0.15">
      <c r="A427" t="s">
        <v>72</v>
      </c>
      <c r="B427" t="s">
        <v>8701</v>
      </c>
      <c r="C427" t="s">
        <v>74</v>
      </c>
      <c r="D427" t="s">
        <v>74</v>
      </c>
      <c r="E427" t="s">
        <v>74</v>
      </c>
      <c r="F427" t="s">
        <v>8702</v>
      </c>
      <c r="G427" t="s">
        <v>74</v>
      </c>
      <c r="H427" t="s">
        <v>74</v>
      </c>
      <c r="I427" t="s">
        <v>8703</v>
      </c>
      <c r="J427" t="s">
        <v>8704</v>
      </c>
      <c r="K427" t="s">
        <v>74</v>
      </c>
      <c r="L427" t="s">
        <v>74</v>
      </c>
      <c r="M427" t="s">
        <v>78</v>
      </c>
      <c r="N427" t="s">
        <v>79</v>
      </c>
      <c r="O427" t="s">
        <v>74</v>
      </c>
      <c r="P427" t="s">
        <v>74</v>
      </c>
      <c r="Q427" t="s">
        <v>74</v>
      </c>
      <c r="R427" t="s">
        <v>74</v>
      </c>
      <c r="S427" t="s">
        <v>74</v>
      </c>
      <c r="T427" t="s">
        <v>8705</v>
      </c>
      <c r="U427" t="s">
        <v>8706</v>
      </c>
      <c r="V427" t="s">
        <v>8707</v>
      </c>
      <c r="W427" t="s">
        <v>8708</v>
      </c>
      <c r="X427" t="s">
        <v>8709</v>
      </c>
      <c r="Y427" t="s">
        <v>8710</v>
      </c>
      <c r="Z427" t="s">
        <v>8711</v>
      </c>
      <c r="AA427" t="s">
        <v>8712</v>
      </c>
      <c r="AB427" t="s">
        <v>8713</v>
      </c>
      <c r="AC427" t="s">
        <v>8714</v>
      </c>
      <c r="AD427" t="s">
        <v>8715</v>
      </c>
      <c r="AE427" t="s">
        <v>8716</v>
      </c>
      <c r="AF427" t="s">
        <v>74</v>
      </c>
      <c r="AG427">
        <v>54</v>
      </c>
      <c r="AH427">
        <v>15</v>
      </c>
      <c r="AI427">
        <v>16</v>
      </c>
      <c r="AJ427">
        <v>1</v>
      </c>
      <c r="AK427">
        <v>16</v>
      </c>
      <c r="AL427" t="s">
        <v>277</v>
      </c>
      <c r="AM427" t="s">
        <v>278</v>
      </c>
      <c r="AN427" t="s">
        <v>279</v>
      </c>
      <c r="AO427" t="s">
        <v>8717</v>
      </c>
      <c r="AP427" t="s">
        <v>8718</v>
      </c>
      <c r="AQ427" t="s">
        <v>74</v>
      </c>
      <c r="AR427" t="s">
        <v>8719</v>
      </c>
      <c r="AS427" t="s">
        <v>8720</v>
      </c>
      <c r="AT427" t="s">
        <v>7424</v>
      </c>
      <c r="AU427">
        <v>2018</v>
      </c>
      <c r="AV427">
        <v>157</v>
      </c>
      <c r="AW427" t="s">
        <v>74</v>
      </c>
      <c r="AX427" t="s">
        <v>74</v>
      </c>
      <c r="AY427" t="s">
        <v>74</v>
      </c>
      <c r="AZ427" t="s">
        <v>74</v>
      </c>
      <c r="BA427" t="s">
        <v>74</v>
      </c>
      <c r="BB427">
        <v>32</v>
      </c>
      <c r="BC427">
        <v>42</v>
      </c>
      <c r="BD427" t="s">
        <v>74</v>
      </c>
      <c r="BE427" t="s">
        <v>8721</v>
      </c>
      <c r="BF427" t="str">
        <f>HYPERLINK("http://dx.doi.org/10.1016/j.csr.2018.02.006","http://dx.doi.org/10.1016/j.csr.2018.02.006")</f>
        <v>http://dx.doi.org/10.1016/j.csr.2018.02.006</v>
      </c>
      <c r="BG427" t="s">
        <v>74</v>
      </c>
      <c r="BH427" t="s">
        <v>74</v>
      </c>
      <c r="BI427">
        <v>11</v>
      </c>
      <c r="BJ427" t="s">
        <v>364</v>
      </c>
      <c r="BK427" t="s">
        <v>101</v>
      </c>
      <c r="BL427" t="s">
        <v>364</v>
      </c>
      <c r="BM427" t="s">
        <v>8722</v>
      </c>
      <c r="BN427" t="s">
        <v>74</v>
      </c>
      <c r="BO427" t="s">
        <v>74</v>
      </c>
      <c r="BP427" t="s">
        <v>74</v>
      </c>
      <c r="BQ427" t="s">
        <v>74</v>
      </c>
      <c r="BR427" t="s">
        <v>105</v>
      </c>
      <c r="BS427" t="s">
        <v>8723</v>
      </c>
      <c r="BT427" t="str">
        <f>HYPERLINK("https%3A%2F%2Fwww.webofscience.com%2Fwos%2Fwoscc%2Ffull-record%2FWOS:000430768800004","View Full Record in Web of Science")</f>
        <v>View Full Record in Web of Science</v>
      </c>
    </row>
    <row r="428" spans="1:72" x14ac:dyDescent="0.15">
      <c r="A428" t="s">
        <v>72</v>
      </c>
      <c r="B428" t="s">
        <v>8724</v>
      </c>
      <c r="C428" t="s">
        <v>74</v>
      </c>
      <c r="D428" t="s">
        <v>74</v>
      </c>
      <c r="E428" t="s">
        <v>74</v>
      </c>
      <c r="F428" t="s">
        <v>8725</v>
      </c>
      <c r="G428" t="s">
        <v>74</v>
      </c>
      <c r="H428" t="s">
        <v>74</v>
      </c>
      <c r="I428" t="s">
        <v>8726</v>
      </c>
      <c r="J428" t="s">
        <v>8727</v>
      </c>
      <c r="K428" t="s">
        <v>74</v>
      </c>
      <c r="L428" t="s">
        <v>74</v>
      </c>
      <c r="M428" t="s">
        <v>78</v>
      </c>
      <c r="N428" t="s">
        <v>8489</v>
      </c>
      <c r="O428" t="s">
        <v>74</v>
      </c>
      <c r="P428" t="s">
        <v>74</v>
      </c>
      <c r="Q428" t="s">
        <v>74</v>
      </c>
      <c r="R428" t="s">
        <v>74</v>
      </c>
      <c r="S428" t="s">
        <v>74</v>
      </c>
      <c r="T428" t="s">
        <v>74</v>
      </c>
      <c r="U428" t="s">
        <v>74</v>
      </c>
      <c r="V428" t="s">
        <v>74</v>
      </c>
      <c r="W428" t="s">
        <v>74</v>
      </c>
      <c r="X428" t="s">
        <v>74</v>
      </c>
      <c r="Y428" t="s">
        <v>74</v>
      </c>
      <c r="Z428" t="s">
        <v>74</v>
      </c>
      <c r="AA428" t="s">
        <v>74</v>
      </c>
      <c r="AB428" t="s">
        <v>74</v>
      </c>
      <c r="AC428" t="s">
        <v>74</v>
      </c>
      <c r="AD428" t="s">
        <v>74</v>
      </c>
      <c r="AE428" t="s">
        <v>74</v>
      </c>
      <c r="AF428" t="s">
        <v>74</v>
      </c>
      <c r="AG428">
        <v>0</v>
      </c>
      <c r="AH428">
        <v>0</v>
      </c>
      <c r="AI428">
        <v>0</v>
      </c>
      <c r="AJ428">
        <v>0</v>
      </c>
      <c r="AK428">
        <v>2</v>
      </c>
      <c r="AL428" t="s">
        <v>179</v>
      </c>
      <c r="AM428" t="s">
        <v>180</v>
      </c>
      <c r="AN428" t="s">
        <v>181</v>
      </c>
      <c r="AO428" t="s">
        <v>8728</v>
      </c>
      <c r="AP428" t="s">
        <v>8729</v>
      </c>
      <c r="AQ428" t="s">
        <v>74</v>
      </c>
      <c r="AR428" t="s">
        <v>8730</v>
      </c>
      <c r="AS428" t="s">
        <v>8731</v>
      </c>
      <c r="AT428" t="s">
        <v>7235</v>
      </c>
      <c r="AU428">
        <v>2018</v>
      </c>
      <c r="AV428">
        <v>16</v>
      </c>
      <c r="AW428">
        <v>3</v>
      </c>
      <c r="AX428" t="s">
        <v>74</v>
      </c>
      <c r="AY428" t="s">
        <v>74</v>
      </c>
      <c r="AZ428" t="s">
        <v>74</v>
      </c>
      <c r="BA428" t="s">
        <v>74</v>
      </c>
      <c r="BB428">
        <v>135</v>
      </c>
      <c r="BC428">
        <v>135</v>
      </c>
      <c r="BD428" t="s">
        <v>74</v>
      </c>
      <c r="BE428" t="s">
        <v>74</v>
      </c>
      <c r="BF428" t="s">
        <v>74</v>
      </c>
      <c r="BG428" t="s">
        <v>74</v>
      </c>
      <c r="BH428" t="s">
        <v>74</v>
      </c>
      <c r="BI428">
        <v>1</v>
      </c>
      <c r="BJ428" t="s">
        <v>5479</v>
      </c>
      <c r="BK428" t="s">
        <v>101</v>
      </c>
      <c r="BL428" t="s">
        <v>315</v>
      </c>
      <c r="BM428" t="s">
        <v>8732</v>
      </c>
      <c r="BN428" t="s">
        <v>74</v>
      </c>
      <c r="BO428" t="s">
        <v>74</v>
      </c>
      <c r="BP428" t="s">
        <v>74</v>
      </c>
      <c r="BQ428" t="s">
        <v>74</v>
      </c>
      <c r="BR428" t="s">
        <v>105</v>
      </c>
      <c r="BS428" t="s">
        <v>8733</v>
      </c>
      <c r="BT428" t="str">
        <f>HYPERLINK("https%3A%2F%2Fwww.webofscience.com%2Fwos%2Fwoscc%2Ffull-record%2FWOS:000428879100009","View Full Record in Web of Science")</f>
        <v>View Full Record in Web of Science</v>
      </c>
    </row>
    <row r="429" spans="1:72" x14ac:dyDescent="0.15">
      <c r="A429" t="s">
        <v>72</v>
      </c>
      <c r="B429" t="s">
        <v>8734</v>
      </c>
      <c r="C429" t="s">
        <v>74</v>
      </c>
      <c r="D429" t="s">
        <v>74</v>
      </c>
      <c r="E429" t="s">
        <v>74</v>
      </c>
      <c r="F429" t="s">
        <v>8735</v>
      </c>
      <c r="G429" t="s">
        <v>74</v>
      </c>
      <c r="H429" t="s">
        <v>74</v>
      </c>
      <c r="I429" t="s">
        <v>8736</v>
      </c>
      <c r="J429" t="s">
        <v>8737</v>
      </c>
      <c r="K429" t="s">
        <v>74</v>
      </c>
      <c r="L429" t="s">
        <v>74</v>
      </c>
      <c r="M429" t="s">
        <v>78</v>
      </c>
      <c r="N429" t="s">
        <v>79</v>
      </c>
      <c r="O429" t="s">
        <v>74</v>
      </c>
      <c r="P429" t="s">
        <v>74</v>
      </c>
      <c r="Q429" t="s">
        <v>74</v>
      </c>
      <c r="R429" t="s">
        <v>74</v>
      </c>
      <c r="S429" t="s">
        <v>74</v>
      </c>
      <c r="T429" t="s">
        <v>8738</v>
      </c>
      <c r="U429" t="s">
        <v>8739</v>
      </c>
      <c r="V429" t="s">
        <v>8740</v>
      </c>
      <c r="W429" t="s">
        <v>8741</v>
      </c>
      <c r="X429" t="s">
        <v>8742</v>
      </c>
      <c r="Y429" t="s">
        <v>8743</v>
      </c>
      <c r="Z429" t="s">
        <v>8744</v>
      </c>
      <c r="AA429" t="s">
        <v>8745</v>
      </c>
      <c r="AB429" t="s">
        <v>8746</v>
      </c>
      <c r="AC429" t="s">
        <v>8747</v>
      </c>
      <c r="AD429" t="s">
        <v>8748</v>
      </c>
      <c r="AE429" t="s">
        <v>8749</v>
      </c>
      <c r="AF429" t="s">
        <v>74</v>
      </c>
      <c r="AG429">
        <v>40</v>
      </c>
      <c r="AH429">
        <v>5</v>
      </c>
      <c r="AI429">
        <v>6</v>
      </c>
      <c r="AJ429">
        <v>0</v>
      </c>
      <c r="AK429">
        <v>9</v>
      </c>
      <c r="AL429" t="s">
        <v>3595</v>
      </c>
      <c r="AM429" t="s">
        <v>3596</v>
      </c>
      <c r="AN429" t="s">
        <v>3597</v>
      </c>
      <c r="AO429" t="s">
        <v>8750</v>
      </c>
      <c r="AP429" t="s">
        <v>8751</v>
      </c>
      <c r="AQ429" t="s">
        <v>74</v>
      </c>
      <c r="AR429" t="s">
        <v>8752</v>
      </c>
      <c r="AS429" t="s">
        <v>8753</v>
      </c>
      <c r="AT429" t="s">
        <v>7235</v>
      </c>
      <c r="AU429">
        <v>2018</v>
      </c>
      <c r="AV429">
        <v>57</v>
      </c>
      <c r="AW429">
        <v>4</v>
      </c>
      <c r="AX429" t="s">
        <v>74</v>
      </c>
      <c r="AY429" t="s">
        <v>74</v>
      </c>
      <c r="AZ429" t="s">
        <v>74</v>
      </c>
      <c r="BA429" t="s">
        <v>74</v>
      </c>
      <c r="BB429">
        <v>921</v>
      </c>
      <c r="BC429">
        <v>935</v>
      </c>
      <c r="BD429" t="s">
        <v>74</v>
      </c>
      <c r="BE429" t="s">
        <v>8754</v>
      </c>
      <c r="BF429" t="str">
        <f>HYPERLINK("http://dx.doi.org/10.1175/JAMC-D-17-0230.1","http://dx.doi.org/10.1175/JAMC-D-17-0230.1")</f>
        <v>http://dx.doi.org/10.1175/JAMC-D-17-0230.1</v>
      </c>
      <c r="BG429" t="s">
        <v>74</v>
      </c>
      <c r="BH429" t="s">
        <v>74</v>
      </c>
      <c r="BI429">
        <v>15</v>
      </c>
      <c r="BJ429" t="s">
        <v>131</v>
      </c>
      <c r="BK429" t="s">
        <v>101</v>
      </c>
      <c r="BL429" t="s">
        <v>131</v>
      </c>
      <c r="BM429" t="s">
        <v>8755</v>
      </c>
      <c r="BN429" t="s">
        <v>74</v>
      </c>
      <c r="BO429" t="s">
        <v>341</v>
      </c>
      <c r="BP429" t="s">
        <v>74</v>
      </c>
      <c r="BQ429" t="s">
        <v>74</v>
      </c>
      <c r="BR429" t="s">
        <v>105</v>
      </c>
      <c r="BS429" t="s">
        <v>8756</v>
      </c>
      <c r="BT429" t="str">
        <f>HYPERLINK("https%3A%2F%2Fwww.webofscience.com%2Fwos%2Fwoscc%2Ffull-record%2FWOS:000430457500008","View Full Record in Web of Science")</f>
        <v>View Full Record in Web of Science</v>
      </c>
    </row>
    <row r="430" spans="1:72" x14ac:dyDescent="0.15">
      <c r="A430" t="s">
        <v>72</v>
      </c>
      <c r="B430" t="s">
        <v>8757</v>
      </c>
      <c r="C430" t="s">
        <v>74</v>
      </c>
      <c r="D430" t="s">
        <v>74</v>
      </c>
      <c r="E430" t="s">
        <v>74</v>
      </c>
      <c r="F430" t="s">
        <v>8758</v>
      </c>
      <c r="G430" t="s">
        <v>74</v>
      </c>
      <c r="H430" t="s">
        <v>74</v>
      </c>
      <c r="I430" t="s">
        <v>8759</v>
      </c>
      <c r="J430" t="s">
        <v>8760</v>
      </c>
      <c r="K430" t="s">
        <v>74</v>
      </c>
      <c r="L430" t="s">
        <v>74</v>
      </c>
      <c r="M430" t="s">
        <v>78</v>
      </c>
      <c r="N430" t="s">
        <v>79</v>
      </c>
      <c r="O430" t="s">
        <v>74</v>
      </c>
      <c r="P430" t="s">
        <v>74</v>
      </c>
      <c r="Q430" t="s">
        <v>74</v>
      </c>
      <c r="R430" t="s">
        <v>74</v>
      </c>
      <c r="S430" t="s">
        <v>74</v>
      </c>
      <c r="T430" t="s">
        <v>74</v>
      </c>
      <c r="U430" t="s">
        <v>8761</v>
      </c>
      <c r="V430" t="s">
        <v>8762</v>
      </c>
      <c r="W430" t="s">
        <v>8763</v>
      </c>
      <c r="X430" t="s">
        <v>8764</v>
      </c>
      <c r="Y430" t="s">
        <v>8765</v>
      </c>
      <c r="Z430" t="s">
        <v>8766</v>
      </c>
      <c r="AA430" t="s">
        <v>74</v>
      </c>
      <c r="AB430" t="s">
        <v>8767</v>
      </c>
      <c r="AC430" t="s">
        <v>8768</v>
      </c>
      <c r="AD430" t="s">
        <v>8769</v>
      </c>
      <c r="AE430" t="s">
        <v>8770</v>
      </c>
      <c r="AF430" t="s">
        <v>74</v>
      </c>
      <c r="AG430">
        <v>68</v>
      </c>
      <c r="AH430">
        <v>1</v>
      </c>
      <c r="AI430">
        <v>2</v>
      </c>
      <c r="AJ430">
        <v>1</v>
      </c>
      <c r="AK430">
        <v>21</v>
      </c>
      <c r="AL430" t="s">
        <v>3595</v>
      </c>
      <c r="AM430" t="s">
        <v>3596</v>
      </c>
      <c r="AN430" t="s">
        <v>3597</v>
      </c>
      <c r="AO430" t="s">
        <v>8771</v>
      </c>
      <c r="AP430" t="s">
        <v>8772</v>
      </c>
      <c r="AQ430" t="s">
        <v>74</v>
      </c>
      <c r="AR430" t="s">
        <v>8773</v>
      </c>
      <c r="AS430" t="s">
        <v>8774</v>
      </c>
      <c r="AT430" t="s">
        <v>7235</v>
      </c>
      <c r="AU430">
        <v>2018</v>
      </c>
      <c r="AV430">
        <v>146</v>
      </c>
      <c r="AW430">
        <v>4</v>
      </c>
      <c r="AX430" t="s">
        <v>74</v>
      </c>
      <c r="AY430" t="s">
        <v>74</v>
      </c>
      <c r="AZ430" t="s">
        <v>74</v>
      </c>
      <c r="BA430" t="s">
        <v>74</v>
      </c>
      <c r="BB430">
        <v>1219</v>
      </c>
      <c r="BC430">
        <v>1231</v>
      </c>
      <c r="BD430" t="s">
        <v>74</v>
      </c>
      <c r="BE430" t="s">
        <v>8775</v>
      </c>
      <c r="BF430" t="str">
        <f>HYPERLINK("http://dx.doi.org/10.1175/MWR-D-17-0224.1","http://dx.doi.org/10.1175/MWR-D-17-0224.1")</f>
        <v>http://dx.doi.org/10.1175/MWR-D-17-0224.1</v>
      </c>
      <c r="BG430" t="s">
        <v>74</v>
      </c>
      <c r="BH430" t="s">
        <v>74</v>
      </c>
      <c r="BI430">
        <v>13</v>
      </c>
      <c r="BJ430" t="s">
        <v>131</v>
      </c>
      <c r="BK430" t="s">
        <v>101</v>
      </c>
      <c r="BL430" t="s">
        <v>131</v>
      </c>
      <c r="BM430" t="s">
        <v>8776</v>
      </c>
      <c r="BN430" t="s">
        <v>74</v>
      </c>
      <c r="BO430" t="s">
        <v>341</v>
      </c>
      <c r="BP430" t="s">
        <v>74</v>
      </c>
      <c r="BQ430" t="s">
        <v>74</v>
      </c>
      <c r="BR430" t="s">
        <v>105</v>
      </c>
      <c r="BS430" t="s">
        <v>8777</v>
      </c>
      <c r="BT430" t="str">
        <f>HYPERLINK("https%3A%2F%2Fwww.webofscience.com%2Fwos%2Fwoscc%2Ffull-record%2FWOS:000430516700015","View Full Record in Web of Science")</f>
        <v>View Full Record in Web of Science</v>
      </c>
    </row>
    <row r="431" spans="1:72" x14ac:dyDescent="0.15">
      <c r="A431" t="s">
        <v>72</v>
      </c>
      <c r="B431" t="s">
        <v>8778</v>
      </c>
      <c r="C431" t="s">
        <v>74</v>
      </c>
      <c r="D431" t="s">
        <v>74</v>
      </c>
      <c r="E431" t="s">
        <v>74</v>
      </c>
      <c r="F431" t="s">
        <v>8779</v>
      </c>
      <c r="G431" t="s">
        <v>74</v>
      </c>
      <c r="H431" t="s">
        <v>74</v>
      </c>
      <c r="I431" t="s">
        <v>8780</v>
      </c>
      <c r="J431" t="s">
        <v>465</v>
      </c>
      <c r="K431" t="s">
        <v>74</v>
      </c>
      <c r="L431" t="s">
        <v>74</v>
      </c>
      <c r="M431" t="s">
        <v>78</v>
      </c>
      <c r="N431" t="s">
        <v>79</v>
      </c>
      <c r="O431" t="s">
        <v>74</v>
      </c>
      <c r="P431" t="s">
        <v>74</v>
      </c>
      <c r="Q431" t="s">
        <v>74</v>
      </c>
      <c r="R431" t="s">
        <v>74</v>
      </c>
      <c r="S431" t="s">
        <v>74</v>
      </c>
      <c r="T431" t="s">
        <v>8781</v>
      </c>
      <c r="U431" t="s">
        <v>8782</v>
      </c>
      <c r="V431" t="s">
        <v>8783</v>
      </c>
      <c r="W431" t="s">
        <v>8784</v>
      </c>
      <c r="X431" t="s">
        <v>8785</v>
      </c>
      <c r="Y431" t="s">
        <v>8786</v>
      </c>
      <c r="Z431" t="s">
        <v>8787</v>
      </c>
      <c r="AA431" t="s">
        <v>1217</v>
      </c>
      <c r="AB431" t="s">
        <v>1218</v>
      </c>
      <c r="AC431" t="s">
        <v>8788</v>
      </c>
      <c r="AD431" t="s">
        <v>8789</v>
      </c>
      <c r="AE431" t="s">
        <v>8790</v>
      </c>
      <c r="AF431" t="s">
        <v>74</v>
      </c>
      <c r="AG431">
        <v>97</v>
      </c>
      <c r="AH431">
        <v>5</v>
      </c>
      <c r="AI431">
        <v>6</v>
      </c>
      <c r="AJ431">
        <v>1</v>
      </c>
      <c r="AK431">
        <v>19</v>
      </c>
      <c r="AL431" t="s">
        <v>179</v>
      </c>
      <c r="AM431" t="s">
        <v>180</v>
      </c>
      <c r="AN431" t="s">
        <v>181</v>
      </c>
      <c r="AO431" t="s">
        <v>479</v>
      </c>
      <c r="AP431" t="s">
        <v>74</v>
      </c>
      <c r="AQ431" t="s">
        <v>74</v>
      </c>
      <c r="AR431" t="s">
        <v>480</v>
      </c>
      <c r="AS431" t="s">
        <v>481</v>
      </c>
      <c r="AT431" t="s">
        <v>7235</v>
      </c>
      <c r="AU431">
        <v>2018</v>
      </c>
      <c r="AV431">
        <v>8</v>
      </c>
      <c r="AW431">
        <v>7</v>
      </c>
      <c r="AX431" t="s">
        <v>74</v>
      </c>
      <c r="AY431" t="s">
        <v>74</v>
      </c>
      <c r="AZ431" t="s">
        <v>74</v>
      </c>
      <c r="BA431" t="s">
        <v>74</v>
      </c>
      <c r="BB431">
        <v>3660</v>
      </c>
      <c r="BC431">
        <v>3674</v>
      </c>
      <c r="BD431" t="s">
        <v>74</v>
      </c>
      <c r="BE431" t="s">
        <v>8791</v>
      </c>
      <c r="BF431" t="str">
        <f>HYPERLINK("http://dx.doi.org/10.1002/ece3.3937","http://dx.doi.org/10.1002/ece3.3937")</f>
        <v>http://dx.doi.org/10.1002/ece3.3937</v>
      </c>
      <c r="BG431" t="s">
        <v>74</v>
      </c>
      <c r="BH431" t="s">
        <v>74</v>
      </c>
      <c r="BI431">
        <v>15</v>
      </c>
      <c r="BJ431" t="s">
        <v>483</v>
      </c>
      <c r="BK431" t="s">
        <v>101</v>
      </c>
      <c r="BL431" t="s">
        <v>485</v>
      </c>
      <c r="BM431" t="s">
        <v>8792</v>
      </c>
      <c r="BN431">
        <v>29686847</v>
      </c>
      <c r="BO431" t="s">
        <v>3105</v>
      </c>
      <c r="BP431" t="s">
        <v>74</v>
      </c>
      <c r="BQ431" t="s">
        <v>74</v>
      </c>
      <c r="BR431" t="s">
        <v>105</v>
      </c>
      <c r="BS431" t="s">
        <v>8793</v>
      </c>
      <c r="BT431" t="str">
        <f>HYPERLINK("https%3A%2F%2Fwww.webofscience.com%2Fwos%2Fwoscc%2Ffull-record%2FWOS:000430119900009","View Full Record in Web of Science")</f>
        <v>View Full Record in Web of Science</v>
      </c>
    </row>
    <row r="432" spans="1:72" x14ac:dyDescent="0.15">
      <c r="A432" t="s">
        <v>72</v>
      </c>
      <c r="B432" t="s">
        <v>8794</v>
      </c>
      <c r="C432" t="s">
        <v>74</v>
      </c>
      <c r="D432" t="s">
        <v>74</v>
      </c>
      <c r="E432" t="s">
        <v>74</v>
      </c>
      <c r="F432" t="s">
        <v>8795</v>
      </c>
      <c r="G432" t="s">
        <v>74</v>
      </c>
      <c r="H432" t="s">
        <v>74</v>
      </c>
      <c r="I432" t="s">
        <v>8796</v>
      </c>
      <c r="J432" t="s">
        <v>7527</v>
      </c>
      <c r="K432" t="s">
        <v>74</v>
      </c>
      <c r="L432" t="s">
        <v>74</v>
      </c>
      <c r="M432" t="s">
        <v>78</v>
      </c>
      <c r="N432" t="s">
        <v>79</v>
      </c>
      <c r="O432" t="s">
        <v>74</v>
      </c>
      <c r="P432" t="s">
        <v>74</v>
      </c>
      <c r="Q432" t="s">
        <v>74</v>
      </c>
      <c r="R432" t="s">
        <v>74</v>
      </c>
      <c r="S432" t="s">
        <v>74</v>
      </c>
      <c r="T432" t="s">
        <v>8797</v>
      </c>
      <c r="U432" t="s">
        <v>8798</v>
      </c>
      <c r="V432" t="s">
        <v>8799</v>
      </c>
      <c r="W432" t="s">
        <v>8800</v>
      </c>
      <c r="X432" t="s">
        <v>8801</v>
      </c>
      <c r="Y432" t="s">
        <v>8802</v>
      </c>
      <c r="Z432" t="s">
        <v>8803</v>
      </c>
      <c r="AA432" t="s">
        <v>8804</v>
      </c>
      <c r="AB432" t="s">
        <v>8805</v>
      </c>
      <c r="AC432" t="s">
        <v>8806</v>
      </c>
      <c r="AD432" t="s">
        <v>8807</v>
      </c>
      <c r="AE432" t="s">
        <v>8808</v>
      </c>
      <c r="AF432" t="s">
        <v>74</v>
      </c>
      <c r="AG432">
        <v>32</v>
      </c>
      <c r="AH432">
        <v>5</v>
      </c>
      <c r="AI432">
        <v>5</v>
      </c>
      <c r="AJ432">
        <v>1</v>
      </c>
      <c r="AK432">
        <v>5</v>
      </c>
      <c r="AL432" t="s">
        <v>372</v>
      </c>
      <c r="AM432" t="s">
        <v>4100</v>
      </c>
      <c r="AN432" t="s">
        <v>7256</v>
      </c>
      <c r="AO432" t="s">
        <v>7540</v>
      </c>
      <c r="AP432" t="s">
        <v>7541</v>
      </c>
      <c r="AQ432" t="s">
        <v>74</v>
      </c>
      <c r="AR432" t="s">
        <v>7542</v>
      </c>
      <c r="AS432" t="s">
        <v>7543</v>
      </c>
      <c r="AT432" t="s">
        <v>7235</v>
      </c>
      <c r="AU432">
        <v>2018</v>
      </c>
      <c r="AV432">
        <v>64</v>
      </c>
      <c r="AW432">
        <v>244</v>
      </c>
      <c r="AX432" t="s">
        <v>74</v>
      </c>
      <c r="AY432" t="s">
        <v>74</v>
      </c>
      <c r="AZ432" t="s">
        <v>74</v>
      </c>
      <c r="BA432" t="s">
        <v>74</v>
      </c>
      <c r="BB432">
        <v>289</v>
      </c>
      <c r="BC432">
        <v>299</v>
      </c>
      <c r="BD432" t="s">
        <v>74</v>
      </c>
      <c r="BE432" t="s">
        <v>8809</v>
      </c>
      <c r="BF432" t="str">
        <f>HYPERLINK("http://dx.doi.org/10.1017/jog.2018.19","http://dx.doi.org/10.1017/jog.2018.19")</f>
        <v>http://dx.doi.org/10.1017/jog.2018.19</v>
      </c>
      <c r="BG432" t="s">
        <v>74</v>
      </c>
      <c r="BH432" t="s">
        <v>74</v>
      </c>
      <c r="BI432">
        <v>11</v>
      </c>
      <c r="BJ432" t="s">
        <v>338</v>
      </c>
      <c r="BK432" t="s">
        <v>101</v>
      </c>
      <c r="BL432" t="s">
        <v>339</v>
      </c>
      <c r="BM432" t="s">
        <v>7545</v>
      </c>
      <c r="BN432" t="s">
        <v>74</v>
      </c>
      <c r="BO432" t="s">
        <v>2998</v>
      </c>
      <c r="BP432" t="s">
        <v>74</v>
      </c>
      <c r="BQ432" t="s">
        <v>74</v>
      </c>
      <c r="BR432" t="s">
        <v>105</v>
      </c>
      <c r="BS432" t="s">
        <v>8810</v>
      </c>
      <c r="BT432" t="str">
        <f>HYPERLINK("https%3A%2F%2Fwww.webofscience.com%2Fwos%2Fwoscc%2Ffull-record%2FWOS:000430422000010","View Full Record in Web of Science")</f>
        <v>View Full Record in Web of Science</v>
      </c>
    </row>
    <row r="433" spans="1:72" x14ac:dyDescent="0.15">
      <c r="A433" t="s">
        <v>72</v>
      </c>
      <c r="B433" t="s">
        <v>8811</v>
      </c>
      <c r="C433" t="s">
        <v>74</v>
      </c>
      <c r="D433" t="s">
        <v>74</v>
      </c>
      <c r="E433" t="s">
        <v>74</v>
      </c>
      <c r="F433" t="s">
        <v>8812</v>
      </c>
      <c r="G433" t="s">
        <v>74</v>
      </c>
      <c r="H433" t="s">
        <v>74</v>
      </c>
      <c r="I433" t="s">
        <v>8813</v>
      </c>
      <c r="J433" t="s">
        <v>7527</v>
      </c>
      <c r="K433" t="s">
        <v>74</v>
      </c>
      <c r="L433" t="s">
        <v>74</v>
      </c>
      <c r="M433" t="s">
        <v>78</v>
      </c>
      <c r="N433" t="s">
        <v>79</v>
      </c>
      <c r="O433" t="s">
        <v>74</v>
      </c>
      <c r="P433" t="s">
        <v>74</v>
      </c>
      <c r="Q433" t="s">
        <v>74</v>
      </c>
      <c r="R433" t="s">
        <v>74</v>
      </c>
      <c r="S433" t="s">
        <v>74</v>
      </c>
      <c r="T433" t="s">
        <v>8814</v>
      </c>
      <c r="U433" t="s">
        <v>8815</v>
      </c>
      <c r="V433" t="s">
        <v>8816</v>
      </c>
      <c r="W433" t="s">
        <v>8817</v>
      </c>
      <c r="X433" t="s">
        <v>8818</v>
      </c>
      <c r="Y433" t="s">
        <v>8819</v>
      </c>
      <c r="Z433" t="s">
        <v>8820</v>
      </c>
      <c r="AA433" t="s">
        <v>8821</v>
      </c>
      <c r="AB433" t="s">
        <v>8822</v>
      </c>
      <c r="AC433" t="s">
        <v>8823</v>
      </c>
      <c r="AD433" t="s">
        <v>8824</v>
      </c>
      <c r="AE433" t="s">
        <v>8825</v>
      </c>
      <c r="AF433" t="s">
        <v>74</v>
      </c>
      <c r="AG433">
        <v>26</v>
      </c>
      <c r="AH433">
        <v>37</v>
      </c>
      <c r="AI433">
        <v>44</v>
      </c>
      <c r="AJ433">
        <v>0</v>
      </c>
      <c r="AK433">
        <v>8</v>
      </c>
      <c r="AL433" t="s">
        <v>372</v>
      </c>
      <c r="AM433" t="s">
        <v>4100</v>
      </c>
      <c r="AN433" t="s">
        <v>7256</v>
      </c>
      <c r="AO433" t="s">
        <v>7540</v>
      </c>
      <c r="AP433" t="s">
        <v>7541</v>
      </c>
      <c r="AQ433" t="s">
        <v>74</v>
      </c>
      <c r="AR433" t="s">
        <v>7542</v>
      </c>
      <c r="AS433" t="s">
        <v>7543</v>
      </c>
      <c r="AT433" t="s">
        <v>7235</v>
      </c>
      <c r="AU433">
        <v>2018</v>
      </c>
      <c r="AV433">
        <v>64</v>
      </c>
      <c r="AW433">
        <v>244</v>
      </c>
      <c r="AX433" t="s">
        <v>74</v>
      </c>
      <c r="AY433" t="s">
        <v>74</v>
      </c>
      <c r="AZ433" t="s">
        <v>74</v>
      </c>
      <c r="BA433" t="s">
        <v>74</v>
      </c>
      <c r="BB433">
        <v>321</v>
      </c>
      <c r="BC433">
        <v>332</v>
      </c>
      <c r="BD433" t="s">
        <v>74</v>
      </c>
      <c r="BE433" t="s">
        <v>8826</v>
      </c>
      <c r="BF433" t="str">
        <f>HYPERLINK("http://dx.doi.org/10.1017/jog.2018.23","http://dx.doi.org/10.1017/jog.2018.23")</f>
        <v>http://dx.doi.org/10.1017/jog.2018.23</v>
      </c>
      <c r="BG433" t="s">
        <v>74</v>
      </c>
      <c r="BH433" t="s">
        <v>74</v>
      </c>
      <c r="BI433">
        <v>12</v>
      </c>
      <c r="BJ433" t="s">
        <v>338</v>
      </c>
      <c r="BK433" t="s">
        <v>101</v>
      </c>
      <c r="BL433" t="s">
        <v>339</v>
      </c>
      <c r="BM433" t="s">
        <v>7545</v>
      </c>
      <c r="BN433" t="s">
        <v>74</v>
      </c>
      <c r="BO433" t="s">
        <v>2998</v>
      </c>
      <c r="BP433" t="s">
        <v>74</v>
      </c>
      <c r="BQ433" t="s">
        <v>74</v>
      </c>
      <c r="BR433" t="s">
        <v>105</v>
      </c>
      <c r="BS433" t="s">
        <v>8827</v>
      </c>
      <c r="BT433" t="str">
        <f>HYPERLINK("https%3A%2F%2Fwww.webofscience.com%2Fwos%2Fwoscc%2Ffull-record%2FWOS:000430422000013","View Full Record in Web of Science")</f>
        <v>View Full Record in Web of Science</v>
      </c>
    </row>
    <row r="434" spans="1:72" x14ac:dyDescent="0.15">
      <c r="A434" t="s">
        <v>72</v>
      </c>
      <c r="B434" t="s">
        <v>8828</v>
      </c>
      <c r="C434" t="s">
        <v>74</v>
      </c>
      <c r="D434" t="s">
        <v>74</v>
      </c>
      <c r="E434" t="s">
        <v>74</v>
      </c>
      <c r="F434" t="s">
        <v>8829</v>
      </c>
      <c r="G434" t="s">
        <v>74</v>
      </c>
      <c r="H434" t="s">
        <v>74</v>
      </c>
      <c r="I434" t="s">
        <v>8830</v>
      </c>
      <c r="J434" t="s">
        <v>8831</v>
      </c>
      <c r="K434" t="s">
        <v>74</v>
      </c>
      <c r="L434" t="s">
        <v>74</v>
      </c>
      <c r="M434" t="s">
        <v>78</v>
      </c>
      <c r="N434" t="s">
        <v>79</v>
      </c>
      <c r="O434" t="s">
        <v>74</v>
      </c>
      <c r="P434" t="s">
        <v>74</v>
      </c>
      <c r="Q434" t="s">
        <v>74</v>
      </c>
      <c r="R434" t="s">
        <v>74</v>
      </c>
      <c r="S434" t="s">
        <v>74</v>
      </c>
      <c r="T434" t="s">
        <v>8832</v>
      </c>
      <c r="U434" t="s">
        <v>8833</v>
      </c>
      <c r="V434" t="s">
        <v>8834</v>
      </c>
      <c r="W434" t="s">
        <v>8835</v>
      </c>
      <c r="X434" t="s">
        <v>8836</v>
      </c>
      <c r="Y434" t="s">
        <v>8837</v>
      </c>
      <c r="Z434" t="s">
        <v>8838</v>
      </c>
      <c r="AA434" t="s">
        <v>8839</v>
      </c>
      <c r="AB434" t="s">
        <v>8840</v>
      </c>
      <c r="AC434" t="s">
        <v>8841</v>
      </c>
      <c r="AD434" t="s">
        <v>8842</v>
      </c>
      <c r="AE434" t="s">
        <v>8843</v>
      </c>
      <c r="AF434" t="s">
        <v>74</v>
      </c>
      <c r="AG434">
        <v>71</v>
      </c>
      <c r="AH434">
        <v>16</v>
      </c>
      <c r="AI434">
        <v>16</v>
      </c>
      <c r="AJ434">
        <v>1</v>
      </c>
      <c r="AK434">
        <v>30</v>
      </c>
      <c r="AL434" t="s">
        <v>179</v>
      </c>
      <c r="AM434" t="s">
        <v>180</v>
      </c>
      <c r="AN434" t="s">
        <v>181</v>
      </c>
      <c r="AO434" t="s">
        <v>8844</v>
      </c>
      <c r="AP434" t="s">
        <v>8845</v>
      </c>
      <c r="AQ434" t="s">
        <v>74</v>
      </c>
      <c r="AR434" t="s">
        <v>8831</v>
      </c>
      <c r="AS434" t="s">
        <v>8846</v>
      </c>
      <c r="AT434" t="s">
        <v>7235</v>
      </c>
      <c r="AU434">
        <v>2018</v>
      </c>
      <c r="AV434">
        <v>72</v>
      </c>
      <c r="AW434">
        <v>4</v>
      </c>
      <c r="AX434" t="s">
        <v>74</v>
      </c>
      <c r="AY434" t="s">
        <v>74</v>
      </c>
      <c r="AZ434" t="s">
        <v>74</v>
      </c>
      <c r="BA434" t="s">
        <v>74</v>
      </c>
      <c r="BB434">
        <v>878</v>
      </c>
      <c r="BC434">
        <v>892</v>
      </c>
      <c r="BD434" t="s">
        <v>74</v>
      </c>
      <c r="BE434" t="s">
        <v>8847</v>
      </c>
      <c r="BF434" t="str">
        <f>HYPERLINK("http://dx.doi.org/10.1111/evo.13467","http://dx.doi.org/10.1111/evo.13467")</f>
        <v>http://dx.doi.org/10.1111/evo.13467</v>
      </c>
      <c r="BG434" t="s">
        <v>74</v>
      </c>
      <c r="BH434" t="s">
        <v>74</v>
      </c>
      <c r="BI434">
        <v>15</v>
      </c>
      <c r="BJ434" t="s">
        <v>5783</v>
      </c>
      <c r="BK434" t="s">
        <v>101</v>
      </c>
      <c r="BL434" t="s">
        <v>5784</v>
      </c>
      <c r="BM434" t="s">
        <v>8848</v>
      </c>
      <c r="BN434">
        <v>29528493</v>
      </c>
      <c r="BO434" t="s">
        <v>1085</v>
      </c>
      <c r="BP434" t="s">
        <v>74</v>
      </c>
      <c r="BQ434" t="s">
        <v>74</v>
      </c>
      <c r="BR434" t="s">
        <v>105</v>
      </c>
      <c r="BS434" t="s">
        <v>8849</v>
      </c>
      <c r="BT434" t="str">
        <f>HYPERLINK("https%3A%2F%2Fwww.webofscience.com%2Fwos%2Fwoscc%2Ffull-record%2FWOS:000430172900012","View Full Record in Web of Science")</f>
        <v>View Full Record in Web of Science</v>
      </c>
    </row>
    <row r="435" spans="1:72" x14ac:dyDescent="0.15">
      <c r="A435" t="s">
        <v>72</v>
      </c>
      <c r="B435" t="s">
        <v>8850</v>
      </c>
      <c r="C435" t="s">
        <v>74</v>
      </c>
      <c r="D435" t="s">
        <v>74</v>
      </c>
      <c r="E435" t="s">
        <v>74</v>
      </c>
      <c r="F435" t="s">
        <v>8851</v>
      </c>
      <c r="G435" t="s">
        <v>74</v>
      </c>
      <c r="H435" t="s">
        <v>74</v>
      </c>
      <c r="I435" t="s">
        <v>8852</v>
      </c>
      <c r="J435" t="s">
        <v>8853</v>
      </c>
      <c r="K435" t="s">
        <v>74</v>
      </c>
      <c r="L435" t="s">
        <v>74</v>
      </c>
      <c r="M435" t="s">
        <v>78</v>
      </c>
      <c r="N435" t="s">
        <v>79</v>
      </c>
      <c r="O435" t="s">
        <v>74</v>
      </c>
      <c r="P435" t="s">
        <v>74</v>
      </c>
      <c r="Q435" t="s">
        <v>74</v>
      </c>
      <c r="R435" t="s">
        <v>74</v>
      </c>
      <c r="S435" t="s">
        <v>74</v>
      </c>
      <c r="T435" t="s">
        <v>8854</v>
      </c>
      <c r="U435" t="s">
        <v>8855</v>
      </c>
      <c r="V435" t="s">
        <v>8856</v>
      </c>
      <c r="W435" t="s">
        <v>8857</v>
      </c>
      <c r="X435" t="s">
        <v>74</v>
      </c>
      <c r="Y435" t="s">
        <v>8858</v>
      </c>
      <c r="Z435" t="s">
        <v>8859</v>
      </c>
      <c r="AA435" t="s">
        <v>74</v>
      </c>
      <c r="AB435" t="s">
        <v>8860</v>
      </c>
      <c r="AC435" t="s">
        <v>8861</v>
      </c>
      <c r="AD435" t="s">
        <v>8861</v>
      </c>
      <c r="AE435" t="s">
        <v>8862</v>
      </c>
      <c r="AF435" t="s">
        <v>74</v>
      </c>
      <c r="AG435">
        <v>63</v>
      </c>
      <c r="AH435">
        <v>1</v>
      </c>
      <c r="AI435">
        <v>1</v>
      </c>
      <c r="AJ435">
        <v>1</v>
      </c>
      <c r="AK435">
        <v>20</v>
      </c>
      <c r="AL435" t="s">
        <v>425</v>
      </c>
      <c r="AM435" t="s">
        <v>278</v>
      </c>
      <c r="AN435" t="s">
        <v>426</v>
      </c>
      <c r="AO435" t="s">
        <v>8863</v>
      </c>
      <c r="AP435" t="s">
        <v>8864</v>
      </c>
      <c r="AQ435" t="s">
        <v>74</v>
      </c>
      <c r="AR435" t="s">
        <v>8865</v>
      </c>
      <c r="AS435" t="s">
        <v>8866</v>
      </c>
      <c r="AT435" t="s">
        <v>7235</v>
      </c>
      <c r="AU435">
        <v>2018</v>
      </c>
      <c r="AV435">
        <v>73</v>
      </c>
      <c r="AW435" t="s">
        <v>74</v>
      </c>
      <c r="AX435" t="s">
        <v>74</v>
      </c>
      <c r="AY435" t="s">
        <v>74</v>
      </c>
      <c r="AZ435" t="s">
        <v>74</v>
      </c>
      <c r="BA435" t="s">
        <v>74</v>
      </c>
      <c r="BB435">
        <v>13</v>
      </c>
      <c r="BC435">
        <v>24</v>
      </c>
      <c r="BD435" t="s">
        <v>74</v>
      </c>
      <c r="BE435" t="s">
        <v>8867</v>
      </c>
      <c r="BF435" t="str">
        <f>HYPERLINK("http://dx.doi.org/10.1016/j.compbiolchem.2018.01.006","http://dx.doi.org/10.1016/j.compbiolchem.2018.01.006")</f>
        <v>http://dx.doi.org/10.1016/j.compbiolchem.2018.01.006</v>
      </c>
      <c r="BG435" t="s">
        <v>74</v>
      </c>
      <c r="BH435" t="s">
        <v>74</v>
      </c>
      <c r="BI435">
        <v>12</v>
      </c>
      <c r="BJ435" t="s">
        <v>8868</v>
      </c>
      <c r="BK435" t="s">
        <v>101</v>
      </c>
      <c r="BL435" t="s">
        <v>8869</v>
      </c>
      <c r="BM435" t="s">
        <v>8870</v>
      </c>
      <c r="BN435">
        <v>29413812</v>
      </c>
      <c r="BO435" t="s">
        <v>74</v>
      </c>
      <c r="BP435" t="s">
        <v>74</v>
      </c>
      <c r="BQ435" t="s">
        <v>74</v>
      </c>
      <c r="BR435" t="s">
        <v>105</v>
      </c>
      <c r="BS435" t="s">
        <v>8871</v>
      </c>
      <c r="BT435" t="str">
        <f>HYPERLINK("https%3A%2F%2Fwww.webofscience.com%2Fwos%2Fwoscc%2Ffull-record%2FWOS:000429631000002","View Full Record in Web of Science")</f>
        <v>View Full Record in Web of Science</v>
      </c>
    </row>
    <row r="436" spans="1:72" x14ac:dyDescent="0.15">
      <c r="A436" t="s">
        <v>72</v>
      </c>
      <c r="B436" t="s">
        <v>8872</v>
      </c>
      <c r="C436" t="s">
        <v>74</v>
      </c>
      <c r="D436" t="s">
        <v>74</v>
      </c>
      <c r="E436" t="s">
        <v>74</v>
      </c>
      <c r="F436" t="s">
        <v>8873</v>
      </c>
      <c r="G436" t="s">
        <v>74</v>
      </c>
      <c r="H436" t="s">
        <v>74</v>
      </c>
      <c r="I436" t="s">
        <v>8874</v>
      </c>
      <c r="J436" t="s">
        <v>8875</v>
      </c>
      <c r="K436" t="s">
        <v>74</v>
      </c>
      <c r="L436" t="s">
        <v>74</v>
      </c>
      <c r="M436" t="s">
        <v>78</v>
      </c>
      <c r="N436" t="s">
        <v>79</v>
      </c>
      <c r="O436" t="s">
        <v>74</v>
      </c>
      <c r="P436" t="s">
        <v>74</v>
      </c>
      <c r="Q436" t="s">
        <v>74</v>
      </c>
      <c r="R436" t="s">
        <v>74</v>
      </c>
      <c r="S436" t="s">
        <v>74</v>
      </c>
      <c r="T436" t="s">
        <v>8876</v>
      </c>
      <c r="U436" t="s">
        <v>8877</v>
      </c>
      <c r="V436" t="s">
        <v>8878</v>
      </c>
      <c r="W436" t="s">
        <v>8879</v>
      </c>
      <c r="X436" t="s">
        <v>8880</v>
      </c>
      <c r="Y436" t="s">
        <v>8881</v>
      </c>
      <c r="Z436" t="s">
        <v>8882</v>
      </c>
      <c r="AA436" t="s">
        <v>8883</v>
      </c>
      <c r="AB436" t="s">
        <v>74</v>
      </c>
      <c r="AC436" t="s">
        <v>8884</v>
      </c>
      <c r="AD436" t="s">
        <v>8885</v>
      </c>
      <c r="AE436" t="s">
        <v>8886</v>
      </c>
      <c r="AF436" t="s">
        <v>74</v>
      </c>
      <c r="AG436">
        <v>24</v>
      </c>
      <c r="AH436">
        <v>12</v>
      </c>
      <c r="AI436">
        <v>12</v>
      </c>
      <c r="AJ436">
        <v>1</v>
      </c>
      <c r="AK436">
        <v>5</v>
      </c>
      <c r="AL436" t="s">
        <v>451</v>
      </c>
      <c r="AM436" t="s">
        <v>452</v>
      </c>
      <c r="AN436" t="s">
        <v>453</v>
      </c>
      <c r="AO436" t="s">
        <v>8887</v>
      </c>
      <c r="AP436" t="s">
        <v>8888</v>
      </c>
      <c r="AQ436" t="s">
        <v>74</v>
      </c>
      <c r="AR436" t="s">
        <v>8889</v>
      </c>
      <c r="AS436" t="s">
        <v>8890</v>
      </c>
      <c r="AT436" t="s">
        <v>7235</v>
      </c>
      <c r="AU436">
        <v>2018</v>
      </c>
      <c r="AV436">
        <v>21</v>
      </c>
      <c r="AW436">
        <v>1</v>
      </c>
      <c r="AX436" t="s">
        <v>74</v>
      </c>
      <c r="AY436" t="s">
        <v>74</v>
      </c>
      <c r="AZ436" t="s">
        <v>74</v>
      </c>
      <c r="BA436" t="s">
        <v>74</v>
      </c>
      <c r="BB436">
        <v>105</v>
      </c>
      <c r="BC436">
        <v>110</v>
      </c>
      <c r="BD436" t="s">
        <v>74</v>
      </c>
      <c r="BE436" t="s">
        <v>8891</v>
      </c>
      <c r="BF436" t="str">
        <f>HYPERLINK("http://dx.doi.org/10.1016/j.ejrs.2017.01.001","http://dx.doi.org/10.1016/j.ejrs.2017.01.001")</f>
        <v>http://dx.doi.org/10.1016/j.ejrs.2017.01.001</v>
      </c>
      <c r="BG436" t="s">
        <v>74</v>
      </c>
      <c r="BH436" t="s">
        <v>74</v>
      </c>
      <c r="BI436">
        <v>6</v>
      </c>
      <c r="BJ436" t="s">
        <v>8892</v>
      </c>
      <c r="BK436" t="s">
        <v>101</v>
      </c>
      <c r="BL436" t="s">
        <v>8893</v>
      </c>
      <c r="BM436" t="s">
        <v>8894</v>
      </c>
      <c r="BN436" t="s">
        <v>74</v>
      </c>
      <c r="BO436" t="s">
        <v>133</v>
      </c>
      <c r="BP436" t="s">
        <v>74</v>
      </c>
      <c r="BQ436" t="s">
        <v>74</v>
      </c>
      <c r="BR436" t="s">
        <v>105</v>
      </c>
      <c r="BS436" t="s">
        <v>8895</v>
      </c>
      <c r="BT436" t="str">
        <f>HYPERLINK("https%3A%2F%2Fwww.webofscience.com%2Fwos%2Fwoscc%2Ffull-record%2FWOS:000429609100011","View Full Record in Web of Science")</f>
        <v>View Full Record in Web of Science</v>
      </c>
    </row>
    <row r="437" spans="1:72" x14ac:dyDescent="0.15">
      <c r="A437" t="s">
        <v>72</v>
      </c>
      <c r="B437" t="s">
        <v>8896</v>
      </c>
      <c r="C437" t="s">
        <v>74</v>
      </c>
      <c r="D437" t="s">
        <v>74</v>
      </c>
      <c r="E437" t="s">
        <v>74</v>
      </c>
      <c r="F437" t="s">
        <v>8897</v>
      </c>
      <c r="G437" t="s">
        <v>74</v>
      </c>
      <c r="H437" t="s">
        <v>74</v>
      </c>
      <c r="I437" t="s">
        <v>8898</v>
      </c>
      <c r="J437" t="s">
        <v>8899</v>
      </c>
      <c r="K437" t="s">
        <v>74</v>
      </c>
      <c r="L437" t="s">
        <v>74</v>
      </c>
      <c r="M437" t="s">
        <v>78</v>
      </c>
      <c r="N437" t="s">
        <v>79</v>
      </c>
      <c r="O437" t="s">
        <v>74</v>
      </c>
      <c r="P437" t="s">
        <v>74</v>
      </c>
      <c r="Q437" t="s">
        <v>74</v>
      </c>
      <c r="R437" t="s">
        <v>74</v>
      </c>
      <c r="S437" t="s">
        <v>74</v>
      </c>
      <c r="T437" t="s">
        <v>74</v>
      </c>
      <c r="U437" t="s">
        <v>8900</v>
      </c>
      <c r="V437" t="s">
        <v>8901</v>
      </c>
      <c r="W437" t="s">
        <v>8902</v>
      </c>
      <c r="X437" t="s">
        <v>8903</v>
      </c>
      <c r="Y437" t="s">
        <v>8904</v>
      </c>
      <c r="Z437" t="s">
        <v>8905</v>
      </c>
      <c r="AA437" t="s">
        <v>8906</v>
      </c>
      <c r="AB437" t="s">
        <v>8907</v>
      </c>
      <c r="AC437" t="s">
        <v>8908</v>
      </c>
      <c r="AD437" t="s">
        <v>8909</v>
      </c>
      <c r="AE437" t="s">
        <v>8910</v>
      </c>
      <c r="AF437" t="s">
        <v>74</v>
      </c>
      <c r="AG437">
        <v>25</v>
      </c>
      <c r="AH437">
        <v>18</v>
      </c>
      <c r="AI437">
        <v>18</v>
      </c>
      <c r="AJ437">
        <v>0</v>
      </c>
      <c r="AK437">
        <v>24</v>
      </c>
      <c r="AL437" t="s">
        <v>8911</v>
      </c>
      <c r="AM437" t="s">
        <v>575</v>
      </c>
      <c r="AN437" t="s">
        <v>8912</v>
      </c>
      <c r="AO437" t="s">
        <v>8913</v>
      </c>
      <c r="AP437" t="s">
        <v>74</v>
      </c>
      <c r="AQ437" t="s">
        <v>74</v>
      </c>
      <c r="AR437" t="s">
        <v>8914</v>
      </c>
      <c r="AS437" t="s">
        <v>8915</v>
      </c>
      <c r="AT437" t="s">
        <v>7235</v>
      </c>
      <c r="AU437">
        <v>2018</v>
      </c>
      <c r="AV437">
        <v>5</v>
      </c>
      <c r="AW437">
        <v>4</v>
      </c>
      <c r="AX437" t="s">
        <v>74</v>
      </c>
      <c r="AY437" t="s">
        <v>74</v>
      </c>
      <c r="AZ437" t="s">
        <v>74</v>
      </c>
      <c r="BA437" t="s">
        <v>74</v>
      </c>
      <c r="BB437">
        <v>196</v>
      </c>
      <c r="BC437">
        <v>201</v>
      </c>
      <c r="BD437" t="s">
        <v>74</v>
      </c>
      <c r="BE437" t="s">
        <v>8916</v>
      </c>
      <c r="BF437" t="str">
        <f>HYPERLINK("http://dx.doi.org/10.1021/acs.estlett.8b00051","http://dx.doi.org/10.1021/acs.estlett.8b00051")</f>
        <v>http://dx.doi.org/10.1021/acs.estlett.8b00051</v>
      </c>
      <c r="BG437" t="s">
        <v>74</v>
      </c>
      <c r="BH437" t="s">
        <v>74</v>
      </c>
      <c r="BI437">
        <v>11</v>
      </c>
      <c r="BJ437" t="s">
        <v>8917</v>
      </c>
      <c r="BK437" t="s">
        <v>101</v>
      </c>
      <c r="BL437" t="s">
        <v>8918</v>
      </c>
      <c r="BM437" t="s">
        <v>8919</v>
      </c>
      <c r="BN437" t="s">
        <v>74</v>
      </c>
      <c r="BO437" t="s">
        <v>74</v>
      </c>
      <c r="BP437" t="s">
        <v>74</v>
      </c>
      <c r="BQ437" t="s">
        <v>74</v>
      </c>
      <c r="BR437" t="s">
        <v>105</v>
      </c>
      <c r="BS437" t="s">
        <v>8920</v>
      </c>
      <c r="BT437" t="str">
        <f>HYPERLINK("https%3A%2F%2Fwww.webofscience.com%2Fwos%2Fwoscc%2Ffull-record%2FWOS:000430022300002","View Full Record in Web of Science")</f>
        <v>View Full Record in Web of Science</v>
      </c>
    </row>
    <row r="438" spans="1:72" x14ac:dyDescent="0.15">
      <c r="A438" t="s">
        <v>72</v>
      </c>
      <c r="B438" t="s">
        <v>8921</v>
      </c>
      <c r="C438" t="s">
        <v>74</v>
      </c>
      <c r="D438" t="s">
        <v>74</v>
      </c>
      <c r="E438" t="s">
        <v>74</v>
      </c>
      <c r="F438" t="s">
        <v>8922</v>
      </c>
      <c r="G438" t="s">
        <v>74</v>
      </c>
      <c r="H438" t="s">
        <v>74</v>
      </c>
      <c r="I438" t="s">
        <v>8923</v>
      </c>
      <c r="J438" t="s">
        <v>4002</v>
      </c>
      <c r="K438" t="s">
        <v>74</v>
      </c>
      <c r="L438" t="s">
        <v>74</v>
      </c>
      <c r="M438" t="s">
        <v>78</v>
      </c>
      <c r="N438" t="s">
        <v>79</v>
      </c>
      <c r="O438" t="s">
        <v>74</v>
      </c>
      <c r="P438" t="s">
        <v>74</v>
      </c>
      <c r="Q438" t="s">
        <v>74</v>
      </c>
      <c r="R438" t="s">
        <v>74</v>
      </c>
      <c r="S438" t="s">
        <v>74</v>
      </c>
      <c r="T438" t="s">
        <v>8924</v>
      </c>
      <c r="U438" t="s">
        <v>8925</v>
      </c>
      <c r="V438" t="s">
        <v>8926</v>
      </c>
      <c r="W438" t="s">
        <v>8927</v>
      </c>
      <c r="X438" t="s">
        <v>8928</v>
      </c>
      <c r="Y438" t="s">
        <v>8929</v>
      </c>
      <c r="Z438" t="s">
        <v>8930</v>
      </c>
      <c r="AA438" t="s">
        <v>8931</v>
      </c>
      <c r="AB438" t="s">
        <v>8932</v>
      </c>
      <c r="AC438" t="s">
        <v>8933</v>
      </c>
      <c r="AD438" t="s">
        <v>8934</v>
      </c>
      <c r="AE438" t="s">
        <v>8935</v>
      </c>
      <c r="AF438" t="s">
        <v>74</v>
      </c>
      <c r="AG438">
        <v>145</v>
      </c>
      <c r="AH438">
        <v>19</v>
      </c>
      <c r="AI438">
        <v>20</v>
      </c>
      <c r="AJ438">
        <v>2</v>
      </c>
      <c r="AK438">
        <v>35</v>
      </c>
      <c r="AL438" t="s">
        <v>3413</v>
      </c>
      <c r="AM438" t="s">
        <v>278</v>
      </c>
      <c r="AN438" t="s">
        <v>3414</v>
      </c>
      <c r="AO438" t="s">
        <v>4015</v>
      </c>
      <c r="AP438" t="s">
        <v>4016</v>
      </c>
      <c r="AQ438" t="s">
        <v>74</v>
      </c>
      <c r="AR438" t="s">
        <v>4017</v>
      </c>
      <c r="AS438" t="s">
        <v>4018</v>
      </c>
      <c r="AT438" t="s">
        <v>7235</v>
      </c>
      <c r="AU438">
        <v>2018</v>
      </c>
      <c r="AV438">
        <v>94</v>
      </c>
      <c r="AW438">
        <v>4</v>
      </c>
      <c r="AX438" t="s">
        <v>74</v>
      </c>
      <c r="AY438" t="s">
        <v>74</v>
      </c>
      <c r="AZ438" t="s">
        <v>74</v>
      </c>
      <c r="BA438" t="s">
        <v>74</v>
      </c>
      <c r="BB438" t="s">
        <v>74</v>
      </c>
      <c r="BC438" t="s">
        <v>74</v>
      </c>
      <c r="BD438" t="s">
        <v>8936</v>
      </c>
      <c r="BE438" t="s">
        <v>8937</v>
      </c>
      <c r="BF438" t="str">
        <f>HYPERLINK("http://dx.doi.org/10.1093/femsec/fiy032","http://dx.doi.org/10.1093/femsec/fiy032")</f>
        <v>http://dx.doi.org/10.1093/femsec/fiy032</v>
      </c>
      <c r="BG438" t="s">
        <v>74</v>
      </c>
      <c r="BH438" t="s">
        <v>74</v>
      </c>
      <c r="BI438">
        <v>10</v>
      </c>
      <c r="BJ438" t="s">
        <v>510</v>
      </c>
      <c r="BK438" t="s">
        <v>101</v>
      </c>
      <c r="BL438" t="s">
        <v>510</v>
      </c>
      <c r="BM438" t="s">
        <v>8938</v>
      </c>
      <c r="BN438">
        <v>29506259</v>
      </c>
      <c r="BO438" t="s">
        <v>4840</v>
      </c>
      <c r="BP438" t="s">
        <v>74</v>
      </c>
      <c r="BQ438" t="s">
        <v>74</v>
      </c>
      <c r="BR438" t="s">
        <v>105</v>
      </c>
      <c r="BS438" t="s">
        <v>8939</v>
      </c>
      <c r="BT438" t="str">
        <f>HYPERLINK("https%3A%2F%2Fwww.webofscience.com%2Fwos%2Fwoscc%2Ffull-record%2FWOS:000429481200012","View Full Record in Web of Science")</f>
        <v>View Full Record in Web of Science</v>
      </c>
    </row>
    <row r="439" spans="1:72" x14ac:dyDescent="0.15">
      <c r="A439" t="s">
        <v>72</v>
      </c>
      <c r="B439" t="s">
        <v>8940</v>
      </c>
      <c r="C439" t="s">
        <v>74</v>
      </c>
      <c r="D439" t="s">
        <v>74</v>
      </c>
      <c r="E439" t="s">
        <v>74</v>
      </c>
      <c r="F439" t="s">
        <v>8941</v>
      </c>
      <c r="G439" t="s">
        <v>74</v>
      </c>
      <c r="H439" t="s">
        <v>74</v>
      </c>
      <c r="I439" t="s">
        <v>8942</v>
      </c>
      <c r="J439" t="s">
        <v>4002</v>
      </c>
      <c r="K439" t="s">
        <v>74</v>
      </c>
      <c r="L439" t="s">
        <v>74</v>
      </c>
      <c r="M439" t="s">
        <v>78</v>
      </c>
      <c r="N439" t="s">
        <v>79</v>
      </c>
      <c r="O439" t="s">
        <v>74</v>
      </c>
      <c r="P439" t="s">
        <v>74</v>
      </c>
      <c r="Q439" t="s">
        <v>74</v>
      </c>
      <c r="R439" t="s">
        <v>74</v>
      </c>
      <c r="S439" t="s">
        <v>74</v>
      </c>
      <c r="T439" t="s">
        <v>8943</v>
      </c>
      <c r="U439" t="s">
        <v>8944</v>
      </c>
      <c r="V439" t="s">
        <v>8945</v>
      </c>
      <c r="W439" t="s">
        <v>8946</v>
      </c>
      <c r="X439" t="s">
        <v>8947</v>
      </c>
      <c r="Y439" t="s">
        <v>8948</v>
      </c>
      <c r="Z439" t="s">
        <v>8949</v>
      </c>
      <c r="AA439" t="s">
        <v>8950</v>
      </c>
      <c r="AB439" t="s">
        <v>8951</v>
      </c>
      <c r="AC439" t="s">
        <v>8952</v>
      </c>
      <c r="AD439" t="s">
        <v>8953</v>
      </c>
      <c r="AE439" t="s">
        <v>8954</v>
      </c>
      <c r="AF439" t="s">
        <v>74</v>
      </c>
      <c r="AG439">
        <v>82</v>
      </c>
      <c r="AH439">
        <v>20</v>
      </c>
      <c r="AI439">
        <v>23</v>
      </c>
      <c r="AJ439">
        <v>1</v>
      </c>
      <c r="AK439">
        <v>24</v>
      </c>
      <c r="AL439" t="s">
        <v>3413</v>
      </c>
      <c r="AM439" t="s">
        <v>278</v>
      </c>
      <c r="AN439" t="s">
        <v>3414</v>
      </c>
      <c r="AO439" t="s">
        <v>4015</v>
      </c>
      <c r="AP439" t="s">
        <v>4016</v>
      </c>
      <c r="AQ439" t="s">
        <v>74</v>
      </c>
      <c r="AR439" t="s">
        <v>4017</v>
      </c>
      <c r="AS439" t="s">
        <v>4018</v>
      </c>
      <c r="AT439" t="s">
        <v>7235</v>
      </c>
      <c r="AU439">
        <v>2018</v>
      </c>
      <c r="AV439">
        <v>94</v>
      </c>
      <c r="AW439">
        <v>4</v>
      </c>
      <c r="AX439" t="s">
        <v>74</v>
      </c>
      <c r="AY439" t="s">
        <v>74</v>
      </c>
      <c r="AZ439" t="s">
        <v>74</v>
      </c>
      <c r="BA439" t="s">
        <v>74</v>
      </c>
      <c r="BB439" t="s">
        <v>74</v>
      </c>
      <c r="BC439" t="s">
        <v>74</v>
      </c>
      <c r="BD439" t="s">
        <v>8955</v>
      </c>
      <c r="BE439" t="s">
        <v>8956</v>
      </c>
      <c r="BF439" t="str">
        <f>HYPERLINK("http://dx.doi.org/10.1093/femsec/fiy028","http://dx.doi.org/10.1093/femsec/fiy028")</f>
        <v>http://dx.doi.org/10.1093/femsec/fiy028</v>
      </c>
      <c r="BG439" t="s">
        <v>74</v>
      </c>
      <c r="BH439" t="s">
        <v>74</v>
      </c>
      <c r="BI439">
        <v>15</v>
      </c>
      <c r="BJ439" t="s">
        <v>510</v>
      </c>
      <c r="BK439" t="s">
        <v>101</v>
      </c>
      <c r="BL439" t="s">
        <v>510</v>
      </c>
      <c r="BM439" t="s">
        <v>8938</v>
      </c>
      <c r="BN439">
        <v>29481638</v>
      </c>
      <c r="BO439" t="s">
        <v>162</v>
      </c>
      <c r="BP439" t="s">
        <v>74</v>
      </c>
      <c r="BQ439" t="s">
        <v>74</v>
      </c>
      <c r="BR439" t="s">
        <v>105</v>
      </c>
      <c r="BS439" t="s">
        <v>8957</v>
      </c>
      <c r="BT439" t="str">
        <f>HYPERLINK("https%3A%2F%2Fwww.webofscience.com%2Fwos%2Fwoscc%2Ffull-record%2FWOS:000429481200008","View Full Record in Web of Science")</f>
        <v>View Full Record in Web of Science</v>
      </c>
    </row>
    <row r="440" spans="1:72" x14ac:dyDescent="0.15">
      <c r="A440" t="s">
        <v>72</v>
      </c>
      <c r="B440" t="s">
        <v>8958</v>
      </c>
      <c r="C440" t="s">
        <v>74</v>
      </c>
      <c r="D440" t="s">
        <v>74</v>
      </c>
      <c r="E440" t="s">
        <v>74</v>
      </c>
      <c r="F440" t="s">
        <v>8959</v>
      </c>
      <c r="G440" t="s">
        <v>74</v>
      </c>
      <c r="H440" t="s">
        <v>74</v>
      </c>
      <c r="I440" t="s">
        <v>8960</v>
      </c>
      <c r="J440" t="s">
        <v>3583</v>
      </c>
      <c r="K440" t="s">
        <v>74</v>
      </c>
      <c r="L440" t="s">
        <v>74</v>
      </c>
      <c r="M440" t="s">
        <v>78</v>
      </c>
      <c r="N440" t="s">
        <v>79</v>
      </c>
      <c r="O440" t="s">
        <v>74</v>
      </c>
      <c r="P440" t="s">
        <v>74</v>
      </c>
      <c r="Q440" t="s">
        <v>74</v>
      </c>
      <c r="R440" t="s">
        <v>74</v>
      </c>
      <c r="S440" t="s">
        <v>74</v>
      </c>
      <c r="T440" t="s">
        <v>74</v>
      </c>
      <c r="U440" t="s">
        <v>8961</v>
      </c>
      <c r="V440" t="s">
        <v>8962</v>
      </c>
      <c r="W440" t="s">
        <v>8963</v>
      </c>
      <c r="X440" t="s">
        <v>8964</v>
      </c>
      <c r="Y440" t="s">
        <v>8965</v>
      </c>
      <c r="Z440" t="s">
        <v>8966</v>
      </c>
      <c r="AA440" t="s">
        <v>8967</v>
      </c>
      <c r="AB440" t="s">
        <v>8968</v>
      </c>
      <c r="AC440" t="s">
        <v>8969</v>
      </c>
      <c r="AD440" t="s">
        <v>8970</v>
      </c>
      <c r="AE440" t="s">
        <v>8971</v>
      </c>
      <c r="AF440" t="s">
        <v>74</v>
      </c>
      <c r="AG440">
        <v>83</v>
      </c>
      <c r="AH440">
        <v>45</v>
      </c>
      <c r="AI440">
        <v>49</v>
      </c>
      <c r="AJ440">
        <v>0</v>
      </c>
      <c r="AK440">
        <v>20</v>
      </c>
      <c r="AL440" t="s">
        <v>3595</v>
      </c>
      <c r="AM440" t="s">
        <v>3596</v>
      </c>
      <c r="AN440" t="s">
        <v>3597</v>
      </c>
      <c r="AO440" t="s">
        <v>3598</v>
      </c>
      <c r="AP440" t="s">
        <v>3599</v>
      </c>
      <c r="AQ440" t="s">
        <v>74</v>
      </c>
      <c r="AR440" t="s">
        <v>3600</v>
      </c>
      <c r="AS440" t="s">
        <v>3601</v>
      </c>
      <c r="AT440" t="s">
        <v>7235</v>
      </c>
      <c r="AU440">
        <v>2018</v>
      </c>
      <c r="AV440">
        <v>31</v>
      </c>
      <c r="AW440">
        <v>7</v>
      </c>
      <c r="AX440" t="s">
        <v>74</v>
      </c>
      <c r="AY440" t="s">
        <v>74</v>
      </c>
      <c r="AZ440" t="s">
        <v>74</v>
      </c>
      <c r="BA440" t="s">
        <v>74</v>
      </c>
      <c r="BB440">
        <v>2613</v>
      </c>
      <c r="BC440">
        <v>2632</v>
      </c>
      <c r="BD440" t="s">
        <v>74</v>
      </c>
      <c r="BE440" t="s">
        <v>8972</v>
      </c>
      <c r="BF440" t="str">
        <f>HYPERLINK("http://dx.doi.org/10.1175/JCLI-D-17-0092.1","http://dx.doi.org/10.1175/JCLI-D-17-0092.1")</f>
        <v>http://dx.doi.org/10.1175/JCLI-D-17-0092.1</v>
      </c>
      <c r="BG440" t="s">
        <v>74</v>
      </c>
      <c r="BH440" t="s">
        <v>74</v>
      </c>
      <c r="BI440">
        <v>20</v>
      </c>
      <c r="BJ440" t="s">
        <v>131</v>
      </c>
      <c r="BK440" t="s">
        <v>101</v>
      </c>
      <c r="BL440" t="s">
        <v>131</v>
      </c>
      <c r="BM440" t="s">
        <v>8973</v>
      </c>
      <c r="BN440" t="s">
        <v>74</v>
      </c>
      <c r="BO440" t="s">
        <v>341</v>
      </c>
      <c r="BP440" t="s">
        <v>74</v>
      </c>
      <c r="BQ440" t="s">
        <v>74</v>
      </c>
      <c r="BR440" t="s">
        <v>105</v>
      </c>
      <c r="BS440" t="s">
        <v>8974</v>
      </c>
      <c r="BT440" t="str">
        <f>HYPERLINK("https%3A%2F%2Fwww.webofscience.com%2Fwos%2Fwoscc%2Ffull-record%2FWOS:000429456500005","View Full Record in Web of Science")</f>
        <v>View Full Record in Web of Science</v>
      </c>
    </row>
    <row r="441" spans="1:72" x14ac:dyDescent="0.15">
      <c r="A441" t="s">
        <v>72</v>
      </c>
      <c r="B441" t="s">
        <v>8975</v>
      </c>
      <c r="C441" t="s">
        <v>74</v>
      </c>
      <c r="D441" t="s">
        <v>74</v>
      </c>
      <c r="E441" t="s">
        <v>74</v>
      </c>
      <c r="F441" t="s">
        <v>8976</v>
      </c>
      <c r="G441" t="s">
        <v>74</v>
      </c>
      <c r="H441" t="s">
        <v>74</v>
      </c>
      <c r="I441" t="s">
        <v>8977</v>
      </c>
      <c r="J441" t="s">
        <v>8978</v>
      </c>
      <c r="K441" t="s">
        <v>74</v>
      </c>
      <c r="L441" t="s">
        <v>74</v>
      </c>
      <c r="M441" t="s">
        <v>78</v>
      </c>
      <c r="N441" t="s">
        <v>79</v>
      </c>
      <c r="O441" t="s">
        <v>74</v>
      </c>
      <c r="P441" t="s">
        <v>74</v>
      </c>
      <c r="Q441" t="s">
        <v>74</v>
      </c>
      <c r="R441" t="s">
        <v>74</v>
      </c>
      <c r="S441" t="s">
        <v>74</v>
      </c>
      <c r="T441" t="s">
        <v>8979</v>
      </c>
      <c r="U441" t="s">
        <v>8980</v>
      </c>
      <c r="V441" t="s">
        <v>8981</v>
      </c>
      <c r="W441" t="s">
        <v>8982</v>
      </c>
      <c r="X441" t="s">
        <v>8983</v>
      </c>
      <c r="Y441" t="s">
        <v>8984</v>
      </c>
      <c r="Z441" t="s">
        <v>8985</v>
      </c>
      <c r="AA441" t="s">
        <v>8986</v>
      </c>
      <c r="AB441" t="s">
        <v>8987</v>
      </c>
      <c r="AC441" t="s">
        <v>8988</v>
      </c>
      <c r="AD441" t="s">
        <v>8988</v>
      </c>
      <c r="AE441" t="s">
        <v>8989</v>
      </c>
      <c r="AF441" t="s">
        <v>74</v>
      </c>
      <c r="AG441">
        <v>39</v>
      </c>
      <c r="AH441">
        <v>13</v>
      </c>
      <c r="AI441">
        <v>13</v>
      </c>
      <c r="AJ441">
        <v>1</v>
      </c>
      <c r="AK441">
        <v>25</v>
      </c>
      <c r="AL441" t="s">
        <v>8990</v>
      </c>
      <c r="AM441" t="s">
        <v>8991</v>
      </c>
      <c r="AN441" t="s">
        <v>8992</v>
      </c>
      <c r="AO441" t="s">
        <v>8993</v>
      </c>
      <c r="AP441" t="s">
        <v>8994</v>
      </c>
      <c r="AQ441" t="s">
        <v>74</v>
      </c>
      <c r="AR441" t="s">
        <v>8995</v>
      </c>
      <c r="AS441" t="s">
        <v>8996</v>
      </c>
      <c r="AT441" t="s">
        <v>7235</v>
      </c>
      <c r="AU441">
        <v>2018</v>
      </c>
      <c r="AV441">
        <v>54</v>
      </c>
      <c r="AW441">
        <v>2</v>
      </c>
      <c r="AX441" t="s">
        <v>74</v>
      </c>
      <c r="AY441" t="s">
        <v>74</v>
      </c>
      <c r="AZ441" t="s">
        <v>74</v>
      </c>
      <c r="BA441" t="s">
        <v>74</v>
      </c>
      <c r="BB441">
        <v>304</v>
      </c>
      <c r="BC441">
        <v>314</v>
      </c>
      <c r="BD441" t="s">
        <v>74</v>
      </c>
      <c r="BE441" t="s">
        <v>8997</v>
      </c>
      <c r="BF441" t="str">
        <f>HYPERLINK("http://dx.doi.org/10.7589/2016-12-270","http://dx.doi.org/10.7589/2016-12-270")</f>
        <v>http://dx.doi.org/10.7589/2016-12-270</v>
      </c>
      <c r="BG441" t="s">
        <v>74</v>
      </c>
      <c r="BH441" t="s">
        <v>74</v>
      </c>
      <c r="BI441">
        <v>11</v>
      </c>
      <c r="BJ441" t="s">
        <v>8998</v>
      </c>
      <c r="BK441" t="s">
        <v>101</v>
      </c>
      <c r="BL441" t="s">
        <v>8998</v>
      </c>
      <c r="BM441" t="s">
        <v>8999</v>
      </c>
      <c r="BN441">
        <v>29303683</v>
      </c>
      <c r="BO441" t="s">
        <v>74</v>
      </c>
      <c r="BP441" t="s">
        <v>74</v>
      </c>
      <c r="BQ441" t="s">
        <v>74</v>
      </c>
      <c r="BR441" t="s">
        <v>105</v>
      </c>
      <c r="BS441" t="s">
        <v>9000</v>
      </c>
      <c r="BT441" t="str">
        <f>HYPERLINK("https%3A%2F%2Fwww.webofscience.com%2Fwos%2Fwoscc%2Ffull-record%2FWOS:000429465500009","View Full Record in Web of Science")</f>
        <v>View Full Record in Web of Science</v>
      </c>
    </row>
    <row r="442" spans="1:72" x14ac:dyDescent="0.15">
      <c r="A442" t="s">
        <v>72</v>
      </c>
      <c r="B442" t="s">
        <v>9001</v>
      </c>
      <c r="C442" t="s">
        <v>74</v>
      </c>
      <c r="D442" t="s">
        <v>74</v>
      </c>
      <c r="E442" t="s">
        <v>74</v>
      </c>
      <c r="F442" t="s">
        <v>9002</v>
      </c>
      <c r="G442" t="s">
        <v>74</v>
      </c>
      <c r="H442" t="s">
        <v>74</v>
      </c>
      <c r="I442" t="s">
        <v>9003</v>
      </c>
      <c r="J442" t="s">
        <v>9004</v>
      </c>
      <c r="K442" t="s">
        <v>74</v>
      </c>
      <c r="L442" t="s">
        <v>74</v>
      </c>
      <c r="M442" t="s">
        <v>78</v>
      </c>
      <c r="N442" t="s">
        <v>79</v>
      </c>
      <c r="O442" t="s">
        <v>74</v>
      </c>
      <c r="P442" t="s">
        <v>74</v>
      </c>
      <c r="Q442" t="s">
        <v>74</v>
      </c>
      <c r="R442" t="s">
        <v>74</v>
      </c>
      <c r="S442" t="s">
        <v>74</v>
      </c>
      <c r="T442" t="s">
        <v>74</v>
      </c>
      <c r="U442" t="s">
        <v>9005</v>
      </c>
      <c r="V442" t="s">
        <v>9006</v>
      </c>
      <c r="W442" t="s">
        <v>9007</v>
      </c>
      <c r="X442" t="s">
        <v>9008</v>
      </c>
      <c r="Y442" t="s">
        <v>9009</v>
      </c>
      <c r="Z442" t="s">
        <v>9010</v>
      </c>
      <c r="AA442" t="s">
        <v>74</v>
      </c>
      <c r="AB442" t="s">
        <v>74</v>
      </c>
      <c r="AC442" t="s">
        <v>9011</v>
      </c>
      <c r="AD442" t="s">
        <v>9012</v>
      </c>
      <c r="AE442" t="s">
        <v>9013</v>
      </c>
      <c r="AF442" t="s">
        <v>74</v>
      </c>
      <c r="AG442">
        <v>172</v>
      </c>
      <c r="AH442">
        <v>20</v>
      </c>
      <c r="AI442">
        <v>21</v>
      </c>
      <c r="AJ442">
        <v>0</v>
      </c>
      <c r="AK442">
        <v>21</v>
      </c>
      <c r="AL442" t="s">
        <v>9014</v>
      </c>
      <c r="AM442" t="s">
        <v>9015</v>
      </c>
      <c r="AN442" t="s">
        <v>9016</v>
      </c>
      <c r="AO442" t="s">
        <v>9017</v>
      </c>
      <c r="AP442" t="s">
        <v>9018</v>
      </c>
      <c r="AQ442" t="s">
        <v>74</v>
      </c>
      <c r="AR442" t="s">
        <v>9019</v>
      </c>
      <c r="AS442" t="s">
        <v>9020</v>
      </c>
      <c r="AT442" t="s">
        <v>7235</v>
      </c>
      <c r="AU442">
        <v>2018</v>
      </c>
      <c r="AV442">
        <v>55</v>
      </c>
      <c r="AW442">
        <v>4</v>
      </c>
      <c r="AX442" t="s">
        <v>74</v>
      </c>
      <c r="AY442" t="s">
        <v>74</v>
      </c>
      <c r="AZ442" t="s">
        <v>74</v>
      </c>
      <c r="BA442" t="s">
        <v>74</v>
      </c>
      <c r="BB442">
        <v>373</v>
      </c>
      <c r="BC442">
        <v>396</v>
      </c>
      <c r="BD442" t="s">
        <v>74</v>
      </c>
      <c r="BE442" t="s">
        <v>9021</v>
      </c>
      <c r="BF442" t="str">
        <f>HYPERLINK("http://dx.doi.org/10.1139/cjes-2017-0180","http://dx.doi.org/10.1139/cjes-2017-0180")</f>
        <v>http://dx.doi.org/10.1139/cjes-2017-0180</v>
      </c>
      <c r="BG442" t="s">
        <v>74</v>
      </c>
      <c r="BH442" t="s">
        <v>74</v>
      </c>
      <c r="BI442">
        <v>24</v>
      </c>
      <c r="BJ442" t="s">
        <v>1243</v>
      </c>
      <c r="BK442" t="s">
        <v>101</v>
      </c>
      <c r="BL442" t="s">
        <v>1181</v>
      </c>
      <c r="BM442" t="s">
        <v>9022</v>
      </c>
      <c r="BN442" t="s">
        <v>74</v>
      </c>
      <c r="BO442" t="s">
        <v>74</v>
      </c>
      <c r="BP442" t="s">
        <v>74</v>
      </c>
      <c r="BQ442" t="s">
        <v>74</v>
      </c>
      <c r="BR442" t="s">
        <v>105</v>
      </c>
      <c r="BS442" t="s">
        <v>9023</v>
      </c>
      <c r="BT442" t="str">
        <f>HYPERLINK("https%3A%2F%2Fwww.webofscience.com%2Fwos%2Fwoscc%2Ffull-record%2FWOS:000429124300004","View Full Record in Web of Science")</f>
        <v>View Full Record in Web of Science</v>
      </c>
    </row>
    <row r="443" spans="1:72" x14ac:dyDescent="0.15">
      <c r="A443" t="s">
        <v>72</v>
      </c>
      <c r="B443" t="s">
        <v>9024</v>
      </c>
      <c r="C443" t="s">
        <v>74</v>
      </c>
      <c r="D443" t="s">
        <v>74</v>
      </c>
      <c r="E443" t="s">
        <v>74</v>
      </c>
      <c r="F443" t="s">
        <v>9025</v>
      </c>
      <c r="G443" t="s">
        <v>74</v>
      </c>
      <c r="H443" t="s">
        <v>74</v>
      </c>
      <c r="I443" t="s">
        <v>9026</v>
      </c>
      <c r="J443" t="s">
        <v>9027</v>
      </c>
      <c r="K443" t="s">
        <v>74</v>
      </c>
      <c r="L443" t="s">
        <v>74</v>
      </c>
      <c r="M443" t="s">
        <v>78</v>
      </c>
      <c r="N443" t="s">
        <v>79</v>
      </c>
      <c r="O443" t="s">
        <v>74</v>
      </c>
      <c r="P443" t="s">
        <v>74</v>
      </c>
      <c r="Q443" t="s">
        <v>74</v>
      </c>
      <c r="R443" t="s">
        <v>74</v>
      </c>
      <c r="S443" t="s">
        <v>74</v>
      </c>
      <c r="T443" t="s">
        <v>9028</v>
      </c>
      <c r="U443" t="s">
        <v>9029</v>
      </c>
      <c r="V443" t="s">
        <v>9030</v>
      </c>
      <c r="W443" t="s">
        <v>9031</v>
      </c>
      <c r="X443" t="s">
        <v>9032</v>
      </c>
      <c r="Y443" t="s">
        <v>9033</v>
      </c>
      <c r="Z443" t="s">
        <v>9034</v>
      </c>
      <c r="AA443" t="s">
        <v>9035</v>
      </c>
      <c r="AB443" t="s">
        <v>9036</v>
      </c>
      <c r="AC443" t="s">
        <v>9037</v>
      </c>
      <c r="AD443" t="s">
        <v>9038</v>
      </c>
      <c r="AE443" t="s">
        <v>9039</v>
      </c>
      <c r="AF443" t="s">
        <v>74</v>
      </c>
      <c r="AG443">
        <v>35</v>
      </c>
      <c r="AH443">
        <v>6</v>
      </c>
      <c r="AI443">
        <v>6</v>
      </c>
      <c r="AJ443">
        <v>7</v>
      </c>
      <c r="AK443">
        <v>40</v>
      </c>
      <c r="AL443" t="s">
        <v>179</v>
      </c>
      <c r="AM443" t="s">
        <v>180</v>
      </c>
      <c r="AN443" t="s">
        <v>181</v>
      </c>
      <c r="AO443" t="s">
        <v>9040</v>
      </c>
      <c r="AP443" t="s">
        <v>9041</v>
      </c>
      <c r="AQ443" t="s">
        <v>74</v>
      </c>
      <c r="AR443" t="s">
        <v>9042</v>
      </c>
      <c r="AS443" t="s">
        <v>9043</v>
      </c>
      <c r="AT443" t="s">
        <v>7235</v>
      </c>
      <c r="AU443">
        <v>2018</v>
      </c>
      <c r="AV443">
        <v>120</v>
      </c>
      <c r="AW443">
        <v>4</v>
      </c>
      <c r="AX443" t="s">
        <v>74</v>
      </c>
      <c r="AY443" t="s">
        <v>74</v>
      </c>
      <c r="AZ443" t="s">
        <v>74</v>
      </c>
      <c r="BA443" t="s">
        <v>74</v>
      </c>
      <c r="BB443" t="s">
        <v>74</v>
      </c>
      <c r="BC443" t="s">
        <v>74</v>
      </c>
      <c r="BD443">
        <v>1700443</v>
      </c>
      <c r="BE443" t="s">
        <v>9044</v>
      </c>
      <c r="BF443" t="str">
        <f>HYPERLINK("http://dx.doi.org/10.1002/ejlt.201700443","http://dx.doi.org/10.1002/ejlt.201700443")</f>
        <v>http://dx.doi.org/10.1002/ejlt.201700443</v>
      </c>
      <c r="BG443" t="s">
        <v>74</v>
      </c>
      <c r="BH443" t="s">
        <v>74</v>
      </c>
      <c r="BI443">
        <v>8</v>
      </c>
      <c r="BJ443" t="s">
        <v>9045</v>
      </c>
      <c r="BK443" t="s">
        <v>101</v>
      </c>
      <c r="BL443" t="s">
        <v>9045</v>
      </c>
      <c r="BM443" t="s">
        <v>9046</v>
      </c>
      <c r="BN443" t="s">
        <v>74</v>
      </c>
      <c r="BO443" t="s">
        <v>74</v>
      </c>
      <c r="BP443" t="s">
        <v>74</v>
      </c>
      <c r="BQ443" t="s">
        <v>74</v>
      </c>
      <c r="BR443" t="s">
        <v>105</v>
      </c>
      <c r="BS443" t="s">
        <v>9047</v>
      </c>
      <c r="BT443" t="str">
        <f>HYPERLINK("https%3A%2F%2Fwww.webofscience.com%2Fwos%2Fwoscc%2Ffull-record%2FWOS:000429322700017","View Full Record in Web of Science")</f>
        <v>View Full Record in Web of Science</v>
      </c>
    </row>
    <row r="444" spans="1:72" x14ac:dyDescent="0.15">
      <c r="A444" t="s">
        <v>72</v>
      </c>
      <c r="B444" t="s">
        <v>9048</v>
      </c>
      <c r="C444" t="s">
        <v>74</v>
      </c>
      <c r="D444" t="s">
        <v>74</v>
      </c>
      <c r="E444" t="s">
        <v>74</v>
      </c>
      <c r="F444" t="s">
        <v>9049</v>
      </c>
      <c r="G444" t="s">
        <v>74</v>
      </c>
      <c r="H444" t="s">
        <v>74</v>
      </c>
      <c r="I444" t="s">
        <v>9050</v>
      </c>
      <c r="J444" t="s">
        <v>3583</v>
      </c>
      <c r="K444" t="s">
        <v>74</v>
      </c>
      <c r="L444" t="s">
        <v>74</v>
      </c>
      <c r="M444" t="s">
        <v>78</v>
      </c>
      <c r="N444" t="s">
        <v>79</v>
      </c>
      <c r="O444" t="s">
        <v>74</v>
      </c>
      <c r="P444" t="s">
        <v>74</v>
      </c>
      <c r="Q444" t="s">
        <v>74</v>
      </c>
      <c r="R444" t="s">
        <v>74</v>
      </c>
      <c r="S444" t="s">
        <v>74</v>
      </c>
      <c r="T444" t="s">
        <v>9051</v>
      </c>
      <c r="U444" t="s">
        <v>9052</v>
      </c>
      <c r="V444" t="s">
        <v>9053</v>
      </c>
      <c r="W444" t="s">
        <v>9054</v>
      </c>
      <c r="X444" t="s">
        <v>9055</v>
      </c>
      <c r="Y444" t="s">
        <v>9056</v>
      </c>
      <c r="Z444" t="s">
        <v>9057</v>
      </c>
      <c r="AA444" t="s">
        <v>74</v>
      </c>
      <c r="AB444" t="s">
        <v>9058</v>
      </c>
      <c r="AC444" t="s">
        <v>9059</v>
      </c>
      <c r="AD444" t="s">
        <v>9060</v>
      </c>
      <c r="AE444" t="s">
        <v>9061</v>
      </c>
      <c r="AF444" t="s">
        <v>74</v>
      </c>
      <c r="AG444">
        <v>79</v>
      </c>
      <c r="AH444">
        <v>22</v>
      </c>
      <c r="AI444">
        <v>22</v>
      </c>
      <c r="AJ444">
        <v>1</v>
      </c>
      <c r="AK444">
        <v>9</v>
      </c>
      <c r="AL444" t="s">
        <v>3595</v>
      </c>
      <c r="AM444" t="s">
        <v>3596</v>
      </c>
      <c r="AN444" t="s">
        <v>9062</v>
      </c>
      <c r="AO444" t="s">
        <v>3598</v>
      </c>
      <c r="AP444" t="s">
        <v>3599</v>
      </c>
      <c r="AQ444" t="s">
        <v>74</v>
      </c>
      <c r="AR444" t="s">
        <v>3600</v>
      </c>
      <c r="AS444" t="s">
        <v>3601</v>
      </c>
      <c r="AT444" t="s">
        <v>7235</v>
      </c>
      <c r="AU444">
        <v>2018</v>
      </c>
      <c r="AV444">
        <v>31</v>
      </c>
      <c r="AW444">
        <v>8</v>
      </c>
      <c r="AX444" t="s">
        <v>74</v>
      </c>
      <c r="AY444" t="s">
        <v>74</v>
      </c>
      <c r="AZ444" t="s">
        <v>74</v>
      </c>
      <c r="BA444" t="s">
        <v>74</v>
      </c>
      <c r="BB444">
        <v>3077</v>
      </c>
      <c r="BC444">
        <v>3098</v>
      </c>
      <c r="BD444" t="s">
        <v>74</v>
      </c>
      <c r="BE444" t="s">
        <v>9063</v>
      </c>
      <c r="BF444" t="str">
        <f>HYPERLINK("http://dx.doi.org/10.1175/JCLI-D-17-0597.1","http://dx.doi.org/10.1175/JCLI-D-17-0597.1")</f>
        <v>http://dx.doi.org/10.1175/JCLI-D-17-0597.1</v>
      </c>
      <c r="BG444" t="s">
        <v>74</v>
      </c>
      <c r="BH444" t="s">
        <v>74</v>
      </c>
      <c r="BI444">
        <v>22</v>
      </c>
      <c r="BJ444" t="s">
        <v>131</v>
      </c>
      <c r="BK444" t="s">
        <v>101</v>
      </c>
      <c r="BL444" t="s">
        <v>131</v>
      </c>
      <c r="BM444" t="s">
        <v>9064</v>
      </c>
      <c r="BN444" t="s">
        <v>74</v>
      </c>
      <c r="BO444" t="s">
        <v>341</v>
      </c>
      <c r="BP444" t="s">
        <v>74</v>
      </c>
      <c r="BQ444" t="s">
        <v>74</v>
      </c>
      <c r="BR444" t="s">
        <v>105</v>
      </c>
      <c r="BS444" t="s">
        <v>9065</v>
      </c>
      <c r="BT444" t="str">
        <f>HYPERLINK("https%3A%2F%2Fwww.webofscience.com%2Fwos%2Fwoscc%2Ffull-record%2FWOS:000428694000007","View Full Record in Web of Science")</f>
        <v>View Full Record in Web of Science</v>
      </c>
    </row>
    <row r="445" spans="1:72" x14ac:dyDescent="0.15">
      <c r="A445" t="s">
        <v>72</v>
      </c>
      <c r="B445" t="s">
        <v>9066</v>
      </c>
      <c r="C445" t="s">
        <v>74</v>
      </c>
      <c r="D445" t="s">
        <v>74</v>
      </c>
      <c r="E445" t="s">
        <v>74</v>
      </c>
      <c r="F445" t="s">
        <v>9067</v>
      </c>
      <c r="G445" t="s">
        <v>74</v>
      </c>
      <c r="H445" t="s">
        <v>74</v>
      </c>
      <c r="I445" t="s">
        <v>9068</v>
      </c>
      <c r="J445" t="s">
        <v>9069</v>
      </c>
      <c r="K445" t="s">
        <v>74</v>
      </c>
      <c r="L445" t="s">
        <v>74</v>
      </c>
      <c r="M445" t="s">
        <v>78</v>
      </c>
      <c r="N445" t="s">
        <v>79</v>
      </c>
      <c r="O445" t="s">
        <v>74</v>
      </c>
      <c r="P445" t="s">
        <v>74</v>
      </c>
      <c r="Q445" t="s">
        <v>74</v>
      </c>
      <c r="R445" t="s">
        <v>74</v>
      </c>
      <c r="S445" t="s">
        <v>74</v>
      </c>
      <c r="T445" t="s">
        <v>9070</v>
      </c>
      <c r="U445" t="s">
        <v>9071</v>
      </c>
      <c r="V445" t="s">
        <v>9072</v>
      </c>
      <c r="W445" t="s">
        <v>9073</v>
      </c>
      <c r="X445" t="s">
        <v>9074</v>
      </c>
      <c r="Y445" t="s">
        <v>9075</v>
      </c>
      <c r="Z445" t="s">
        <v>9076</v>
      </c>
      <c r="AA445" t="s">
        <v>9077</v>
      </c>
      <c r="AB445" t="s">
        <v>9078</v>
      </c>
      <c r="AC445" t="s">
        <v>9079</v>
      </c>
      <c r="AD445" t="s">
        <v>9079</v>
      </c>
      <c r="AE445" t="s">
        <v>9080</v>
      </c>
      <c r="AF445" t="s">
        <v>74</v>
      </c>
      <c r="AG445">
        <v>93</v>
      </c>
      <c r="AH445">
        <v>8</v>
      </c>
      <c r="AI445">
        <v>8</v>
      </c>
      <c r="AJ445">
        <v>0</v>
      </c>
      <c r="AK445">
        <v>8</v>
      </c>
      <c r="AL445" t="s">
        <v>277</v>
      </c>
      <c r="AM445" t="s">
        <v>278</v>
      </c>
      <c r="AN445" t="s">
        <v>279</v>
      </c>
      <c r="AO445" t="s">
        <v>9081</v>
      </c>
      <c r="AP445" t="s">
        <v>74</v>
      </c>
      <c r="AQ445" t="s">
        <v>74</v>
      </c>
      <c r="AR445" t="s">
        <v>9082</v>
      </c>
      <c r="AS445" t="s">
        <v>9083</v>
      </c>
      <c r="AT445" t="s">
        <v>7235</v>
      </c>
      <c r="AU445">
        <v>2018</v>
      </c>
      <c r="AV445">
        <v>73</v>
      </c>
      <c r="AW445" t="s">
        <v>74</v>
      </c>
      <c r="AX445" t="s">
        <v>74</v>
      </c>
      <c r="AY445" t="s">
        <v>74</v>
      </c>
      <c r="AZ445" t="s">
        <v>74</v>
      </c>
      <c r="BA445" t="s">
        <v>74</v>
      </c>
      <c r="BB445">
        <v>80</v>
      </c>
      <c r="BC445">
        <v>90</v>
      </c>
      <c r="BD445" t="s">
        <v>74</v>
      </c>
      <c r="BE445" t="s">
        <v>9084</v>
      </c>
      <c r="BF445" t="str">
        <f>HYPERLINK("http://dx.doi.org/10.1016/j.jtherbio.2018.02.010","http://dx.doi.org/10.1016/j.jtherbio.2018.02.010")</f>
        <v>http://dx.doi.org/10.1016/j.jtherbio.2018.02.010</v>
      </c>
      <c r="BG445" t="s">
        <v>74</v>
      </c>
      <c r="BH445" t="s">
        <v>74</v>
      </c>
      <c r="BI445">
        <v>11</v>
      </c>
      <c r="BJ445" t="s">
        <v>9085</v>
      </c>
      <c r="BK445" t="s">
        <v>101</v>
      </c>
      <c r="BL445" t="s">
        <v>9086</v>
      </c>
      <c r="BM445" t="s">
        <v>9087</v>
      </c>
      <c r="BN445">
        <v>29549995</v>
      </c>
      <c r="BO445" t="s">
        <v>74</v>
      </c>
      <c r="BP445" t="s">
        <v>74</v>
      </c>
      <c r="BQ445" t="s">
        <v>74</v>
      </c>
      <c r="BR445" t="s">
        <v>105</v>
      </c>
      <c r="BS445" t="s">
        <v>9088</v>
      </c>
      <c r="BT445" t="str">
        <f>HYPERLINK("https%3A%2F%2Fwww.webofscience.com%2Fwos%2Fwoscc%2Ffull-record%2FWOS:000429394700010","View Full Record in Web of Science")</f>
        <v>View Full Record in Web of Science</v>
      </c>
    </row>
    <row r="446" spans="1:72" x14ac:dyDescent="0.15">
      <c r="A446" t="s">
        <v>72</v>
      </c>
      <c r="B446" t="s">
        <v>9089</v>
      </c>
      <c r="C446" t="s">
        <v>74</v>
      </c>
      <c r="D446" t="s">
        <v>74</v>
      </c>
      <c r="E446" t="s">
        <v>74</v>
      </c>
      <c r="F446" t="s">
        <v>9090</v>
      </c>
      <c r="G446" t="s">
        <v>74</v>
      </c>
      <c r="H446" t="s">
        <v>74</v>
      </c>
      <c r="I446" t="s">
        <v>9091</v>
      </c>
      <c r="J446" t="s">
        <v>9092</v>
      </c>
      <c r="K446" t="s">
        <v>74</v>
      </c>
      <c r="L446" t="s">
        <v>74</v>
      </c>
      <c r="M446" t="s">
        <v>78</v>
      </c>
      <c r="N446" t="s">
        <v>79</v>
      </c>
      <c r="O446" t="s">
        <v>74</v>
      </c>
      <c r="P446" t="s">
        <v>74</v>
      </c>
      <c r="Q446" t="s">
        <v>74</v>
      </c>
      <c r="R446" t="s">
        <v>74</v>
      </c>
      <c r="S446" t="s">
        <v>74</v>
      </c>
      <c r="T446" t="s">
        <v>9093</v>
      </c>
      <c r="U446" t="s">
        <v>9094</v>
      </c>
      <c r="V446" t="s">
        <v>9095</v>
      </c>
      <c r="W446" t="s">
        <v>9096</v>
      </c>
      <c r="X446" t="s">
        <v>9097</v>
      </c>
      <c r="Y446" t="s">
        <v>9098</v>
      </c>
      <c r="Z446" t="s">
        <v>9099</v>
      </c>
      <c r="AA446" t="s">
        <v>9100</v>
      </c>
      <c r="AB446" t="s">
        <v>9101</v>
      </c>
      <c r="AC446" t="s">
        <v>9102</v>
      </c>
      <c r="AD446" t="s">
        <v>9103</v>
      </c>
      <c r="AE446" t="s">
        <v>9104</v>
      </c>
      <c r="AF446" t="s">
        <v>74</v>
      </c>
      <c r="AG446">
        <v>43</v>
      </c>
      <c r="AH446">
        <v>1</v>
      </c>
      <c r="AI446">
        <v>3</v>
      </c>
      <c r="AJ446">
        <v>2</v>
      </c>
      <c r="AK446">
        <v>9</v>
      </c>
      <c r="AL446" t="s">
        <v>4037</v>
      </c>
      <c r="AM446" t="s">
        <v>92</v>
      </c>
      <c r="AN446" t="s">
        <v>4038</v>
      </c>
      <c r="AO446" t="s">
        <v>9105</v>
      </c>
      <c r="AP446" t="s">
        <v>9106</v>
      </c>
      <c r="AQ446" t="s">
        <v>74</v>
      </c>
      <c r="AR446" t="s">
        <v>9107</v>
      </c>
      <c r="AS446" t="s">
        <v>9108</v>
      </c>
      <c r="AT446" t="s">
        <v>7235</v>
      </c>
      <c r="AU446">
        <v>2018</v>
      </c>
      <c r="AV446">
        <v>56</v>
      </c>
      <c r="AW446">
        <v>4</v>
      </c>
      <c r="AX446" t="s">
        <v>74</v>
      </c>
      <c r="AY446" t="s">
        <v>74</v>
      </c>
      <c r="AZ446" t="s">
        <v>74</v>
      </c>
      <c r="BA446" t="s">
        <v>74</v>
      </c>
      <c r="BB446">
        <v>332</v>
      </c>
      <c r="BC446">
        <v>343</v>
      </c>
      <c r="BD446" t="s">
        <v>74</v>
      </c>
      <c r="BE446" t="s">
        <v>9109</v>
      </c>
      <c r="BF446" t="str">
        <f>HYPERLINK("http://dx.doi.org/10.1134/S0016702918040031","http://dx.doi.org/10.1134/S0016702918040031")</f>
        <v>http://dx.doi.org/10.1134/S0016702918040031</v>
      </c>
      <c r="BG446" t="s">
        <v>74</v>
      </c>
      <c r="BH446" t="s">
        <v>74</v>
      </c>
      <c r="BI446">
        <v>12</v>
      </c>
      <c r="BJ446" t="s">
        <v>260</v>
      </c>
      <c r="BK446" t="s">
        <v>101</v>
      </c>
      <c r="BL446" t="s">
        <v>260</v>
      </c>
      <c r="BM446" t="s">
        <v>9110</v>
      </c>
      <c r="BN446" t="s">
        <v>74</v>
      </c>
      <c r="BO446" t="s">
        <v>74</v>
      </c>
      <c r="BP446" t="s">
        <v>74</v>
      </c>
      <c r="BQ446" t="s">
        <v>74</v>
      </c>
      <c r="BR446" t="s">
        <v>105</v>
      </c>
      <c r="BS446" t="s">
        <v>9111</v>
      </c>
      <c r="BT446" t="str">
        <f>HYPERLINK("https%3A%2F%2Fwww.webofscience.com%2Fwos%2Fwoscc%2Ffull-record%2FWOS:000429237200005","View Full Record in Web of Science")</f>
        <v>View Full Record in Web of Science</v>
      </c>
    </row>
    <row r="447" spans="1:72" x14ac:dyDescent="0.15">
      <c r="A447" t="s">
        <v>72</v>
      </c>
      <c r="B447" t="s">
        <v>9112</v>
      </c>
      <c r="C447" t="s">
        <v>74</v>
      </c>
      <c r="D447" t="s">
        <v>74</v>
      </c>
      <c r="E447" t="s">
        <v>74</v>
      </c>
      <c r="F447" t="s">
        <v>9113</v>
      </c>
      <c r="G447" t="s">
        <v>74</v>
      </c>
      <c r="H447" t="s">
        <v>74</v>
      </c>
      <c r="I447" t="s">
        <v>9114</v>
      </c>
      <c r="J447" t="s">
        <v>3563</v>
      </c>
      <c r="K447" t="s">
        <v>74</v>
      </c>
      <c r="L447" t="s">
        <v>74</v>
      </c>
      <c r="M447" t="s">
        <v>78</v>
      </c>
      <c r="N447" t="s">
        <v>79</v>
      </c>
      <c r="O447" t="s">
        <v>74</v>
      </c>
      <c r="P447" t="s">
        <v>74</v>
      </c>
      <c r="Q447" t="s">
        <v>74</v>
      </c>
      <c r="R447" t="s">
        <v>74</v>
      </c>
      <c r="S447" t="s">
        <v>74</v>
      </c>
      <c r="T447" t="s">
        <v>9115</v>
      </c>
      <c r="U447" t="s">
        <v>9116</v>
      </c>
      <c r="V447" t="s">
        <v>9117</v>
      </c>
      <c r="W447" t="s">
        <v>9118</v>
      </c>
      <c r="X447" t="s">
        <v>9119</v>
      </c>
      <c r="Y447" t="s">
        <v>9120</v>
      </c>
      <c r="Z447" t="s">
        <v>9121</v>
      </c>
      <c r="AA447" t="s">
        <v>9122</v>
      </c>
      <c r="AB447" t="s">
        <v>9123</v>
      </c>
      <c r="AC447" t="s">
        <v>9124</v>
      </c>
      <c r="AD447" t="s">
        <v>9124</v>
      </c>
      <c r="AE447" t="s">
        <v>9124</v>
      </c>
      <c r="AF447" t="s">
        <v>74</v>
      </c>
      <c r="AG447">
        <v>48</v>
      </c>
      <c r="AH447">
        <v>16</v>
      </c>
      <c r="AI447">
        <v>19</v>
      </c>
      <c r="AJ447">
        <v>2</v>
      </c>
      <c r="AK447">
        <v>35</v>
      </c>
      <c r="AL447" t="s">
        <v>179</v>
      </c>
      <c r="AM447" t="s">
        <v>180</v>
      </c>
      <c r="AN447" t="s">
        <v>181</v>
      </c>
      <c r="AO447" t="s">
        <v>3573</v>
      </c>
      <c r="AP447" t="s">
        <v>3574</v>
      </c>
      <c r="AQ447" t="s">
        <v>74</v>
      </c>
      <c r="AR447" t="s">
        <v>3575</v>
      </c>
      <c r="AS447" t="s">
        <v>3576</v>
      </c>
      <c r="AT447" t="s">
        <v>7235</v>
      </c>
      <c r="AU447">
        <v>2018</v>
      </c>
      <c r="AV447">
        <v>58</v>
      </c>
      <c r="AW447">
        <v>4</v>
      </c>
      <c r="AX447" t="s">
        <v>74</v>
      </c>
      <c r="AY447" t="s">
        <v>74</v>
      </c>
      <c r="AZ447" t="s">
        <v>508</v>
      </c>
      <c r="BA447" t="s">
        <v>74</v>
      </c>
      <c r="BB447">
        <v>331</v>
      </c>
      <c r="BC447">
        <v>342</v>
      </c>
      <c r="BD447" t="s">
        <v>74</v>
      </c>
      <c r="BE447" t="s">
        <v>9125</v>
      </c>
      <c r="BF447" t="str">
        <f>HYPERLINK("http://dx.doi.org/10.1002/jobm.201700638","http://dx.doi.org/10.1002/jobm.201700638")</f>
        <v>http://dx.doi.org/10.1002/jobm.201700638</v>
      </c>
      <c r="BG447" t="s">
        <v>74</v>
      </c>
      <c r="BH447" t="s">
        <v>74</v>
      </c>
      <c r="BI447">
        <v>12</v>
      </c>
      <c r="BJ447" t="s">
        <v>510</v>
      </c>
      <c r="BK447" t="s">
        <v>101</v>
      </c>
      <c r="BL447" t="s">
        <v>510</v>
      </c>
      <c r="BM447" t="s">
        <v>7486</v>
      </c>
      <c r="BN447">
        <v>29442377</v>
      </c>
      <c r="BO447" t="s">
        <v>74</v>
      </c>
      <c r="BP447" t="s">
        <v>74</v>
      </c>
      <c r="BQ447" t="s">
        <v>74</v>
      </c>
      <c r="BR447" t="s">
        <v>105</v>
      </c>
      <c r="BS447" t="s">
        <v>9126</v>
      </c>
      <c r="BT447" t="str">
        <f>HYPERLINK("https%3A%2F%2Fwww.webofscience.com%2Fwos%2Fwoscc%2Ffull-record%2FWOS:000429001400007","View Full Record in Web of Science")</f>
        <v>View Full Record in Web of Science</v>
      </c>
    </row>
    <row r="448" spans="1:72" x14ac:dyDescent="0.15">
      <c r="A448" t="s">
        <v>72</v>
      </c>
      <c r="B448" t="s">
        <v>9127</v>
      </c>
      <c r="C448" t="s">
        <v>74</v>
      </c>
      <c r="D448" t="s">
        <v>74</v>
      </c>
      <c r="E448" t="s">
        <v>74</v>
      </c>
      <c r="F448" t="s">
        <v>9128</v>
      </c>
      <c r="G448" t="s">
        <v>74</v>
      </c>
      <c r="H448" t="s">
        <v>74</v>
      </c>
      <c r="I448" t="s">
        <v>9129</v>
      </c>
      <c r="J448" t="s">
        <v>7747</v>
      </c>
      <c r="K448" t="s">
        <v>74</v>
      </c>
      <c r="L448" t="s">
        <v>74</v>
      </c>
      <c r="M448" t="s">
        <v>78</v>
      </c>
      <c r="N448" t="s">
        <v>79</v>
      </c>
      <c r="O448" t="s">
        <v>74</v>
      </c>
      <c r="P448" t="s">
        <v>74</v>
      </c>
      <c r="Q448" t="s">
        <v>74</v>
      </c>
      <c r="R448" t="s">
        <v>74</v>
      </c>
      <c r="S448" t="s">
        <v>74</v>
      </c>
      <c r="T448" t="s">
        <v>9130</v>
      </c>
      <c r="U448" t="s">
        <v>9131</v>
      </c>
      <c r="V448" t="s">
        <v>9132</v>
      </c>
      <c r="W448" t="s">
        <v>9133</v>
      </c>
      <c r="X448" t="s">
        <v>9134</v>
      </c>
      <c r="Y448" t="s">
        <v>9135</v>
      </c>
      <c r="Z448" t="s">
        <v>9136</v>
      </c>
      <c r="AA448" t="s">
        <v>74</v>
      </c>
      <c r="AB448" t="s">
        <v>9137</v>
      </c>
      <c r="AC448" t="s">
        <v>9138</v>
      </c>
      <c r="AD448" t="s">
        <v>9139</v>
      </c>
      <c r="AE448" t="s">
        <v>9140</v>
      </c>
      <c r="AF448" t="s">
        <v>74</v>
      </c>
      <c r="AG448">
        <v>15</v>
      </c>
      <c r="AH448">
        <v>18</v>
      </c>
      <c r="AI448">
        <v>22</v>
      </c>
      <c r="AJ448">
        <v>1</v>
      </c>
      <c r="AK448">
        <v>8</v>
      </c>
      <c r="AL448" t="s">
        <v>277</v>
      </c>
      <c r="AM448" t="s">
        <v>278</v>
      </c>
      <c r="AN448" t="s">
        <v>279</v>
      </c>
      <c r="AO448" t="s">
        <v>7760</v>
      </c>
      <c r="AP448" t="s">
        <v>74</v>
      </c>
      <c r="AQ448" t="s">
        <v>74</v>
      </c>
      <c r="AR448" t="s">
        <v>7761</v>
      </c>
      <c r="AS448" t="s">
        <v>7762</v>
      </c>
      <c r="AT448" t="s">
        <v>7235</v>
      </c>
      <c r="AU448">
        <v>2018</v>
      </c>
      <c r="AV448">
        <v>118</v>
      </c>
      <c r="AW448" t="s">
        <v>74</v>
      </c>
      <c r="AX448" t="s">
        <v>74</v>
      </c>
      <c r="AY448" t="s">
        <v>74</v>
      </c>
      <c r="AZ448" t="s">
        <v>74</v>
      </c>
      <c r="BA448" t="s">
        <v>74</v>
      </c>
      <c r="BB448">
        <v>1</v>
      </c>
      <c r="BC448">
        <v>3</v>
      </c>
      <c r="BD448" t="s">
        <v>74</v>
      </c>
      <c r="BE448" t="s">
        <v>9141</v>
      </c>
      <c r="BF448" t="str">
        <f>HYPERLINK("http://dx.doi.org/10.1016/j.orggeochem.2018.01.008","http://dx.doi.org/10.1016/j.orggeochem.2018.01.008")</f>
        <v>http://dx.doi.org/10.1016/j.orggeochem.2018.01.008</v>
      </c>
      <c r="BG448" t="s">
        <v>74</v>
      </c>
      <c r="BH448" t="s">
        <v>74</v>
      </c>
      <c r="BI448">
        <v>3</v>
      </c>
      <c r="BJ448" t="s">
        <v>260</v>
      </c>
      <c r="BK448" t="s">
        <v>101</v>
      </c>
      <c r="BL448" t="s">
        <v>260</v>
      </c>
      <c r="BM448" t="s">
        <v>7764</v>
      </c>
      <c r="BN448" t="s">
        <v>74</v>
      </c>
      <c r="BO448" t="s">
        <v>288</v>
      </c>
      <c r="BP448" t="s">
        <v>74</v>
      </c>
      <c r="BQ448" t="s">
        <v>74</v>
      </c>
      <c r="BR448" t="s">
        <v>105</v>
      </c>
      <c r="BS448" t="s">
        <v>9142</v>
      </c>
      <c r="BT448" t="str">
        <f>HYPERLINK("https%3A%2F%2Fwww.webofscience.com%2Fwos%2Fwoscc%2Ffull-record%2FWOS:000428997900001","View Full Record in Web of Science")</f>
        <v>View Full Record in Web of Science</v>
      </c>
    </row>
    <row r="449" spans="1:72" x14ac:dyDescent="0.15">
      <c r="A449" t="s">
        <v>72</v>
      </c>
      <c r="B449" t="s">
        <v>9143</v>
      </c>
      <c r="C449" t="s">
        <v>74</v>
      </c>
      <c r="D449" t="s">
        <v>74</v>
      </c>
      <c r="E449" t="s">
        <v>74</v>
      </c>
      <c r="F449" t="s">
        <v>9144</v>
      </c>
      <c r="G449" t="s">
        <v>74</v>
      </c>
      <c r="H449" t="s">
        <v>74</v>
      </c>
      <c r="I449" t="s">
        <v>9145</v>
      </c>
      <c r="J449" t="s">
        <v>9146</v>
      </c>
      <c r="K449" t="s">
        <v>74</v>
      </c>
      <c r="L449" t="s">
        <v>74</v>
      </c>
      <c r="M449" t="s">
        <v>78</v>
      </c>
      <c r="N449" t="s">
        <v>79</v>
      </c>
      <c r="O449" t="s">
        <v>74</v>
      </c>
      <c r="P449" t="s">
        <v>74</v>
      </c>
      <c r="Q449" t="s">
        <v>74</v>
      </c>
      <c r="R449" t="s">
        <v>74</v>
      </c>
      <c r="S449" t="s">
        <v>74</v>
      </c>
      <c r="T449" t="s">
        <v>74</v>
      </c>
      <c r="U449" t="s">
        <v>9147</v>
      </c>
      <c r="V449" t="s">
        <v>9148</v>
      </c>
      <c r="W449" t="s">
        <v>9149</v>
      </c>
      <c r="X449" t="s">
        <v>9150</v>
      </c>
      <c r="Y449" t="s">
        <v>9151</v>
      </c>
      <c r="Z449" t="s">
        <v>9152</v>
      </c>
      <c r="AA449" t="s">
        <v>74</v>
      </c>
      <c r="AB449" t="s">
        <v>9153</v>
      </c>
      <c r="AC449" t="s">
        <v>9154</v>
      </c>
      <c r="AD449" t="s">
        <v>9154</v>
      </c>
      <c r="AE449" t="s">
        <v>9155</v>
      </c>
      <c r="AF449" t="s">
        <v>74</v>
      </c>
      <c r="AG449">
        <v>37</v>
      </c>
      <c r="AH449">
        <v>11</v>
      </c>
      <c r="AI449">
        <v>15</v>
      </c>
      <c r="AJ449">
        <v>2</v>
      </c>
      <c r="AK449">
        <v>19</v>
      </c>
      <c r="AL449" t="s">
        <v>9014</v>
      </c>
      <c r="AM449" t="s">
        <v>9015</v>
      </c>
      <c r="AN449" t="s">
        <v>9016</v>
      </c>
      <c r="AO449" t="s">
        <v>9156</v>
      </c>
      <c r="AP449" t="s">
        <v>9157</v>
      </c>
      <c r="AQ449" t="s">
        <v>74</v>
      </c>
      <c r="AR449" t="s">
        <v>9158</v>
      </c>
      <c r="AS449" t="s">
        <v>9159</v>
      </c>
      <c r="AT449" t="s">
        <v>7235</v>
      </c>
      <c r="AU449">
        <v>2018</v>
      </c>
      <c r="AV449">
        <v>75</v>
      </c>
      <c r="AW449">
        <v>4</v>
      </c>
      <c r="AX449" t="s">
        <v>74</v>
      </c>
      <c r="AY449" t="s">
        <v>74</v>
      </c>
      <c r="AZ449" t="s">
        <v>74</v>
      </c>
      <c r="BA449" t="s">
        <v>74</v>
      </c>
      <c r="BB449">
        <v>629</v>
      </c>
      <c r="BC449">
        <v>640</v>
      </c>
      <c r="BD449" t="s">
        <v>74</v>
      </c>
      <c r="BE449" t="s">
        <v>9160</v>
      </c>
      <c r="BF449" t="str">
        <f>HYPERLINK("http://dx.doi.org/10.1139/cjfas-2017-0013","http://dx.doi.org/10.1139/cjfas-2017-0013")</f>
        <v>http://dx.doi.org/10.1139/cjfas-2017-0013</v>
      </c>
      <c r="BG449" t="s">
        <v>74</v>
      </c>
      <c r="BH449" t="s">
        <v>74</v>
      </c>
      <c r="BI449">
        <v>12</v>
      </c>
      <c r="BJ449" t="s">
        <v>3627</v>
      </c>
      <c r="BK449" t="s">
        <v>101</v>
      </c>
      <c r="BL449" t="s">
        <v>3627</v>
      </c>
      <c r="BM449" t="s">
        <v>9161</v>
      </c>
      <c r="BN449" t="s">
        <v>74</v>
      </c>
      <c r="BO449" t="s">
        <v>74</v>
      </c>
      <c r="BP449" t="s">
        <v>74</v>
      </c>
      <c r="BQ449" t="s">
        <v>74</v>
      </c>
      <c r="BR449" t="s">
        <v>105</v>
      </c>
      <c r="BS449" t="s">
        <v>9162</v>
      </c>
      <c r="BT449" t="str">
        <f>HYPERLINK("https%3A%2F%2Fwww.webofscience.com%2Fwos%2Fwoscc%2Ffull-record%2FWOS:000428383300014","View Full Record in Web of Science")</f>
        <v>View Full Record in Web of Science</v>
      </c>
    </row>
    <row r="450" spans="1:72" x14ac:dyDescent="0.15">
      <c r="A450" t="s">
        <v>72</v>
      </c>
      <c r="B450" t="s">
        <v>9163</v>
      </c>
      <c r="C450" t="s">
        <v>74</v>
      </c>
      <c r="D450" t="s">
        <v>74</v>
      </c>
      <c r="E450" t="s">
        <v>74</v>
      </c>
      <c r="F450" t="s">
        <v>9164</v>
      </c>
      <c r="G450" t="s">
        <v>74</v>
      </c>
      <c r="H450" t="s">
        <v>74</v>
      </c>
      <c r="I450" t="s">
        <v>9165</v>
      </c>
      <c r="J450" t="s">
        <v>5142</v>
      </c>
      <c r="K450" t="s">
        <v>74</v>
      </c>
      <c r="L450" t="s">
        <v>74</v>
      </c>
      <c r="M450" t="s">
        <v>78</v>
      </c>
      <c r="N450" t="s">
        <v>79</v>
      </c>
      <c r="O450" t="s">
        <v>74</v>
      </c>
      <c r="P450" t="s">
        <v>74</v>
      </c>
      <c r="Q450" t="s">
        <v>74</v>
      </c>
      <c r="R450" t="s">
        <v>74</v>
      </c>
      <c r="S450" t="s">
        <v>74</v>
      </c>
      <c r="T450" t="s">
        <v>9166</v>
      </c>
      <c r="U450" t="s">
        <v>9167</v>
      </c>
      <c r="V450" t="s">
        <v>9168</v>
      </c>
      <c r="W450" t="s">
        <v>9169</v>
      </c>
      <c r="X450" t="s">
        <v>9170</v>
      </c>
      <c r="Y450" t="s">
        <v>9171</v>
      </c>
      <c r="Z450" t="s">
        <v>9172</v>
      </c>
      <c r="AA450" t="s">
        <v>9173</v>
      </c>
      <c r="AB450" t="s">
        <v>9174</v>
      </c>
      <c r="AC450" t="s">
        <v>9175</v>
      </c>
      <c r="AD450" t="s">
        <v>9176</v>
      </c>
      <c r="AE450" t="s">
        <v>9177</v>
      </c>
      <c r="AF450" t="s">
        <v>74</v>
      </c>
      <c r="AG450">
        <v>68</v>
      </c>
      <c r="AH450">
        <v>11</v>
      </c>
      <c r="AI450">
        <v>11</v>
      </c>
      <c r="AJ450">
        <v>1</v>
      </c>
      <c r="AK450">
        <v>35</v>
      </c>
      <c r="AL450" t="s">
        <v>91</v>
      </c>
      <c r="AM450" t="s">
        <v>92</v>
      </c>
      <c r="AN450" t="s">
        <v>205</v>
      </c>
      <c r="AO450" t="s">
        <v>5155</v>
      </c>
      <c r="AP450" t="s">
        <v>5156</v>
      </c>
      <c r="AQ450" t="s">
        <v>74</v>
      </c>
      <c r="AR450" t="s">
        <v>5157</v>
      </c>
      <c r="AS450" t="s">
        <v>5158</v>
      </c>
      <c r="AT450" t="s">
        <v>7235</v>
      </c>
      <c r="AU450">
        <v>2018</v>
      </c>
      <c r="AV450">
        <v>50</v>
      </c>
      <c r="AW450" t="s">
        <v>9178</v>
      </c>
      <c r="AX450" t="s">
        <v>74</v>
      </c>
      <c r="AY450" t="s">
        <v>74</v>
      </c>
      <c r="AZ450" t="s">
        <v>74</v>
      </c>
      <c r="BA450" t="s">
        <v>74</v>
      </c>
      <c r="BB450">
        <v>3081</v>
      </c>
      <c r="BC450">
        <v>3095</v>
      </c>
      <c r="BD450" t="s">
        <v>74</v>
      </c>
      <c r="BE450" t="s">
        <v>9179</v>
      </c>
      <c r="BF450" t="str">
        <f>HYPERLINK("http://dx.doi.org/10.1007/s00382-017-3795-6","http://dx.doi.org/10.1007/s00382-017-3795-6")</f>
        <v>http://dx.doi.org/10.1007/s00382-017-3795-6</v>
      </c>
      <c r="BG450" t="s">
        <v>74</v>
      </c>
      <c r="BH450" t="s">
        <v>74</v>
      </c>
      <c r="BI450">
        <v>15</v>
      </c>
      <c r="BJ450" t="s">
        <v>131</v>
      </c>
      <c r="BK450" t="s">
        <v>101</v>
      </c>
      <c r="BL450" t="s">
        <v>131</v>
      </c>
      <c r="BM450" t="s">
        <v>9180</v>
      </c>
      <c r="BN450" t="s">
        <v>74</v>
      </c>
      <c r="BO450" t="s">
        <v>74</v>
      </c>
      <c r="BP450" t="s">
        <v>74</v>
      </c>
      <c r="BQ450" t="s">
        <v>74</v>
      </c>
      <c r="BR450" t="s">
        <v>105</v>
      </c>
      <c r="BS450" t="s">
        <v>9181</v>
      </c>
      <c r="BT450" t="str">
        <f>HYPERLINK("https%3A%2F%2Fwww.webofscience.com%2Fwos%2Fwoscc%2Ffull-record%2FWOS:000428600200044","View Full Record in Web of Science")</f>
        <v>View Full Record in Web of Science</v>
      </c>
    </row>
    <row r="451" spans="1:72" x14ac:dyDescent="0.15">
      <c r="A451" t="s">
        <v>72</v>
      </c>
      <c r="B451" t="s">
        <v>9182</v>
      </c>
      <c r="C451" t="s">
        <v>74</v>
      </c>
      <c r="D451" t="s">
        <v>74</v>
      </c>
      <c r="E451" t="s">
        <v>74</v>
      </c>
      <c r="F451" t="s">
        <v>9183</v>
      </c>
      <c r="G451" t="s">
        <v>74</v>
      </c>
      <c r="H451" t="s">
        <v>74</v>
      </c>
      <c r="I451" t="s">
        <v>9184</v>
      </c>
      <c r="J451" t="s">
        <v>9185</v>
      </c>
      <c r="K451" t="s">
        <v>74</v>
      </c>
      <c r="L451" t="s">
        <v>74</v>
      </c>
      <c r="M451" t="s">
        <v>78</v>
      </c>
      <c r="N451" t="s">
        <v>79</v>
      </c>
      <c r="O451" t="s">
        <v>74</v>
      </c>
      <c r="P451" t="s">
        <v>74</v>
      </c>
      <c r="Q451" t="s">
        <v>74</v>
      </c>
      <c r="R451" t="s">
        <v>74</v>
      </c>
      <c r="S451" t="s">
        <v>74</v>
      </c>
      <c r="T451" t="s">
        <v>74</v>
      </c>
      <c r="U451" t="s">
        <v>9186</v>
      </c>
      <c r="V451" t="s">
        <v>9187</v>
      </c>
      <c r="W451" t="s">
        <v>9188</v>
      </c>
      <c r="X451" t="s">
        <v>9189</v>
      </c>
      <c r="Y451" t="s">
        <v>9190</v>
      </c>
      <c r="Z451" t="s">
        <v>9191</v>
      </c>
      <c r="AA451" t="s">
        <v>74</v>
      </c>
      <c r="AB451" t="s">
        <v>9192</v>
      </c>
      <c r="AC451" t="s">
        <v>9193</v>
      </c>
      <c r="AD451" t="s">
        <v>9194</v>
      </c>
      <c r="AE451" t="s">
        <v>9195</v>
      </c>
      <c r="AF451" t="s">
        <v>74</v>
      </c>
      <c r="AG451">
        <v>84</v>
      </c>
      <c r="AH451">
        <v>39</v>
      </c>
      <c r="AI451">
        <v>40</v>
      </c>
      <c r="AJ451">
        <v>0</v>
      </c>
      <c r="AK451">
        <v>38</v>
      </c>
      <c r="AL451" t="s">
        <v>179</v>
      </c>
      <c r="AM451" t="s">
        <v>180</v>
      </c>
      <c r="AN451" t="s">
        <v>181</v>
      </c>
      <c r="AO451" t="s">
        <v>9196</v>
      </c>
      <c r="AP451" t="s">
        <v>9197</v>
      </c>
      <c r="AQ451" t="s">
        <v>74</v>
      </c>
      <c r="AR451" t="s">
        <v>9185</v>
      </c>
      <c r="AS451" t="s">
        <v>9198</v>
      </c>
      <c r="AT451" t="s">
        <v>7235</v>
      </c>
      <c r="AU451">
        <v>2018</v>
      </c>
      <c r="AV451">
        <v>41</v>
      </c>
      <c r="AW451">
        <v>4</v>
      </c>
      <c r="AX451" t="s">
        <v>74</v>
      </c>
      <c r="AY451" t="s">
        <v>74</v>
      </c>
      <c r="AZ451" t="s">
        <v>74</v>
      </c>
      <c r="BA451" t="s">
        <v>74</v>
      </c>
      <c r="BB451">
        <v>579</v>
      </c>
      <c r="BC451">
        <v>591</v>
      </c>
      <c r="BD451" t="s">
        <v>74</v>
      </c>
      <c r="BE451" t="s">
        <v>9199</v>
      </c>
      <c r="BF451" t="str">
        <f>HYPERLINK("http://dx.doi.org/10.1111/ecog.03018","http://dx.doi.org/10.1111/ecog.03018")</f>
        <v>http://dx.doi.org/10.1111/ecog.03018</v>
      </c>
      <c r="BG451" t="s">
        <v>74</v>
      </c>
      <c r="BH451" t="s">
        <v>74</v>
      </c>
      <c r="BI451">
        <v>13</v>
      </c>
      <c r="BJ451" t="s">
        <v>100</v>
      </c>
      <c r="BK451" t="s">
        <v>101</v>
      </c>
      <c r="BL451" t="s">
        <v>102</v>
      </c>
      <c r="BM451" t="s">
        <v>9200</v>
      </c>
      <c r="BN451" t="s">
        <v>74</v>
      </c>
      <c r="BO451" t="s">
        <v>4167</v>
      </c>
      <c r="BP451" t="s">
        <v>74</v>
      </c>
      <c r="BQ451" t="s">
        <v>74</v>
      </c>
      <c r="BR451" t="s">
        <v>105</v>
      </c>
      <c r="BS451" t="s">
        <v>9201</v>
      </c>
      <c r="BT451" t="str">
        <f>HYPERLINK("https%3A%2F%2Fwww.webofscience.com%2Fwos%2Fwoscc%2Ffull-record%2FWOS:000428793500002","View Full Record in Web of Science")</f>
        <v>View Full Record in Web of Science</v>
      </c>
    </row>
    <row r="452" spans="1:72" x14ac:dyDescent="0.15">
      <c r="A452" t="s">
        <v>72</v>
      </c>
      <c r="B452" t="s">
        <v>9202</v>
      </c>
      <c r="C452" t="s">
        <v>74</v>
      </c>
      <c r="D452" t="s">
        <v>74</v>
      </c>
      <c r="E452" t="s">
        <v>74</v>
      </c>
      <c r="F452" t="s">
        <v>9203</v>
      </c>
      <c r="G452" t="s">
        <v>74</v>
      </c>
      <c r="H452" t="s">
        <v>74</v>
      </c>
      <c r="I452" t="s">
        <v>9204</v>
      </c>
      <c r="J452" t="s">
        <v>9205</v>
      </c>
      <c r="K452" t="s">
        <v>74</v>
      </c>
      <c r="L452" t="s">
        <v>74</v>
      </c>
      <c r="M452" t="s">
        <v>78</v>
      </c>
      <c r="N452" t="s">
        <v>79</v>
      </c>
      <c r="O452" t="s">
        <v>74</v>
      </c>
      <c r="P452" t="s">
        <v>74</v>
      </c>
      <c r="Q452" t="s">
        <v>74</v>
      </c>
      <c r="R452" t="s">
        <v>74</v>
      </c>
      <c r="S452" t="s">
        <v>74</v>
      </c>
      <c r="T452" t="s">
        <v>9206</v>
      </c>
      <c r="U452" t="s">
        <v>9207</v>
      </c>
      <c r="V452" t="s">
        <v>9208</v>
      </c>
      <c r="W452" t="s">
        <v>9209</v>
      </c>
      <c r="X452" t="s">
        <v>9210</v>
      </c>
      <c r="Y452" t="s">
        <v>9211</v>
      </c>
      <c r="Z452" t="s">
        <v>9212</v>
      </c>
      <c r="AA452" t="s">
        <v>9213</v>
      </c>
      <c r="AB452" t="s">
        <v>9214</v>
      </c>
      <c r="AC452" t="s">
        <v>9215</v>
      </c>
      <c r="AD452" t="s">
        <v>9216</v>
      </c>
      <c r="AE452" t="s">
        <v>9217</v>
      </c>
      <c r="AF452" t="s">
        <v>74</v>
      </c>
      <c r="AG452">
        <v>72</v>
      </c>
      <c r="AH452">
        <v>18</v>
      </c>
      <c r="AI452">
        <v>18</v>
      </c>
      <c r="AJ452">
        <v>0</v>
      </c>
      <c r="AK452">
        <v>6</v>
      </c>
      <c r="AL452" t="s">
        <v>1539</v>
      </c>
      <c r="AM452" t="s">
        <v>1540</v>
      </c>
      <c r="AN452" t="s">
        <v>1541</v>
      </c>
      <c r="AO452" t="s">
        <v>9218</v>
      </c>
      <c r="AP452" t="s">
        <v>9219</v>
      </c>
      <c r="AQ452" t="s">
        <v>74</v>
      </c>
      <c r="AR452" t="s">
        <v>9220</v>
      </c>
      <c r="AS452" t="s">
        <v>9221</v>
      </c>
      <c r="AT452" t="s">
        <v>7235</v>
      </c>
      <c r="AU452">
        <v>2018</v>
      </c>
      <c r="AV452">
        <v>75</v>
      </c>
      <c r="AW452" t="s">
        <v>74</v>
      </c>
      <c r="AX452" t="s">
        <v>74</v>
      </c>
      <c r="AY452" t="s">
        <v>74</v>
      </c>
      <c r="AZ452" t="s">
        <v>74</v>
      </c>
      <c r="BA452" t="s">
        <v>74</v>
      </c>
      <c r="BB452">
        <v>139</v>
      </c>
      <c r="BC452">
        <v>148</v>
      </c>
      <c r="BD452" t="s">
        <v>74</v>
      </c>
      <c r="BE452" t="s">
        <v>9222</v>
      </c>
      <c r="BF452" t="str">
        <f>HYPERLINK("http://dx.doi.org/10.1016/j.fsi.2018.01.012","http://dx.doi.org/10.1016/j.fsi.2018.01.012")</f>
        <v>http://dx.doi.org/10.1016/j.fsi.2018.01.012</v>
      </c>
      <c r="BG452" t="s">
        <v>74</v>
      </c>
      <c r="BH452" t="s">
        <v>74</v>
      </c>
      <c r="BI452">
        <v>10</v>
      </c>
      <c r="BJ452" t="s">
        <v>9223</v>
      </c>
      <c r="BK452" t="s">
        <v>101</v>
      </c>
      <c r="BL452" t="s">
        <v>9223</v>
      </c>
      <c r="BM452" t="s">
        <v>9224</v>
      </c>
      <c r="BN452">
        <v>29421586</v>
      </c>
      <c r="BO452" t="s">
        <v>74</v>
      </c>
      <c r="BP452" t="s">
        <v>74</v>
      </c>
      <c r="BQ452" t="s">
        <v>74</v>
      </c>
      <c r="BR452" t="s">
        <v>105</v>
      </c>
      <c r="BS452" t="s">
        <v>9225</v>
      </c>
      <c r="BT452" t="str">
        <f>HYPERLINK("https%3A%2F%2Fwww.webofscience.com%2Fwos%2Fwoscc%2Ffull-record%2FWOS:000428824900017","View Full Record in Web of Science")</f>
        <v>View Full Record in Web of Science</v>
      </c>
    </row>
    <row r="453" spans="1:72" x14ac:dyDescent="0.15">
      <c r="A453" t="s">
        <v>72</v>
      </c>
      <c r="B453" t="s">
        <v>9226</v>
      </c>
      <c r="C453" t="s">
        <v>74</v>
      </c>
      <c r="D453" t="s">
        <v>74</v>
      </c>
      <c r="E453" t="s">
        <v>74</v>
      </c>
      <c r="F453" t="s">
        <v>9227</v>
      </c>
      <c r="G453" t="s">
        <v>74</v>
      </c>
      <c r="H453" t="s">
        <v>74</v>
      </c>
      <c r="I453" t="s">
        <v>9228</v>
      </c>
      <c r="J453" t="s">
        <v>321</v>
      </c>
      <c r="K453" t="s">
        <v>74</v>
      </c>
      <c r="L453" t="s">
        <v>74</v>
      </c>
      <c r="M453" t="s">
        <v>78</v>
      </c>
      <c r="N453" t="s">
        <v>79</v>
      </c>
      <c r="O453" t="s">
        <v>74</v>
      </c>
      <c r="P453" t="s">
        <v>74</v>
      </c>
      <c r="Q453" t="s">
        <v>74</v>
      </c>
      <c r="R453" t="s">
        <v>74</v>
      </c>
      <c r="S453" t="s">
        <v>74</v>
      </c>
      <c r="T453" t="s">
        <v>74</v>
      </c>
      <c r="U453" t="s">
        <v>9229</v>
      </c>
      <c r="V453" t="s">
        <v>9230</v>
      </c>
      <c r="W453" t="s">
        <v>9231</v>
      </c>
      <c r="X453" t="s">
        <v>9232</v>
      </c>
      <c r="Y453" t="s">
        <v>9233</v>
      </c>
      <c r="Z453" t="s">
        <v>9234</v>
      </c>
      <c r="AA453" t="s">
        <v>9235</v>
      </c>
      <c r="AB453" t="s">
        <v>9236</v>
      </c>
      <c r="AC453" t="s">
        <v>9237</v>
      </c>
      <c r="AD453" t="s">
        <v>9238</v>
      </c>
      <c r="AE453" t="s">
        <v>9239</v>
      </c>
      <c r="AF453" t="s">
        <v>74</v>
      </c>
      <c r="AG453">
        <v>107</v>
      </c>
      <c r="AH453">
        <v>31</v>
      </c>
      <c r="AI453">
        <v>34</v>
      </c>
      <c r="AJ453">
        <v>2</v>
      </c>
      <c r="AK453">
        <v>19</v>
      </c>
      <c r="AL453" t="s">
        <v>277</v>
      </c>
      <c r="AM453" t="s">
        <v>278</v>
      </c>
      <c r="AN453" t="s">
        <v>279</v>
      </c>
      <c r="AO453" t="s">
        <v>333</v>
      </c>
      <c r="AP453" t="s">
        <v>74</v>
      </c>
      <c r="AQ453" t="s">
        <v>74</v>
      </c>
      <c r="AR453" t="s">
        <v>335</v>
      </c>
      <c r="AS453" t="s">
        <v>336</v>
      </c>
      <c r="AT453" t="s">
        <v>7424</v>
      </c>
      <c r="AU453">
        <v>2018</v>
      </c>
      <c r="AV453">
        <v>185</v>
      </c>
      <c r="AW453" t="s">
        <v>74</v>
      </c>
      <c r="AX453" t="s">
        <v>74</v>
      </c>
      <c r="AY453" t="s">
        <v>74</v>
      </c>
      <c r="AZ453" t="s">
        <v>74</v>
      </c>
      <c r="BA453" t="s">
        <v>74</v>
      </c>
      <c r="BB453">
        <v>9</v>
      </c>
      <c r="BC453">
        <v>26</v>
      </c>
      <c r="BD453" t="s">
        <v>74</v>
      </c>
      <c r="BE453" t="s">
        <v>9240</v>
      </c>
      <c r="BF453" t="str">
        <f>HYPERLINK("http://dx.doi.org/10.1016/j.quascirev.2018.01.013","http://dx.doi.org/10.1016/j.quascirev.2018.01.013")</f>
        <v>http://dx.doi.org/10.1016/j.quascirev.2018.01.013</v>
      </c>
      <c r="BG453" t="s">
        <v>74</v>
      </c>
      <c r="BH453" t="s">
        <v>74</v>
      </c>
      <c r="BI453">
        <v>18</v>
      </c>
      <c r="BJ453" t="s">
        <v>338</v>
      </c>
      <c r="BK453" t="s">
        <v>101</v>
      </c>
      <c r="BL453" t="s">
        <v>339</v>
      </c>
      <c r="BM453" t="s">
        <v>7816</v>
      </c>
      <c r="BN453" t="s">
        <v>74</v>
      </c>
      <c r="BO453" t="s">
        <v>288</v>
      </c>
      <c r="BP453" t="s">
        <v>74</v>
      </c>
      <c r="BQ453" t="s">
        <v>74</v>
      </c>
      <c r="BR453" t="s">
        <v>105</v>
      </c>
      <c r="BS453" t="s">
        <v>9241</v>
      </c>
      <c r="BT453" t="str">
        <f>HYPERLINK("https%3A%2F%2Fwww.webofscience.com%2Fwos%2Fwoscc%2Ffull-record%2FWOS:000428830400002","View Full Record in Web of Science")</f>
        <v>View Full Record in Web of Science</v>
      </c>
    </row>
    <row r="454" spans="1:72" x14ac:dyDescent="0.15">
      <c r="A454" t="s">
        <v>72</v>
      </c>
      <c r="B454" t="s">
        <v>9242</v>
      </c>
      <c r="C454" t="s">
        <v>74</v>
      </c>
      <c r="D454" t="s">
        <v>74</v>
      </c>
      <c r="E454" t="s">
        <v>74</v>
      </c>
      <c r="F454" t="s">
        <v>9243</v>
      </c>
      <c r="G454" t="s">
        <v>74</v>
      </c>
      <c r="H454" t="s">
        <v>74</v>
      </c>
      <c r="I454" t="s">
        <v>9244</v>
      </c>
      <c r="J454" t="s">
        <v>9245</v>
      </c>
      <c r="K454" t="s">
        <v>74</v>
      </c>
      <c r="L454" t="s">
        <v>74</v>
      </c>
      <c r="M454" t="s">
        <v>78</v>
      </c>
      <c r="N454" t="s">
        <v>79</v>
      </c>
      <c r="O454" t="s">
        <v>74</v>
      </c>
      <c r="P454" t="s">
        <v>74</v>
      </c>
      <c r="Q454" t="s">
        <v>74</v>
      </c>
      <c r="R454" t="s">
        <v>74</v>
      </c>
      <c r="S454" t="s">
        <v>74</v>
      </c>
      <c r="T454" t="s">
        <v>9246</v>
      </c>
      <c r="U454" t="s">
        <v>9247</v>
      </c>
      <c r="V454" t="s">
        <v>9248</v>
      </c>
      <c r="W454" t="s">
        <v>9249</v>
      </c>
      <c r="X454" t="s">
        <v>9250</v>
      </c>
      <c r="Y454" t="s">
        <v>9251</v>
      </c>
      <c r="Z454" t="s">
        <v>9252</v>
      </c>
      <c r="AA454" t="s">
        <v>9253</v>
      </c>
      <c r="AB454" t="s">
        <v>9254</v>
      </c>
      <c r="AC454" t="s">
        <v>9255</v>
      </c>
      <c r="AD454" t="s">
        <v>9256</v>
      </c>
      <c r="AE454" t="s">
        <v>9257</v>
      </c>
      <c r="AF454" t="s">
        <v>74</v>
      </c>
      <c r="AG454">
        <v>78</v>
      </c>
      <c r="AH454">
        <v>7</v>
      </c>
      <c r="AI454">
        <v>7</v>
      </c>
      <c r="AJ454">
        <v>0</v>
      </c>
      <c r="AK454">
        <v>4</v>
      </c>
      <c r="AL454" t="s">
        <v>91</v>
      </c>
      <c r="AM454" t="s">
        <v>1468</v>
      </c>
      <c r="AN454" t="s">
        <v>1469</v>
      </c>
      <c r="AO454" t="s">
        <v>9258</v>
      </c>
      <c r="AP454" t="s">
        <v>9259</v>
      </c>
      <c r="AQ454" t="s">
        <v>74</v>
      </c>
      <c r="AR454" t="s">
        <v>9260</v>
      </c>
      <c r="AS454" t="s">
        <v>9261</v>
      </c>
      <c r="AT454" t="s">
        <v>7235</v>
      </c>
      <c r="AU454">
        <v>2018</v>
      </c>
      <c r="AV454">
        <v>33</v>
      </c>
      <c r="AW454" t="s">
        <v>1474</v>
      </c>
      <c r="AX454" t="s">
        <v>74</v>
      </c>
      <c r="AY454" t="s">
        <v>74</v>
      </c>
      <c r="AZ454" t="s">
        <v>74</v>
      </c>
      <c r="BA454" t="s">
        <v>74</v>
      </c>
      <c r="BB454" t="s">
        <v>74</v>
      </c>
      <c r="BC454" t="s">
        <v>74</v>
      </c>
      <c r="BD454">
        <v>3</v>
      </c>
      <c r="BE454" t="s">
        <v>9262</v>
      </c>
      <c r="BF454" t="str">
        <f>HYPERLINK("http://dx.doi.org/10.1007/s10539-018-9613-7","http://dx.doi.org/10.1007/s10539-018-9613-7")</f>
        <v>http://dx.doi.org/10.1007/s10539-018-9613-7</v>
      </c>
      <c r="BG454" t="s">
        <v>74</v>
      </c>
      <c r="BH454" t="s">
        <v>74</v>
      </c>
      <c r="BI454">
        <v>24</v>
      </c>
      <c r="BJ454" t="s">
        <v>9263</v>
      </c>
      <c r="BK454" t="s">
        <v>9264</v>
      </c>
      <c r="BL454" t="s">
        <v>9265</v>
      </c>
      <c r="BM454" t="s">
        <v>9266</v>
      </c>
      <c r="BN454" t="s">
        <v>74</v>
      </c>
      <c r="BO454" t="s">
        <v>74</v>
      </c>
      <c r="BP454" t="s">
        <v>74</v>
      </c>
      <c r="BQ454" t="s">
        <v>74</v>
      </c>
      <c r="BR454" t="s">
        <v>105</v>
      </c>
      <c r="BS454" t="s">
        <v>9267</v>
      </c>
      <c r="BT454" t="str">
        <f>HYPERLINK("https%3A%2F%2Fwww.webofscience.com%2Fwos%2Fwoscc%2Ffull-record%2FWOS:000428691000004","View Full Record in Web of Science")</f>
        <v>View Full Record in Web of Science</v>
      </c>
    </row>
    <row r="455" spans="1:72" x14ac:dyDescent="0.15">
      <c r="A455" t="s">
        <v>72</v>
      </c>
      <c r="B455" t="s">
        <v>9268</v>
      </c>
      <c r="C455" t="s">
        <v>74</v>
      </c>
      <c r="D455" t="s">
        <v>74</v>
      </c>
      <c r="E455" t="s">
        <v>74</v>
      </c>
      <c r="F455" t="s">
        <v>9269</v>
      </c>
      <c r="G455" t="s">
        <v>74</v>
      </c>
      <c r="H455" t="s">
        <v>74</v>
      </c>
      <c r="I455" t="s">
        <v>9270</v>
      </c>
      <c r="J455" t="s">
        <v>5313</v>
      </c>
      <c r="K455" t="s">
        <v>74</v>
      </c>
      <c r="L455" t="s">
        <v>74</v>
      </c>
      <c r="M455" t="s">
        <v>78</v>
      </c>
      <c r="N455" t="s">
        <v>79</v>
      </c>
      <c r="O455" t="s">
        <v>74</v>
      </c>
      <c r="P455" t="s">
        <v>74</v>
      </c>
      <c r="Q455" t="s">
        <v>74</v>
      </c>
      <c r="R455" t="s">
        <v>74</v>
      </c>
      <c r="S455" t="s">
        <v>74</v>
      </c>
      <c r="T455" t="s">
        <v>9271</v>
      </c>
      <c r="U455" t="s">
        <v>9272</v>
      </c>
      <c r="V455" t="s">
        <v>9273</v>
      </c>
      <c r="W455" t="s">
        <v>9274</v>
      </c>
      <c r="X455" t="s">
        <v>9275</v>
      </c>
      <c r="Y455" t="s">
        <v>9276</v>
      </c>
      <c r="Z455" t="s">
        <v>9277</v>
      </c>
      <c r="AA455" t="s">
        <v>9278</v>
      </c>
      <c r="AB455" t="s">
        <v>9279</v>
      </c>
      <c r="AC455" t="s">
        <v>9280</v>
      </c>
      <c r="AD455" t="s">
        <v>9281</v>
      </c>
      <c r="AE455" t="s">
        <v>9282</v>
      </c>
      <c r="AF455" t="s">
        <v>74</v>
      </c>
      <c r="AG455">
        <v>82</v>
      </c>
      <c r="AH455">
        <v>13</v>
      </c>
      <c r="AI455">
        <v>13</v>
      </c>
      <c r="AJ455">
        <v>4</v>
      </c>
      <c r="AK455">
        <v>38</v>
      </c>
      <c r="AL455" t="s">
        <v>179</v>
      </c>
      <c r="AM455" t="s">
        <v>180</v>
      </c>
      <c r="AN455" t="s">
        <v>181</v>
      </c>
      <c r="AO455" t="s">
        <v>5321</v>
      </c>
      <c r="AP455" t="s">
        <v>5322</v>
      </c>
      <c r="AQ455" t="s">
        <v>74</v>
      </c>
      <c r="AR455" t="s">
        <v>5323</v>
      </c>
      <c r="AS455" t="s">
        <v>5324</v>
      </c>
      <c r="AT455" t="s">
        <v>7235</v>
      </c>
      <c r="AU455">
        <v>2018</v>
      </c>
      <c r="AV455">
        <v>45</v>
      </c>
      <c r="AW455">
        <v>4</v>
      </c>
      <c r="AX455" t="s">
        <v>74</v>
      </c>
      <c r="AY455" t="s">
        <v>74</v>
      </c>
      <c r="AZ455" t="s">
        <v>74</v>
      </c>
      <c r="BA455" t="s">
        <v>74</v>
      </c>
      <c r="BB455">
        <v>771</v>
      </c>
      <c r="BC455">
        <v>783</v>
      </c>
      <c r="BD455" t="s">
        <v>74</v>
      </c>
      <c r="BE455" t="s">
        <v>9283</v>
      </c>
      <c r="BF455" t="str">
        <f>HYPERLINK("http://dx.doi.org/10.1111/jbi.13157","http://dx.doi.org/10.1111/jbi.13157")</f>
        <v>http://dx.doi.org/10.1111/jbi.13157</v>
      </c>
      <c r="BG455" t="s">
        <v>74</v>
      </c>
      <c r="BH455" t="s">
        <v>74</v>
      </c>
      <c r="BI455">
        <v>13</v>
      </c>
      <c r="BJ455" t="s">
        <v>5049</v>
      </c>
      <c r="BK455" t="s">
        <v>101</v>
      </c>
      <c r="BL455" t="s">
        <v>1617</v>
      </c>
      <c r="BM455" t="s">
        <v>9284</v>
      </c>
      <c r="BN455" t="s">
        <v>74</v>
      </c>
      <c r="BO455" t="s">
        <v>74</v>
      </c>
      <c r="BP455" t="s">
        <v>74</v>
      </c>
      <c r="BQ455" t="s">
        <v>74</v>
      </c>
      <c r="BR455" t="s">
        <v>105</v>
      </c>
      <c r="BS455" t="s">
        <v>9285</v>
      </c>
      <c r="BT455" t="str">
        <f>HYPERLINK("https%3A%2F%2Fwww.webofscience.com%2Fwos%2Fwoscc%2Ffull-record%2FWOS:000428849000005","View Full Record in Web of Science")</f>
        <v>View Full Record in Web of Science</v>
      </c>
    </row>
    <row r="456" spans="1:72" x14ac:dyDescent="0.15">
      <c r="A456" t="s">
        <v>72</v>
      </c>
      <c r="B456" t="s">
        <v>9286</v>
      </c>
      <c r="C456" t="s">
        <v>74</v>
      </c>
      <c r="D456" t="s">
        <v>74</v>
      </c>
      <c r="E456" t="s">
        <v>74</v>
      </c>
      <c r="F456" t="s">
        <v>9287</v>
      </c>
      <c r="G456" t="s">
        <v>74</v>
      </c>
      <c r="H456" t="s">
        <v>74</v>
      </c>
      <c r="I456" t="s">
        <v>9288</v>
      </c>
      <c r="J456" t="s">
        <v>5313</v>
      </c>
      <c r="K456" t="s">
        <v>74</v>
      </c>
      <c r="L456" t="s">
        <v>74</v>
      </c>
      <c r="M456" t="s">
        <v>78</v>
      </c>
      <c r="N456" t="s">
        <v>79</v>
      </c>
      <c r="O456" t="s">
        <v>74</v>
      </c>
      <c r="P456" t="s">
        <v>74</v>
      </c>
      <c r="Q456" t="s">
        <v>74</v>
      </c>
      <c r="R456" t="s">
        <v>74</v>
      </c>
      <c r="S456" t="s">
        <v>74</v>
      </c>
      <c r="T456" t="s">
        <v>9289</v>
      </c>
      <c r="U456" t="s">
        <v>9290</v>
      </c>
      <c r="V456" t="s">
        <v>9291</v>
      </c>
      <c r="W456" t="s">
        <v>9292</v>
      </c>
      <c r="X456" t="s">
        <v>9293</v>
      </c>
      <c r="Y456" t="s">
        <v>9294</v>
      </c>
      <c r="Z456" t="s">
        <v>9295</v>
      </c>
      <c r="AA456" t="s">
        <v>9296</v>
      </c>
      <c r="AB456" t="s">
        <v>9297</v>
      </c>
      <c r="AC456" t="s">
        <v>9298</v>
      </c>
      <c r="AD456" t="s">
        <v>9299</v>
      </c>
      <c r="AE456" t="s">
        <v>9300</v>
      </c>
      <c r="AF456" t="s">
        <v>74</v>
      </c>
      <c r="AG456">
        <v>79</v>
      </c>
      <c r="AH456">
        <v>33</v>
      </c>
      <c r="AI456">
        <v>33</v>
      </c>
      <c r="AJ456">
        <v>0</v>
      </c>
      <c r="AK456">
        <v>37</v>
      </c>
      <c r="AL456" t="s">
        <v>179</v>
      </c>
      <c r="AM456" t="s">
        <v>180</v>
      </c>
      <c r="AN456" t="s">
        <v>181</v>
      </c>
      <c r="AO456" t="s">
        <v>5321</v>
      </c>
      <c r="AP456" t="s">
        <v>5322</v>
      </c>
      <c r="AQ456" t="s">
        <v>74</v>
      </c>
      <c r="AR456" t="s">
        <v>5323</v>
      </c>
      <c r="AS456" t="s">
        <v>5324</v>
      </c>
      <c r="AT456" t="s">
        <v>7235</v>
      </c>
      <c r="AU456">
        <v>2018</v>
      </c>
      <c r="AV456">
        <v>45</v>
      </c>
      <c r="AW456">
        <v>4</v>
      </c>
      <c r="AX456" t="s">
        <v>74</v>
      </c>
      <c r="AY456" t="s">
        <v>74</v>
      </c>
      <c r="AZ456" t="s">
        <v>74</v>
      </c>
      <c r="BA456" t="s">
        <v>74</v>
      </c>
      <c r="BB456">
        <v>874</v>
      </c>
      <c r="BC456">
        <v>884</v>
      </c>
      <c r="BD456" t="s">
        <v>74</v>
      </c>
      <c r="BE456" t="s">
        <v>9301</v>
      </c>
      <c r="BF456" t="str">
        <f>HYPERLINK("http://dx.doi.org/10.1111/jbi.13174","http://dx.doi.org/10.1111/jbi.13174")</f>
        <v>http://dx.doi.org/10.1111/jbi.13174</v>
      </c>
      <c r="BG456" t="s">
        <v>74</v>
      </c>
      <c r="BH456" t="s">
        <v>74</v>
      </c>
      <c r="BI456">
        <v>11</v>
      </c>
      <c r="BJ456" t="s">
        <v>5049</v>
      </c>
      <c r="BK456" t="s">
        <v>101</v>
      </c>
      <c r="BL456" t="s">
        <v>1617</v>
      </c>
      <c r="BM456" t="s">
        <v>9284</v>
      </c>
      <c r="BN456" t="s">
        <v>74</v>
      </c>
      <c r="BO456" t="s">
        <v>980</v>
      </c>
      <c r="BP456" t="s">
        <v>74</v>
      </c>
      <c r="BQ456" t="s">
        <v>74</v>
      </c>
      <c r="BR456" t="s">
        <v>105</v>
      </c>
      <c r="BS456" t="s">
        <v>9302</v>
      </c>
      <c r="BT456" t="str">
        <f>HYPERLINK("https%3A%2F%2Fwww.webofscience.com%2Fwos%2Fwoscc%2Ffull-record%2FWOS:000428849000014","View Full Record in Web of Science")</f>
        <v>View Full Record in Web of Science</v>
      </c>
    </row>
    <row r="457" spans="1:72" x14ac:dyDescent="0.15">
      <c r="A457" t="s">
        <v>72</v>
      </c>
      <c r="B457" t="s">
        <v>9303</v>
      </c>
      <c r="C457" t="s">
        <v>74</v>
      </c>
      <c r="D457" t="s">
        <v>74</v>
      </c>
      <c r="E457" t="s">
        <v>74</v>
      </c>
      <c r="F457" t="s">
        <v>9304</v>
      </c>
      <c r="G457" t="s">
        <v>74</v>
      </c>
      <c r="H457" t="s">
        <v>74</v>
      </c>
      <c r="I457" t="s">
        <v>9305</v>
      </c>
      <c r="J457" t="s">
        <v>9306</v>
      </c>
      <c r="K457" t="s">
        <v>74</v>
      </c>
      <c r="L457" t="s">
        <v>74</v>
      </c>
      <c r="M457" t="s">
        <v>78</v>
      </c>
      <c r="N457" t="s">
        <v>79</v>
      </c>
      <c r="O457" t="s">
        <v>74</v>
      </c>
      <c r="P457" t="s">
        <v>74</v>
      </c>
      <c r="Q457" t="s">
        <v>74</v>
      </c>
      <c r="R457" t="s">
        <v>74</v>
      </c>
      <c r="S457" t="s">
        <v>74</v>
      </c>
      <c r="T457" t="s">
        <v>74</v>
      </c>
      <c r="U457" t="s">
        <v>74</v>
      </c>
      <c r="V457" t="s">
        <v>74</v>
      </c>
      <c r="W457" t="s">
        <v>9307</v>
      </c>
      <c r="X457" t="s">
        <v>3455</v>
      </c>
      <c r="Y457" t="s">
        <v>9308</v>
      </c>
      <c r="Z457" t="s">
        <v>74</v>
      </c>
      <c r="AA457" t="s">
        <v>74</v>
      </c>
      <c r="AB457" t="s">
        <v>74</v>
      </c>
      <c r="AC457" t="s">
        <v>74</v>
      </c>
      <c r="AD457" t="s">
        <v>74</v>
      </c>
      <c r="AE457" t="s">
        <v>74</v>
      </c>
      <c r="AF457" t="s">
        <v>74</v>
      </c>
      <c r="AG457">
        <v>0</v>
      </c>
      <c r="AH457">
        <v>0</v>
      </c>
      <c r="AI457">
        <v>0</v>
      </c>
      <c r="AJ457">
        <v>0</v>
      </c>
      <c r="AK457">
        <v>4</v>
      </c>
      <c r="AL457" t="s">
        <v>9309</v>
      </c>
      <c r="AM457" t="s">
        <v>92</v>
      </c>
      <c r="AN457" t="s">
        <v>9310</v>
      </c>
      <c r="AO457" t="s">
        <v>9311</v>
      </c>
      <c r="AP457" t="s">
        <v>74</v>
      </c>
      <c r="AQ457" t="s">
        <v>74</v>
      </c>
      <c r="AR457" t="s">
        <v>9312</v>
      </c>
      <c r="AS457" t="s">
        <v>9313</v>
      </c>
      <c r="AT457" t="s">
        <v>7235</v>
      </c>
      <c r="AU457">
        <v>2018</v>
      </c>
      <c r="AV457">
        <v>126</v>
      </c>
      <c r="AW457">
        <v>4</v>
      </c>
      <c r="AX457" t="s">
        <v>74</v>
      </c>
      <c r="AY457" t="s">
        <v>74</v>
      </c>
      <c r="AZ457" t="s">
        <v>74</v>
      </c>
      <c r="BA457" t="s">
        <v>74</v>
      </c>
      <c r="BB457">
        <v>28</v>
      </c>
      <c r="BC457">
        <v>33</v>
      </c>
      <c r="BD457" t="s">
        <v>74</v>
      </c>
      <c r="BE457" t="s">
        <v>74</v>
      </c>
      <c r="BF457" t="s">
        <v>74</v>
      </c>
      <c r="BG457" t="s">
        <v>74</v>
      </c>
      <c r="BH457" t="s">
        <v>74</v>
      </c>
      <c r="BI457">
        <v>6</v>
      </c>
      <c r="BJ457" t="s">
        <v>100</v>
      </c>
      <c r="BK457" t="s">
        <v>101</v>
      </c>
      <c r="BL457" t="s">
        <v>102</v>
      </c>
      <c r="BM457" t="s">
        <v>9314</v>
      </c>
      <c r="BN457" t="s">
        <v>74</v>
      </c>
      <c r="BO457" t="s">
        <v>74</v>
      </c>
      <c r="BP457" t="s">
        <v>74</v>
      </c>
      <c r="BQ457" t="s">
        <v>74</v>
      </c>
      <c r="BR457" t="s">
        <v>105</v>
      </c>
      <c r="BS457" t="s">
        <v>9315</v>
      </c>
      <c r="BT457" t="str">
        <f>HYPERLINK("https%3A%2F%2Fwww.webofscience.com%2Fwos%2Fwoscc%2Ffull-record%2FWOS:000428228000016","View Full Record in Web of Science")</f>
        <v>View Full Record in Web of Science</v>
      </c>
    </row>
    <row r="458" spans="1:72" x14ac:dyDescent="0.15">
      <c r="A458" t="s">
        <v>72</v>
      </c>
      <c r="B458" t="s">
        <v>9316</v>
      </c>
      <c r="C458" t="s">
        <v>74</v>
      </c>
      <c r="D458" t="s">
        <v>74</v>
      </c>
      <c r="E458" t="s">
        <v>74</v>
      </c>
      <c r="F458" t="s">
        <v>9317</v>
      </c>
      <c r="G458" t="s">
        <v>74</v>
      </c>
      <c r="H458" t="s">
        <v>74</v>
      </c>
      <c r="I458" t="s">
        <v>9318</v>
      </c>
      <c r="J458" t="s">
        <v>77</v>
      </c>
      <c r="K458" t="s">
        <v>74</v>
      </c>
      <c r="L458" t="s">
        <v>74</v>
      </c>
      <c r="M458" t="s">
        <v>78</v>
      </c>
      <c r="N458" t="s">
        <v>79</v>
      </c>
      <c r="O458" t="s">
        <v>74</v>
      </c>
      <c r="P458" t="s">
        <v>74</v>
      </c>
      <c r="Q458" t="s">
        <v>74</v>
      </c>
      <c r="R458" t="s">
        <v>74</v>
      </c>
      <c r="S458" t="s">
        <v>74</v>
      </c>
      <c r="T458" t="s">
        <v>9319</v>
      </c>
      <c r="U458" t="s">
        <v>9320</v>
      </c>
      <c r="V458" t="s">
        <v>9321</v>
      </c>
      <c r="W458" t="s">
        <v>9322</v>
      </c>
      <c r="X458" t="s">
        <v>9323</v>
      </c>
      <c r="Y458" t="s">
        <v>9324</v>
      </c>
      <c r="Z458" t="s">
        <v>9325</v>
      </c>
      <c r="AA458" t="s">
        <v>9326</v>
      </c>
      <c r="AB458" t="s">
        <v>9327</v>
      </c>
      <c r="AC458" t="s">
        <v>9328</v>
      </c>
      <c r="AD458" t="s">
        <v>9329</v>
      </c>
      <c r="AE458" t="s">
        <v>9330</v>
      </c>
      <c r="AF458" t="s">
        <v>74</v>
      </c>
      <c r="AG458">
        <v>58</v>
      </c>
      <c r="AH458">
        <v>31</v>
      </c>
      <c r="AI458">
        <v>32</v>
      </c>
      <c r="AJ458">
        <v>0</v>
      </c>
      <c r="AK458">
        <v>22</v>
      </c>
      <c r="AL458" t="s">
        <v>91</v>
      </c>
      <c r="AM458" t="s">
        <v>92</v>
      </c>
      <c r="AN458" t="s">
        <v>93</v>
      </c>
      <c r="AO458" t="s">
        <v>94</v>
      </c>
      <c r="AP458" t="s">
        <v>95</v>
      </c>
      <c r="AQ458" t="s">
        <v>74</v>
      </c>
      <c r="AR458" t="s">
        <v>96</v>
      </c>
      <c r="AS458" t="s">
        <v>97</v>
      </c>
      <c r="AT458" t="s">
        <v>7235</v>
      </c>
      <c r="AU458">
        <v>2018</v>
      </c>
      <c r="AV458">
        <v>41</v>
      </c>
      <c r="AW458">
        <v>4</v>
      </c>
      <c r="AX458" t="s">
        <v>74</v>
      </c>
      <c r="AY458" t="s">
        <v>74</v>
      </c>
      <c r="AZ458" t="s">
        <v>74</v>
      </c>
      <c r="BA458" t="s">
        <v>74</v>
      </c>
      <c r="BB458">
        <v>599</v>
      </c>
      <c r="BC458">
        <v>610</v>
      </c>
      <c r="BD458" t="s">
        <v>74</v>
      </c>
      <c r="BE458" t="s">
        <v>9331</v>
      </c>
      <c r="BF458" t="str">
        <f>HYPERLINK("http://dx.doi.org/10.1007/s00300-017-2221-1","http://dx.doi.org/10.1007/s00300-017-2221-1")</f>
        <v>http://dx.doi.org/10.1007/s00300-017-2221-1</v>
      </c>
      <c r="BG458" t="s">
        <v>74</v>
      </c>
      <c r="BH458" t="s">
        <v>74</v>
      </c>
      <c r="BI458">
        <v>12</v>
      </c>
      <c r="BJ458" t="s">
        <v>100</v>
      </c>
      <c r="BK458" t="s">
        <v>101</v>
      </c>
      <c r="BL458" t="s">
        <v>102</v>
      </c>
      <c r="BM458" t="s">
        <v>7782</v>
      </c>
      <c r="BN458" t="s">
        <v>74</v>
      </c>
      <c r="BO458" t="s">
        <v>8310</v>
      </c>
      <c r="BP458" t="s">
        <v>74</v>
      </c>
      <c r="BQ458" t="s">
        <v>74</v>
      </c>
      <c r="BR458" t="s">
        <v>105</v>
      </c>
      <c r="BS458" t="s">
        <v>9332</v>
      </c>
      <c r="BT458" t="str">
        <f>HYPERLINK("https%3A%2F%2Fwww.webofscience.com%2Fwos%2Fwoscc%2Ffull-record%2FWOS:000428603800001","View Full Record in Web of Science")</f>
        <v>View Full Record in Web of Science</v>
      </c>
    </row>
    <row r="459" spans="1:72" x14ac:dyDescent="0.15">
      <c r="A459" t="s">
        <v>72</v>
      </c>
      <c r="B459" t="s">
        <v>9333</v>
      </c>
      <c r="C459" t="s">
        <v>74</v>
      </c>
      <c r="D459" t="s">
        <v>74</v>
      </c>
      <c r="E459" t="s">
        <v>74</v>
      </c>
      <c r="F459" t="s">
        <v>9334</v>
      </c>
      <c r="G459" t="s">
        <v>74</v>
      </c>
      <c r="H459" t="s">
        <v>74</v>
      </c>
      <c r="I459" t="s">
        <v>9335</v>
      </c>
      <c r="J459" t="s">
        <v>77</v>
      </c>
      <c r="K459" t="s">
        <v>74</v>
      </c>
      <c r="L459" t="s">
        <v>74</v>
      </c>
      <c r="M459" t="s">
        <v>78</v>
      </c>
      <c r="N459" t="s">
        <v>79</v>
      </c>
      <c r="O459" t="s">
        <v>74</v>
      </c>
      <c r="P459" t="s">
        <v>74</v>
      </c>
      <c r="Q459" t="s">
        <v>74</v>
      </c>
      <c r="R459" t="s">
        <v>74</v>
      </c>
      <c r="S459" t="s">
        <v>74</v>
      </c>
      <c r="T459" t="s">
        <v>9336</v>
      </c>
      <c r="U459" t="s">
        <v>9337</v>
      </c>
      <c r="V459" t="s">
        <v>9338</v>
      </c>
      <c r="W459" t="s">
        <v>9339</v>
      </c>
      <c r="X459" t="s">
        <v>9340</v>
      </c>
      <c r="Y459" t="s">
        <v>9341</v>
      </c>
      <c r="Z459" t="s">
        <v>9342</v>
      </c>
      <c r="AA459" t="s">
        <v>74</v>
      </c>
      <c r="AB459" t="s">
        <v>74</v>
      </c>
      <c r="AC459" t="s">
        <v>9343</v>
      </c>
      <c r="AD459" t="s">
        <v>9344</v>
      </c>
      <c r="AE459" t="s">
        <v>9345</v>
      </c>
      <c r="AF459" t="s">
        <v>74</v>
      </c>
      <c r="AG459">
        <v>48</v>
      </c>
      <c r="AH459">
        <v>3</v>
      </c>
      <c r="AI459">
        <v>3</v>
      </c>
      <c r="AJ459">
        <v>1</v>
      </c>
      <c r="AK459">
        <v>10</v>
      </c>
      <c r="AL459" t="s">
        <v>91</v>
      </c>
      <c r="AM459" t="s">
        <v>92</v>
      </c>
      <c r="AN459" t="s">
        <v>93</v>
      </c>
      <c r="AO459" t="s">
        <v>94</v>
      </c>
      <c r="AP459" t="s">
        <v>95</v>
      </c>
      <c r="AQ459" t="s">
        <v>74</v>
      </c>
      <c r="AR459" t="s">
        <v>96</v>
      </c>
      <c r="AS459" t="s">
        <v>97</v>
      </c>
      <c r="AT459" t="s">
        <v>7235</v>
      </c>
      <c r="AU459">
        <v>2018</v>
      </c>
      <c r="AV459">
        <v>41</v>
      </c>
      <c r="AW459">
        <v>4</v>
      </c>
      <c r="AX459" t="s">
        <v>74</v>
      </c>
      <c r="AY459" t="s">
        <v>74</v>
      </c>
      <c r="AZ459" t="s">
        <v>74</v>
      </c>
      <c r="BA459" t="s">
        <v>74</v>
      </c>
      <c r="BB459">
        <v>611</v>
      </c>
      <c r="BC459">
        <v>617</v>
      </c>
      <c r="BD459" t="s">
        <v>74</v>
      </c>
      <c r="BE459" t="s">
        <v>9346</v>
      </c>
      <c r="BF459" t="str">
        <f>HYPERLINK("http://dx.doi.org/10.1007/s00300-017-2222-0","http://dx.doi.org/10.1007/s00300-017-2222-0")</f>
        <v>http://dx.doi.org/10.1007/s00300-017-2222-0</v>
      </c>
      <c r="BG459" t="s">
        <v>74</v>
      </c>
      <c r="BH459" t="s">
        <v>74</v>
      </c>
      <c r="BI459">
        <v>7</v>
      </c>
      <c r="BJ459" t="s">
        <v>100</v>
      </c>
      <c r="BK459" t="s">
        <v>101</v>
      </c>
      <c r="BL459" t="s">
        <v>102</v>
      </c>
      <c r="BM459" t="s">
        <v>7782</v>
      </c>
      <c r="BN459" t="s">
        <v>74</v>
      </c>
      <c r="BO459" t="s">
        <v>74</v>
      </c>
      <c r="BP459" t="s">
        <v>74</v>
      </c>
      <c r="BQ459" t="s">
        <v>74</v>
      </c>
      <c r="BR459" t="s">
        <v>105</v>
      </c>
      <c r="BS459" t="s">
        <v>9347</v>
      </c>
      <c r="BT459" t="str">
        <f>HYPERLINK("https%3A%2F%2Fwww.webofscience.com%2Fwos%2Fwoscc%2Ffull-record%2FWOS:000428603800002","View Full Record in Web of Science")</f>
        <v>View Full Record in Web of Science</v>
      </c>
    </row>
    <row r="460" spans="1:72" x14ac:dyDescent="0.15">
      <c r="A460" t="s">
        <v>72</v>
      </c>
      <c r="B460" t="s">
        <v>9348</v>
      </c>
      <c r="C460" t="s">
        <v>74</v>
      </c>
      <c r="D460" t="s">
        <v>74</v>
      </c>
      <c r="E460" t="s">
        <v>74</v>
      </c>
      <c r="F460" t="s">
        <v>9349</v>
      </c>
      <c r="G460" t="s">
        <v>74</v>
      </c>
      <c r="H460" t="s">
        <v>74</v>
      </c>
      <c r="I460" t="s">
        <v>9350</v>
      </c>
      <c r="J460" t="s">
        <v>77</v>
      </c>
      <c r="K460" t="s">
        <v>74</v>
      </c>
      <c r="L460" t="s">
        <v>74</v>
      </c>
      <c r="M460" t="s">
        <v>78</v>
      </c>
      <c r="N460" t="s">
        <v>79</v>
      </c>
      <c r="O460" t="s">
        <v>74</v>
      </c>
      <c r="P460" t="s">
        <v>74</v>
      </c>
      <c r="Q460" t="s">
        <v>74</v>
      </c>
      <c r="R460" t="s">
        <v>74</v>
      </c>
      <c r="S460" t="s">
        <v>74</v>
      </c>
      <c r="T460" t="s">
        <v>9351</v>
      </c>
      <c r="U460" t="s">
        <v>9352</v>
      </c>
      <c r="V460" t="s">
        <v>9353</v>
      </c>
      <c r="W460" t="s">
        <v>9354</v>
      </c>
      <c r="X460" t="s">
        <v>9355</v>
      </c>
      <c r="Y460" t="s">
        <v>9356</v>
      </c>
      <c r="Z460" t="s">
        <v>9357</v>
      </c>
      <c r="AA460" t="s">
        <v>9358</v>
      </c>
      <c r="AB460" t="s">
        <v>9359</v>
      </c>
      <c r="AC460" t="s">
        <v>9360</v>
      </c>
      <c r="AD460" t="s">
        <v>9360</v>
      </c>
      <c r="AE460" t="s">
        <v>9361</v>
      </c>
      <c r="AF460" t="s">
        <v>74</v>
      </c>
      <c r="AG460">
        <v>61</v>
      </c>
      <c r="AH460">
        <v>16</v>
      </c>
      <c r="AI460">
        <v>17</v>
      </c>
      <c r="AJ460">
        <v>1</v>
      </c>
      <c r="AK460">
        <v>30</v>
      </c>
      <c r="AL460" t="s">
        <v>91</v>
      </c>
      <c r="AM460" t="s">
        <v>92</v>
      </c>
      <c r="AN460" t="s">
        <v>93</v>
      </c>
      <c r="AO460" t="s">
        <v>94</v>
      </c>
      <c r="AP460" t="s">
        <v>95</v>
      </c>
      <c r="AQ460" t="s">
        <v>74</v>
      </c>
      <c r="AR460" t="s">
        <v>96</v>
      </c>
      <c r="AS460" t="s">
        <v>97</v>
      </c>
      <c r="AT460" t="s">
        <v>7235</v>
      </c>
      <c r="AU460">
        <v>2018</v>
      </c>
      <c r="AV460">
        <v>41</v>
      </c>
      <c r="AW460">
        <v>4</v>
      </c>
      <c r="AX460" t="s">
        <v>74</v>
      </c>
      <c r="AY460" t="s">
        <v>74</v>
      </c>
      <c r="AZ460" t="s">
        <v>74</v>
      </c>
      <c r="BA460" t="s">
        <v>74</v>
      </c>
      <c r="BB460">
        <v>653</v>
      </c>
      <c r="BC460">
        <v>662</v>
      </c>
      <c r="BD460" t="s">
        <v>74</v>
      </c>
      <c r="BE460" t="s">
        <v>9362</v>
      </c>
      <c r="BF460" t="str">
        <f>HYPERLINK("http://dx.doi.org/10.1007/s00300-017-2226-9","http://dx.doi.org/10.1007/s00300-017-2226-9")</f>
        <v>http://dx.doi.org/10.1007/s00300-017-2226-9</v>
      </c>
      <c r="BG460" t="s">
        <v>74</v>
      </c>
      <c r="BH460" t="s">
        <v>74</v>
      </c>
      <c r="BI460">
        <v>10</v>
      </c>
      <c r="BJ460" t="s">
        <v>100</v>
      </c>
      <c r="BK460" t="s">
        <v>101</v>
      </c>
      <c r="BL460" t="s">
        <v>102</v>
      </c>
      <c r="BM460" t="s">
        <v>7782</v>
      </c>
      <c r="BN460" t="s">
        <v>74</v>
      </c>
      <c r="BO460" t="s">
        <v>74</v>
      </c>
      <c r="BP460" t="s">
        <v>74</v>
      </c>
      <c r="BQ460" t="s">
        <v>74</v>
      </c>
      <c r="BR460" t="s">
        <v>105</v>
      </c>
      <c r="BS460" t="s">
        <v>9363</v>
      </c>
      <c r="BT460" t="str">
        <f>HYPERLINK("https%3A%2F%2Fwww.webofscience.com%2Fwos%2Fwoscc%2Ffull-record%2FWOS:000428603800006","View Full Record in Web of Science")</f>
        <v>View Full Record in Web of Science</v>
      </c>
    </row>
    <row r="461" spans="1:72" x14ac:dyDescent="0.15">
      <c r="A461" t="s">
        <v>72</v>
      </c>
      <c r="B461" t="s">
        <v>9364</v>
      </c>
      <c r="C461" t="s">
        <v>74</v>
      </c>
      <c r="D461" t="s">
        <v>74</v>
      </c>
      <c r="E461" t="s">
        <v>74</v>
      </c>
      <c r="F461" t="s">
        <v>9365</v>
      </c>
      <c r="G461" t="s">
        <v>74</v>
      </c>
      <c r="H461" t="s">
        <v>74</v>
      </c>
      <c r="I461" t="s">
        <v>9366</v>
      </c>
      <c r="J461" t="s">
        <v>77</v>
      </c>
      <c r="K461" t="s">
        <v>74</v>
      </c>
      <c r="L461" t="s">
        <v>74</v>
      </c>
      <c r="M461" t="s">
        <v>78</v>
      </c>
      <c r="N461" t="s">
        <v>79</v>
      </c>
      <c r="O461" t="s">
        <v>74</v>
      </c>
      <c r="P461" t="s">
        <v>74</v>
      </c>
      <c r="Q461" t="s">
        <v>74</v>
      </c>
      <c r="R461" t="s">
        <v>74</v>
      </c>
      <c r="S461" t="s">
        <v>74</v>
      </c>
      <c r="T461" t="s">
        <v>9367</v>
      </c>
      <c r="U461" t="s">
        <v>9368</v>
      </c>
      <c r="V461" t="s">
        <v>9369</v>
      </c>
      <c r="W461" t="s">
        <v>9370</v>
      </c>
      <c r="X461" t="s">
        <v>9371</v>
      </c>
      <c r="Y461" t="s">
        <v>9372</v>
      </c>
      <c r="Z461" t="s">
        <v>9373</v>
      </c>
      <c r="AA461" t="s">
        <v>74</v>
      </c>
      <c r="AB461" t="s">
        <v>9374</v>
      </c>
      <c r="AC461" t="s">
        <v>9375</v>
      </c>
      <c r="AD461" t="s">
        <v>9376</v>
      </c>
      <c r="AE461" t="s">
        <v>9377</v>
      </c>
      <c r="AF461" t="s">
        <v>74</v>
      </c>
      <c r="AG461">
        <v>93</v>
      </c>
      <c r="AH461">
        <v>4</v>
      </c>
      <c r="AI461">
        <v>4</v>
      </c>
      <c r="AJ461">
        <v>0</v>
      </c>
      <c r="AK461">
        <v>9</v>
      </c>
      <c r="AL461" t="s">
        <v>91</v>
      </c>
      <c r="AM461" t="s">
        <v>92</v>
      </c>
      <c r="AN461" t="s">
        <v>93</v>
      </c>
      <c r="AO461" t="s">
        <v>94</v>
      </c>
      <c r="AP461" t="s">
        <v>95</v>
      </c>
      <c r="AQ461" t="s">
        <v>74</v>
      </c>
      <c r="AR461" t="s">
        <v>96</v>
      </c>
      <c r="AS461" t="s">
        <v>97</v>
      </c>
      <c r="AT461" t="s">
        <v>7235</v>
      </c>
      <c r="AU461">
        <v>2018</v>
      </c>
      <c r="AV461">
        <v>41</v>
      </c>
      <c r="AW461">
        <v>4</v>
      </c>
      <c r="AX461" t="s">
        <v>74</v>
      </c>
      <c r="AY461" t="s">
        <v>74</v>
      </c>
      <c r="AZ461" t="s">
        <v>74</v>
      </c>
      <c r="BA461" t="s">
        <v>74</v>
      </c>
      <c r="BB461">
        <v>663</v>
      </c>
      <c r="BC461">
        <v>678</v>
      </c>
      <c r="BD461" t="s">
        <v>74</v>
      </c>
      <c r="BE461" t="s">
        <v>9378</v>
      </c>
      <c r="BF461" t="str">
        <f>HYPERLINK("http://dx.doi.org/10.1007/s00300-017-2227-8","http://dx.doi.org/10.1007/s00300-017-2227-8")</f>
        <v>http://dx.doi.org/10.1007/s00300-017-2227-8</v>
      </c>
      <c r="BG461" t="s">
        <v>74</v>
      </c>
      <c r="BH461" t="s">
        <v>74</v>
      </c>
      <c r="BI461">
        <v>16</v>
      </c>
      <c r="BJ461" t="s">
        <v>100</v>
      </c>
      <c r="BK461" t="s">
        <v>101</v>
      </c>
      <c r="BL461" t="s">
        <v>102</v>
      </c>
      <c r="BM461" t="s">
        <v>7782</v>
      </c>
      <c r="BN461" t="s">
        <v>74</v>
      </c>
      <c r="BO461" t="s">
        <v>980</v>
      </c>
      <c r="BP461" t="s">
        <v>74</v>
      </c>
      <c r="BQ461" t="s">
        <v>74</v>
      </c>
      <c r="BR461" t="s">
        <v>105</v>
      </c>
      <c r="BS461" t="s">
        <v>9379</v>
      </c>
      <c r="BT461" t="str">
        <f>HYPERLINK("https%3A%2F%2Fwww.webofscience.com%2Fwos%2Fwoscc%2Ffull-record%2FWOS:000428603800007","View Full Record in Web of Science")</f>
        <v>View Full Record in Web of Science</v>
      </c>
    </row>
    <row r="462" spans="1:72" x14ac:dyDescent="0.15">
      <c r="A462" t="s">
        <v>72</v>
      </c>
      <c r="B462" t="s">
        <v>9380</v>
      </c>
      <c r="C462" t="s">
        <v>74</v>
      </c>
      <c r="D462" t="s">
        <v>74</v>
      </c>
      <c r="E462" t="s">
        <v>74</v>
      </c>
      <c r="F462" t="s">
        <v>9381</v>
      </c>
      <c r="G462" t="s">
        <v>74</v>
      </c>
      <c r="H462" t="s">
        <v>74</v>
      </c>
      <c r="I462" t="s">
        <v>9382</v>
      </c>
      <c r="J462" t="s">
        <v>77</v>
      </c>
      <c r="K462" t="s">
        <v>74</v>
      </c>
      <c r="L462" t="s">
        <v>74</v>
      </c>
      <c r="M462" t="s">
        <v>78</v>
      </c>
      <c r="N462" t="s">
        <v>79</v>
      </c>
      <c r="O462" t="s">
        <v>74</v>
      </c>
      <c r="P462" t="s">
        <v>74</v>
      </c>
      <c r="Q462" t="s">
        <v>74</v>
      </c>
      <c r="R462" t="s">
        <v>74</v>
      </c>
      <c r="S462" t="s">
        <v>74</v>
      </c>
      <c r="T462" t="s">
        <v>9383</v>
      </c>
      <c r="U462" t="s">
        <v>9384</v>
      </c>
      <c r="V462" t="s">
        <v>9385</v>
      </c>
      <c r="W462" t="s">
        <v>9386</v>
      </c>
      <c r="X462" t="s">
        <v>9387</v>
      </c>
      <c r="Y462" t="s">
        <v>9388</v>
      </c>
      <c r="Z462" t="s">
        <v>9389</v>
      </c>
      <c r="AA462" t="s">
        <v>9390</v>
      </c>
      <c r="AB462" t="s">
        <v>9391</v>
      </c>
      <c r="AC462" t="s">
        <v>9392</v>
      </c>
      <c r="AD462" t="s">
        <v>9393</v>
      </c>
      <c r="AE462" t="s">
        <v>9394</v>
      </c>
      <c r="AF462" t="s">
        <v>74</v>
      </c>
      <c r="AG462">
        <v>86</v>
      </c>
      <c r="AH462">
        <v>23</v>
      </c>
      <c r="AI462">
        <v>27</v>
      </c>
      <c r="AJ462">
        <v>1</v>
      </c>
      <c r="AK462">
        <v>48</v>
      </c>
      <c r="AL462" t="s">
        <v>91</v>
      </c>
      <c r="AM462" t="s">
        <v>92</v>
      </c>
      <c r="AN462" t="s">
        <v>93</v>
      </c>
      <c r="AO462" t="s">
        <v>94</v>
      </c>
      <c r="AP462" t="s">
        <v>95</v>
      </c>
      <c r="AQ462" t="s">
        <v>74</v>
      </c>
      <c r="AR462" t="s">
        <v>96</v>
      </c>
      <c r="AS462" t="s">
        <v>97</v>
      </c>
      <c r="AT462" t="s">
        <v>7235</v>
      </c>
      <c r="AU462">
        <v>2018</v>
      </c>
      <c r="AV462">
        <v>41</v>
      </c>
      <c r="AW462">
        <v>4</v>
      </c>
      <c r="AX462" t="s">
        <v>74</v>
      </c>
      <c r="AY462" t="s">
        <v>74</v>
      </c>
      <c r="AZ462" t="s">
        <v>74</v>
      </c>
      <c r="BA462" t="s">
        <v>74</v>
      </c>
      <c r="BB462">
        <v>679</v>
      </c>
      <c r="BC462">
        <v>696</v>
      </c>
      <c r="BD462" t="s">
        <v>74</v>
      </c>
      <c r="BE462" t="s">
        <v>9395</v>
      </c>
      <c r="BF462" t="str">
        <f>HYPERLINK("http://dx.doi.org/10.1007/s00300-017-2228-7","http://dx.doi.org/10.1007/s00300-017-2228-7")</f>
        <v>http://dx.doi.org/10.1007/s00300-017-2228-7</v>
      </c>
      <c r="BG462" t="s">
        <v>74</v>
      </c>
      <c r="BH462" t="s">
        <v>74</v>
      </c>
      <c r="BI462">
        <v>18</v>
      </c>
      <c r="BJ462" t="s">
        <v>100</v>
      </c>
      <c r="BK462" t="s">
        <v>101</v>
      </c>
      <c r="BL462" t="s">
        <v>102</v>
      </c>
      <c r="BM462" t="s">
        <v>7782</v>
      </c>
      <c r="BN462" t="s">
        <v>74</v>
      </c>
      <c r="BO462" t="s">
        <v>980</v>
      </c>
      <c r="BP462" t="s">
        <v>74</v>
      </c>
      <c r="BQ462" t="s">
        <v>74</v>
      </c>
      <c r="BR462" t="s">
        <v>105</v>
      </c>
      <c r="BS462" t="s">
        <v>9396</v>
      </c>
      <c r="BT462" t="str">
        <f>HYPERLINK("https%3A%2F%2Fwww.webofscience.com%2Fwos%2Fwoscc%2Ffull-record%2FWOS:000428603800008","View Full Record in Web of Science")</f>
        <v>View Full Record in Web of Science</v>
      </c>
    </row>
    <row r="463" spans="1:72" x14ac:dyDescent="0.15">
      <c r="A463" t="s">
        <v>72</v>
      </c>
      <c r="B463" t="s">
        <v>9397</v>
      </c>
      <c r="C463" t="s">
        <v>74</v>
      </c>
      <c r="D463" t="s">
        <v>74</v>
      </c>
      <c r="E463" t="s">
        <v>74</v>
      </c>
      <c r="F463" t="s">
        <v>9398</v>
      </c>
      <c r="G463" t="s">
        <v>74</v>
      </c>
      <c r="H463" t="s">
        <v>74</v>
      </c>
      <c r="I463" t="s">
        <v>9399</v>
      </c>
      <c r="J463" t="s">
        <v>77</v>
      </c>
      <c r="K463" t="s">
        <v>74</v>
      </c>
      <c r="L463" t="s">
        <v>74</v>
      </c>
      <c r="M463" t="s">
        <v>78</v>
      </c>
      <c r="N463" t="s">
        <v>79</v>
      </c>
      <c r="O463" t="s">
        <v>74</v>
      </c>
      <c r="P463" t="s">
        <v>74</v>
      </c>
      <c r="Q463" t="s">
        <v>74</v>
      </c>
      <c r="R463" t="s">
        <v>74</v>
      </c>
      <c r="S463" t="s">
        <v>74</v>
      </c>
      <c r="T463" t="s">
        <v>9400</v>
      </c>
      <c r="U463" t="s">
        <v>9401</v>
      </c>
      <c r="V463" t="s">
        <v>9402</v>
      </c>
      <c r="W463" t="s">
        <v>9403</v>
      </c>
      <c r="X463" t="s">
        <v>9404</v>
      </c>
      <c r="Y463" t="s">
        <v>9405</v>
      </c>
      <c r="Z463" t="s">
        <v>9406</v>
      </c>
      <c r="AA463" t="s">
        <v>9407</v>
      </c>
      <c r="AB463" t="s">
        <v>9408</v>
      </c>
      <c r="AC463" t="s">
        <v>9409</v>
      </c>
      <c r="AD463" t="s">
        <v>9410</v>
      </c>
      <c r="AE463" t="s">
        <v>9411</v>
      </c>
      <c r="AF463" t="s">
        <v>74</v>
      </c>
      <c r="AG463">
        <v>86</v>
      </c>
      <c r="AH463">
        <v>9</v>
      </c>
      <c r="AI463">
        <v>9</v>
      </c>
      <c r="AJ463">
        <v>0</v>
      </c>
      <c r="AK463">
        <v>15</v>
      </c>
      <c r="AL463" t="s">
        <v>91</v>
      </c>
      <c r="AM463" t="s">
        <v>92</v>
      </c>
      <c r="AN463" t="s">
        <v>93</v>
      </c>
      <c r="AO463" t="s">
        <v>94</v>
      </c>
      <c r="AP463" t="s">
        <v>95</v>
      </c>
      <c r="AQ463" t="s">
        <v>74</v>
      </c>
      <c r="AR463" t="s">
        <v>96</v>
      </c>
      <c r="AS463" t="s">
        <v>97</v>
      </c>
      <c r="AT463" t="s">
        <v>7235</v>
      </c>
      <c r="AU463">
        <v>2018</v>
      </c>
      <c r="AV463">
        <v>41</v>
      </c>
      <c r="AW463">
        <v>4</v>
      </c>
      <c r="AX463" t="s">
        <v>74</v>
      </c>
      <c r="AY463" t="s">
        <v>74</v>
      </c>
      <c r="AZ463" t="s">
        <v>74</v>
      </c>
      <c r="BA463" t="s">
        <v>74</v>
      </c>
      <c r="BB463">
        <v>697</v>
      </c>
      <c r="BC463">
        <v>712</v>
      </c>
      <c r="BD463" t="s">
        <v>74</v>
      </c>
      <c r="BE463" t="s">
        <v>9412</v>
      </c>
      <c r="BF463" t="str">
        <f>HYPERLINK("http://dx.doi.org/10.1007/s00300-017-2229-6","http://dx.doi.org/10.1007/s00300-017-2229-6")</f>
        <v>http://dx.doi.org/10.1007/s00300-017-2229-6</v>
      </c>
      <c r="BG463" t="s">
        <v>74</v>
      </c>
      <c r="BH463" t="s">
        <v>74</v>
      </c>
      <c r="BI463">
        <v>16</v>
      </c>
      <c r="BJ463" t="s">
        <v>100</v>
      </c>
      <c r="BK463" t="s">
        <v>101</v>
      </c>
      <c r="BL463" t="s">
        <v>102</v>
      </c>
      <c r="BM463" t="s">
        <v>7782</v>
      </c>
      <c r="BN463" t="s">
        <v>74</v>
      </c>
      <c r="BO463" t="s">
        <v>74</v>
      </c>
      <c r="BP463" t="s">
        <v>74</v>
      </c>
      <c r="BQ463" t="s">
        <v>74</v>
      </c>
      <c r="BR463" t="s">
        <v>105</v>
      </c>
      <c r="BS463" t="s">
        <v>9413</v>
      </c>
      <c r="BT463" t="str">
        <f>HYPERLINK("https%3A%2F%2Fwww.webofscience.com%2Fwos%2Fwoscc%2Ffull-record%2FWOS:000428603800009","View Full Record in Web of Science")</f>
        <v>View Full Record in Web of Science</v>
      </c>
    </row>
    <row r="464" spans="1:72" x14ac:dyDescent="0.15">
      <c r="A464" t="s">
        <v>72</v>
      </c>
      <c r="B464" t="s">
        <v>9414</v>
      </c>
      <c r="C464" t="s">
        <v>74</v>
      </c>
      <c r="D464" t="s">
        <v>74</v>
      </c>
      <c r="E464" t="s">
        <v>74</v>
      </c>
      <c r="F464" t="s">
        <v>9415</v>
      </c>
      <c r="G464" t="s">
        <v>74</v>
      </c>
      <c r="H464" t="s">
        <v>74</v>
      </c>
      <c r="I464" t="s">
        <v>9416</v>
      </c>
      <c r="J464" t="s">
        <v>77</v>
      </c>
      <c r="K464" t="s">
        <v>74</v>
      </c>
      <c r="L464" t="s">
        <v>74</v>
      </c>
      <c r="M464" t="s">
        <v>78</v>
      </c>
      <c r="N464" t="s">
        <v>79</v>
      </c>
      <c r="O464" t="s">
        <v>74</v>
      </c>
      <c r="P464" t="s">
        <v>74</v>
      </c>
      <c r="Q464" t="s">
        <v>74</v>
      </c>
      <c r="R464" t="s">
        <v>74</v>
      </c>
      <c r="S464" t="s">
        <v>74</v>
      </c>
      <c r="T464" t="s">
        <v>9417</v>
      </c>
      <c r="U464" t="s">
        <v>9418</v>
      </c>
      <c r="V464" t="s">
        <v>9419</v>
      </c>
      <c r="W464" t="s">
        <v>9420</v>
      </c>
      <c r="X464" t="s">
        <v>9421</v>
      </c>
      <c r="Y464" t="s">
        <v>9422</v>
      </c>
      <c r="Z464" t="s">
        <v>9423</v>
      </c>
      <c r="AA464" t="s">
        <v>9424</v>
      </c>
      <c r="AB464" t="s">
        <v>9425</v>
      </c>
      <c r="AC464" t="s">
        <v>9426</v>
      </c>
      <c r="AD464" t="s">
        <v>9427</v>
      </c>
      <c r="AE464" t="s">
        <v>9428</v>
      </c>
      <c r="AF464" t="s">
        <v>74</v>
      </c>
      <c r="AG464">
        <v>72</v>
      </c>
      <c r="AH464">
        <v>8</v>
      </c>
      <c r="AI464">
        <v>9</v>
      </c>
      <c r="AJ464">
        <v>0</v>
      </c>
      <c r="AK464">
        <v>19</v>
      </c>
      <c r="AL464" t="s">
        <v>91</v>
      </c>
      <c r="AM464" t="s">
        <v>92</v>
      </c>
      <c r="AN464" t="s">
        <v>205</v>
      </c>
      <c r="AO464" t="s">
        <v>94</v>
      </c>
      <c r="AP464" t="s">
        <v>95</v>
      </c>
      <c r="AQ464" t="s">
        <v>74</v>
      </c>
      <c r="AR464" t="s">
        <v>96</v>
      </c>
      <c r="AS464" t="s">
        <v>97</v>
      </c>
      <c r="AT464" t="s">
        <v>7235</v>
      </c>
      <c r="AU464">
        <v>2018</v>
      </c>
      <c r="AV464">
        <v>41</v>
      </c>
      <c r="AW464">
        <v>4</v>
      </c>
      <c r="AX464" t="s">
        <v>74</v>
      </c>
      <c r="AY464" t="s">
        <v>74</v>
      </c>
      <c r="AZ464" t="s">
        <v>74</v>
      </c>
      <c r="BA464" t="s">
        <v>74</v>
      </c>
      <c r="BB464">
        <v>713</v>
      </c>
      <c r="BC464">
        <v>725</v>
      </c>
      <c r="BD464" t="s">
        <v>74</v>
      </c>
      <c r="BE464" t="s">
        <v>9429</v>
      </c>
      <c r="BF464" t="str">
        <f>HYPERLINK("http://dx.doi.org/10.1007/s00300-017-2230-0","http://dx.doi.org/10.1007/s00300-017-2230-0")</f>
        <v>http://dx.doi.org/10.1007/s00300-017-2230-0</v>
      </c>
      <c r="BG464" t="s">
        <v>74</v>
      </c>
      <c r="BH464" t="s">
        <v>74</v>
      </c>
      <c r="BI464">
        <v>13</v>
      </c>
      <c r="BJ464" t="s">
        <v>100</v>
      </c>
      <c r="BK464" t="s">
        <v>101</v>
      </c>
      <c r="BL464" t="s">
        <v>102</v>
      </c>
      <c r="BM464" t="s">
        <v>7782</v>
      </c>
      <c r="BN464" t="s">
        <v>74</v>
      </c>
      <c r="BO464" t="s">
        <v>74</v>
      </c>
      <c r="BP464" t="s">
        <v>74</v>
      </c>
      <c r="BQ464" t="s">
        <v>74</v>
      </c>
      <c r="BR464" t="s">
        <v>105</v>
      </c>
      <c r="BS464" t="s">
        <v>9430</v>
      </c>
      <c r="BT464" t="str">
        <f>HYPERLINK("https%3A%2F%2Fwww.webofscience.com%2Fwos%2Fwoscc%2Ffull-record%2FWOS:000428603800010","View Full Record in Web of Science")</f>
        <v>View Full Record in Web of Science</v>
      </c>
    </row>
    <row r="465" spans="1:72" x14ac:dyDescent="0.15">
      <c r="A465" t="s">
        <v>72</v>
      </c>
      <c r="B465" t="s">
        <v>9431</v>
      </c>
      <c r="C465" t="s">
        <v>74</v>
      </c>
      <c r="D465" t="s">
        <v>74</v>
      </c>
      <c r="E465" t="s">
        <v>74</v>
      </c>
      <c r="F465" t="s">
        <v>9432</v>
      </c>
      <c r="G465" t="s">
        <v>74</v>
      </c>
      <c r="H465" t="s">
        <v>74</v>
      </c>
      <c r="I465" t="s">
        <v>9433</v>
      </c>
      <c r="J465" t="s">
        <v>77</v>
      </c>
      <c r="K465" t="s">
        <v>74</v>
      </c>
      <c r="L465" t="s">
        <v>74</v>
      </c>
      <c r="M465" t="s">
        <v>78</v>
      </c>
      <c r="N465" t="s">
        <v>79</v>
      </c>
      <c r="O465" t="s">
        <v>74</v>
      </c>
      <c r="P465" t="s">
        <v>74</v>
      </c>
      <c r="Q465" t="s">
        <v>74</v>
      </c>
      <c r="R465" t="s">
        <v>74</v>
      </c>
      <c r="S465" t="s">
        <v>74</v>
      </c>
      <c r="T465" t="s">
        <v>9434</v>
      </c>
      <c r="U465" t="s">
        <v>9435</v>
      </c>
      <c r="V465" t="s">
        <v>9436</v>
      </c>
      <c r="W465" t="s">
        <v>9437</v>
      </c>
      <c r="X465" t="s">
        <v>9438</v>
      </c>
      <c r="Y465" t="s">
        <v>9439</v>
      </c>
      <c r="Z465" t="s">
        <v>9440</v>
      </c>
      <c r="AA465" t="s">
        <v>9441</v>
      </c>
      <c r="AB465" t="s">
        <v>9442</v>
      </c>
      <c r="AC465" t="s">
        <v>9443</v>
      </c>
      <c r="AD465" t="s">
        <v>74</v>
      </c>
      <c r="AE465" t="s">
        <v>9444</v>
      </c>
      <c r="AF465" t="s">
        <v>74</v>
      </c>
      <c r="AG465">
        <v>35</v>
      </c>
      <c r="AH465">
        <v>4</v>
      </c>
      <c r="AI465">
        <v>5</v>
      </c>
      <c r="AJ465">
        <v>1</v>
      </c>
      <c r="AK465">
        <v>10</v>
      </c>
      <c r="AL465" t="s">
        <v>91</v>
      </c>
      <c r="AM465" t="s">
        <v>92</v>
      </c>
      <c r="AN465" t="s">
        <v>93</v>
      </c>
      <c r="AO465" t="s">
        <v>94</v>
      </c>
      <c r="AP465" t="s">
        <v>95</v>
      </c>
      <c r="AQ465" t="s">
        <v>74</v>
      </c>
      <c r="AR465" t="s">
        <v>96</v>
      </c>
      <c r="AS465" t="s">
        <v>97</v>
      </c>
      <c r="AT465" t="s">
        <v>7235</v>
      </c>
      <c r="AU465">
        <v>2018</v>
      </c>
      <c r="AV465">
        <v>41</v>
      </c>
      <c r="AW465">
        <v>4</v>
      </c>
      <c r="AX465" t="s">
        <v>74</v>
      </c>
      <c r="AY465" t="s">
        <v>74</v>
      </c>
      <c r="AZ465" t="s">
        <v>74</v>
      </c>
      <c r="BA465" t="s">
        <v>74</v>
      </c>
      <c r="BB465">
        <v>793</v>
      </c>
      <c r="BC465">
        <v>803</v>
      </c>
      <c r="BD465" t="s">
        <v>74</v>
      </c>
      <c r="BE465" t="s">
        <v>9445</v>
      </c>
      <c r="BF465" t="str">
        <f>HYPERLINK("http://dx.doi.org/10.1007/s00300-017-2240-y","http://dx.doi.org/10.1007/s00300-017-2240-y")</f>
        <v>http://dx.doi.org/10.1007/s00300-017-2240-y</v>
      </c>
      <c r="BG465" t="s">
        <v>74</v>
      </c>
      <c r="BH465" t="s">
        <v>74</v>
      </c>
      <c r="BI465">
        <v>11</v>
      </c>
      <c r="BJ465" t="s">
        <v>100</v>
      </c>
      <c r="BK465" t="s">
        <v>101</v>
      </c>
      <c r="BL465" t="s">
        <v>102</v>
      </c>
      <c r="BM465" t="s">
        <v>7782</v>
      </c>
      <c r="BN465" t="s">
        <v>74</v>
      </c>
      <c r="BO465" t="s">
        <v>74</v>
      </c>
      <c r="BP465" t="s">
        <v>74</v>
      </c>
      <c r="BQ465" t="s">
        <v>74</v>
      </c>
      <c r="BR465" t="s">
        <v>105</v>
      </c>
      <c r="BS465" t="s">
        <v>9446</v>
      </c>
      <c r="BT465" t="str">
        <f>HYPERLINK("https%3A%2F%2Fwww.webofscience.com%2Fwos%2Fwoscc%2Ffull-record%2FWOS:000428603800018","View Full Record in Web of Science")</f>
        <v>View Full Record in Web of Science</v>
      </c>
    </row>
    <row r="466" spans="1:72" x14ac:dyDescent="0.15">
      <c r="A466" t="s">
        <v>72</v>
      </c>
      <c r="B466" t="s">
        <v>9447</v>
      </c>
      <c r="C466" t="s">
        <v>74</v>
      </c>
      <c r="D466" t="s">
        <v>74</v>
      </c>
      <c r="E466" t="s">
        <v>74</v>
      </c>
      <c r="F466" t="s">
        <v>9448</v>
      </c>
      <c r="G466" t="s">
        <v>74</v>
      </c>
      <c r="H466" t="s">
        <v>74</v>
      </c>
      <c r="I466" t="s">
        <v>9449</v>
      </c>
      <c r="J466" t="s">
        <v>9450</v>
      </c>
      <c r="K466" t="s">
        <v>74</v>
      </c>
      <c r="L466" t="s">
        <v>74</v>
      </c>
      <c r="M466" t="s">
        <v>78</v>
      </c>
      <c r="N466" t="s">
        <v>79</v>
      </c>
      <c r="O466" t="s">
        <v>74</v>
      </c>
      <c r="P466" t="s">
        <v>74</v>
      </c>
      <c r="Q466" t="s">
        <v>74</v>
      </c>
      <c r="R466" t="s">
        <v>74</v>
      </c>
      <c r="S466" t="s">
        <v>74</v>
      </c>
      <c r="T466" t="s">
        <v>9451</v>
      </c>
      <c r="U466" t="s">
        <v>74</v>
      </c>
      <c r="V466" t="s">
        <v>9452</v>
      </c>
      <c r="W466" t="s">
        <v>9453</v>
      </c>
      <c r="X466" t="s">
        <v>9454</v>
      </c>
      <c r="Y466" t="s">
        <v>9455</v>
      </c>
      <c r="Z466" t="s">
        <v>9456</v>
      </c>
      <c r="AA466" t="s">
        <v>9457</v>
      </c>
      <c r="AB466" t="s">
        <v>9458</v>
      </c>
      <c r="AC466" t="s">
        <v>74</v>
      </c>
      <c r="AD466" t="s">
        <v>74</v>
      </c>
      <c r="AE466" t="s">
        <v>74</v>
      </c>
      <c r="AF466" t="s">
        <v>74</v>
      </c>
      <c r="AG466">
        <v>7</v>
      </c>
      <c r="AH466">
        <v>0</v>
      </c>
      <c r="AI466">
        <v>1</v>
      </c>
      <c r="AJ466">
        <v>1</v>
      </c>
      <c r="AK466">
        <v>13</v>
      </c>
      <c r="AL466" t="s">
        <v>9459</v>
      </c>
      <c r="AM466" t="s">
        <v>1540</v>
      </c>
      <c r="AN466" t="s">
        <v>9460</v>
      </c>
      <c r="AO466" t="s">
        <v>9461</v>
      </c>
      <c r="AP466" t="s">
        <v>74</v>
      </c>
      <c r="AQ466" t="s">
        <v>74</v>
      </c>
      <c r="AR466" t="s">
        <v>9462</v>
      </c>
      <c r="AS466" t="s">
        <v>9463</v>
      </c>
      <c r="AT466" t="s">
        <v>7235</v>
      </c>
      <c r="AU466">
        <v>2018</v>
      </c>
      <c r="AV466">
        <v>18</v>
      </c>
      <c r="AW466">
        <v>2</v>
      </c>
      <c r="AX466" t="s">
        <v>74</v>
      </c>
      <c r="AY466" t="s">
        <v>74</v>
      </c>
      <c r="AZ466" t="s">
        <v>74</v>
      </c>
      <c r="BA466" t="s">
        <v>74</v>
      </c>
      <c r="BB466">
        <v>482</v>
      </c>
      <c r="BC466">
        <v>489</v>
      </c>
      <c r="BD466" t="s">
        <v>74</v>
      </c>
      <c r="BE466" t="s">
        <v>9464</v>
      </c>
      <c r="BF466" t="str">
        <f>HYPERLINK("http://dx.doi.org/10.2166/ws.2017.130","http://dx.doi.org/10.2166/ws.2017.130")</f>
        <v>http://dx.doi.org/10.2166/ws.2017.130</v>
      </c>
      <c r="BG466" t="s">
        <v>74</v>
      </c>
      <c r="BH466" t="s">
        <v>74</v>
      </c>
      <c r="BI466">
        <v>8</v>
      </c>
      <c r="BJ466" t="s">
        <v>9465</v>
      </c>
      <c r="BK466" t="s">
        <v>101</v>
      </c>
      <c r="BL466" t="s">
        <v>9466</v>
      </c>
      <c r="BM466" t="s">
        <v>9467</v>
      </c>
      <c r="BN466" t="s">
        <v>74</v>
      </c>
      <c r="BO466" t="s">
        <v>162</v>
      </c>
      <c r="BP466" t="s">
        <v>74</v>
      </c>
      <c r="BQ466" t="s">
        <v>74</v>
      </c>
      <c r="BR466" t="s">
        <v>105</v>
      </c>
      <c r="BS466" t="s">
        <v>9468</v>
      </c>
      <c r="BT466" t="str">
        <f>HYPERLINK("https%3A%2F%2Fwww.webofscience.com%2Fwos%2Fwoscc%2Ffull-record%2FWOS:000428426900012","View Full Record in Web of Science")</f>
        <v>View Full Record in Web of Science</v>
      </c>
    </row>
    <row r="467" spans="1:72" x14ac:dyDescent="0.15">
      <c r="A467" t="s">
        <v>72</v>
      </c>
      <c r="B467" t="s">
        <v>9469</v>
      </c>
      <c r="C467" t="s">
        <v>74</v>
      </c>
      <c r="D467" t="s">
        <v>74</v>
      </c>
      <c r="E467" t="s">
        <v>74</v>
      </c>
      <c r="F467" t="s">
        <v>9470</v>
      </c>
      <c r="G467" t="s">
        <v>74</v>
      </c>
      <c r="H467" t="s">
        <v>74</v>
      </c>
      <c r="I467" t="s">
        <v>9471</v>
      </c>
      <c r="J467" t="s">
        <v>9472</v>
      </c>
      <c r="K467" t="s">
        <v>74</v>
      </c>
      <c r="L467" t="s">
        <v>74</v>
      </c>
      <c r="M467" t="s">
        <v>78</v>
      </c>
      <c r="N467" t="s">
        <v>79</v>
      </c>
      <c r="O467" t="s">
        <v>74</v>
      </c>
      <c r="P467" t="s">
        <v>74</v>
      </c>
      <c r="Q467" t="s">
        <v>74</v>
      </c>
      <c r="R467" t="s">
        <v>74</v>
      </c>
      <c r="S467" t="s">
        <v>74</v>
      </c>
      <c r="T467" t="s">
        <v>9473</v>
      </c>
      <c r="U467" t="s">
        <v>9474</v>
      </c>
      <c r="V467" t="s">
        <v>9475</v>
      </c>
      <c r="W467" t="s">
        <v>9476</v>
      </c>
      <c r="X467" t="s">
        <v>9477</v>
      </c>
      <c r="Y467" t="s">
        <v>9478</v>
      </c>
      <c r="Z467" t="s">
        <v>9479</v>
      </c>
      <c r="AA467" t="s">
        <v>9480</v>
      </c>
      <c r="AB467" t="s">
        <v>9481</v>
      </c>
      <c r="AC467" t="s">
        <v>9482</v>
      </c>
      <c r="AD467" t="s">
        <v>9483</v>
      </c>
      <c r="AE467" t="s">
        <v>9484</v>
      </c>
      <c r="AF467" t="s">
        <v>74</v>
      </c>
      <c r="AG467">
        <v>63</v>
      </c>
      <c r="AH467">
        <v>3</v>
      </c>
      <c r="AI467">
        <v>4</v>
      </c>
      <c r="AJ467">
        <v>0</v>
      </c>
      <c r="AK467">
        <v>4</v>
      </c>
      <c r="AL467" t="s">
        <v>6158</v>
      </c>
      <c r="AM467" t="s">
        <v>1512</v>
      </c>
      <c r="AN467" t="s">
        <v>1513</v>
      </c>
      <c r="AO467" t="s">
        <v>9485</v>
      </c>
      <c r="AP467" t="s">
        <v>9486</v>
      </c>
      <c r="AQ467" t="s">
        <v>74</v>
      </c>
      <c r="AR467" t="s">
        <v>9487</v>
      </c>
      <c r="AS467" t="s">
        <v>9488</v>
      </c>
      <c r="AT467" t="s">
        <v>7235</v>
      </c>
      <c r="AU467">
        <v>2018</v>
      </c>
      <c r="AV467">
        <v>155</v>
      </c>
      <c r="AW467">
        <v>4</v>
      </c>
      <c r="AX467" t="s">
        <v>74</v>
      </c>
      <c r="AY467" t="s">
        <v>74</v>
      </c>
      <c r="AZ467" t="s">
        <v>74</v>
      </c>
      <c r="BA467" t="s">
        <v>74</v>
      </c>
      <c r="BB467" t="s">
        <v>74</v>
      </c>
      <c r="BC467" t="s">
        <v>74</v>
      </c>
      <c r="BD467">
        <v>168</v>
      </c>
      <c r="BE467" t="s">
        <v>9489</v>
      </c>
      <c r="BF467" t="str">
        <f>HYPERLINK("http://dx.doi.org/10.3847/1538-3881/aab266","http://dx.doi.org/10.3847/1538-3881/aab266")</f>
        <v>http://dx.doi.org/10.3847/1538-3881/aab266</v>
      </c>
      <c r="BG467" t="s">
        <v>74</v>
      </c>
      <c r="BH467" t="s">
        <v>74</v>
      </c>
      <c r="BI467">
        <v>9</v>
      </c>
      <c r="BJ467" t="s">
        <v>582</v>
      </c>
      <c r="BK467" t="s">
        <v>101</v>
      </c>
      <c r="BL467" t="s">
        <v>582</v>
      </c>
      <c r="BM467" t="s">
        <v>9490</v>
      </c>
      <c r="BN467" t="s">
        <v>74</v>
      </c>
      <c r="BO467" t="s">
        <v>162</v>
      </c>
      <c r="BP467" t="s">
        <v>74</v>
      </c>
      <c r="BQ467" t="s">
        <v>74</v>
      </c>
      <c r="BR467" t="s">
        <v>105</v>
      </c>
      <c r="BS467" t="s">
        <v>9491</v>
      </c>
      <c r="BT467" t="str">
        <f>HYPERLINK("https%3A%2F%2Fwww.webofscience.com%2Fwos%2Fwoscc%2Ffull-record%2FWOS:000428384200002","View Full Record in Web of Science")</f>
        <v>View Full Record in Web of Science</v>
      </c>
    </row>
    <row r="468" spans="1:72" x14ac:dyDescent="0.15">
      <c r="A468" t="s">
        <v>72</v>
      </c>
      <c r="B468" t="s">
        <v>9492</v>
      </c>
      <c r="C468" t="s">
        <v>74</v>
      </c>
      <c r="D468" t="s">
        <v>74</v>
      </c>
      <c r="E468" t="s">
        <v>74</v>
      </c>
      <c r="F468" t="s">
        <v>9493</v>
      </c>
      <c r="G468" t="s">
        <v>74</v>
      </c>
      <c r="H468" t="s">
        <v>74</v>
      </c>
      <c r="I468" t="s">
        <v>9494</v>
      </c>
      <c r="J468" t="s">
        <v>9495</v>
      </c>
      <c r="K468" t="s">
        <v>74</v>
      </c>
      <c r="L468" t="s">
        <v>74</v>
      </c>
      <c r="M468" t="s">
        <v>78</v>
      </c>
      <c r="N468" t="s">
        <v>79</v>
      </c>
      <c r="O468" t="s">
        <v>74</v>
      </c>
      <c r="P468" t="s">
        <v>74</v>
      </c>
      <c r="Q468" t="s">
        <v>74</v>
      </c>
      <c r="R468" t="s">
        <v>74</v>
      </c>
      <c r="S468" t="s">
        <v>74</v>
      </c>
      <c r="T468" t="s">
        <v>9496</v>
      </c>
      <c r="U468" t="s">
        <v>9497</v>
      </c>
      <c r="V468" t="s">
        <v>9498</v>
      </c>
      <c r="W468" t="s">
        <v>9499</v>
      </c>
      <c r="X468" t="s">
        <v>9500</v>
      </c>
      <c r="Y468" t="s">
        <v>9501</v>
      </c>
      <c r="Z468" t="s">
        <v>9502</v>
      </c>
      <c r="AA468" t="s">
        <v>9503</v>
      </c>
      <c r="AB468" t="s">
        <v>9504</v>
      </c>
      <c r="AC468" t="s">
        <v>9505</v>
      </c>
      <c r="AD468" t="s">
        <v>9506</v>
      </c>
      <c r="AE468" t="s">
        <v>9507</v>
      </c>
      <c r="AF468" t="s">
        <v>74</v>
      </c>
      <c r="AG468">
        <v>48</v>
      </c>
      <c r="AH468">
        <v>32</v>
      </c>
      <c r="AI468">
        <v>39</v>
      </c>
      <c r="AJ468">
        <v>0</v>
      </c>
      <c r="AK468">
        <v>72</v>
      </c>
      <c r="AL468" t="s">
        <v>179</v>
      </c>
      <c r="AM468" t="s">
        <v>180</v>
      </c>
      <c r="AN468" t="s">
        <v>181</v>
      </c>
      <c r="AO468" t="s">
        <v>9508</v>
      </c>
      <c r="AP468" t="s">
        <v>9509</v>
      </c>
      <c r="AQ468" t="s">
        <v>74</v>
      </c>
      <c r="AR468" t="s">
        <v>9510</v>
      </c>
      <c r="AS468" t="s">
        <v>9511</v>
      </c>
      <c r="AT468" t="s">
        <v>7235</v>
      </c>
      <c r="AU468">
        <v>2018</v>
      </c>
      <c r="AV468">
        <v>32</v>
      </c>
      <c r="AW468">
        <v>2</v>
      </c>
      <c r="AX468" t="s">
        <v>74</v>
      </c>
      <c r="AY468" t="s">
        <v>74</v>
      </c>
      <c r="AZ468" t="s">
        <v>74</v>
      </c>
      <c r="BA468" t="s">
        <v>74</v>
      </c>
      <c r="BB468">
        <v>401</v>
      </c>
      <c r="BC468">
        <v>410</v>
      </c>
      <c r="BD468" t="s">
        <v>74</v>
      </c>
      <c r="BE468" t="s">
        <v>9512</v>
      </c>
      <c r="BF468" t="str">
        <f>HYPERLINK("http://dx.doi.org/10.1111/cobi.12996","http://dx.doi.org/10.1111/cobi.12996")</f>
        <v>http://dx.doi.org/10.1111/cobi.12996</v>
      </c>
      <c r="BG468" t="s">
        <v>74</v>
      </c>
      <c r="BH468" t="s">
        <v>74</v>
      </c>
      <c r="BI468">
        <v>10</v>
      </c>
      <c r="BJ468" t="s">
        <v>534</v>
      </c>
      <c r="BK468" t="s">
        <v>101</v>
      </c>
      <c r="BL468" t="s">
        <v>102</v>
      </c>
      <c r="BM468" t="s">
        <v>9513</v>
      </c>
      <c r="BN468">
        <v>28776761</v>
      </c>
      <c r="BO468" t="s">
        <v>74</v>
      </c>
      <c r="BP468" t="s">
        <v>74</v>
      </c>
      <c r="BQ468" t="s">
        <v>74</v>
      </c>
      <c r="BR468" t="s">
        <v>105</v>
      </c>
      <c r="BS468" t="s">
        <v>9514</v>
      </c>
      <c r="BT468" t="str">
        <f>HYPERLINK("https%3A%2F%2Fwww.webofscience.com%2Fwos%2Fwoscc%2Ffull-record%2FWOS:000428319600015","View Full Record in Web of Science")</f>
        <v>View Full Record in Web of Science</v>
      </c>
    </row>
    <row r="469" spans="1:72" x14ac:dyDescent="0.15">
      <c r="A469" t="s">
        <v>72</v>
      </c>
      <c r="B469" t="s">
        <v>9515</v>
      </c>
      <c r="C469" t="s">
        <v>74</v>
      </c>
      <c r="D469" t="s">
        <v>74</v>
      </c>
      <c r="E469" t="s">
        <v>74</v>
      </c>
      <c r="F469" t="s">
        <v>9516</v>
      </c>
      <c r="G469" t="s">
        <v>74</v>
      </c>
      <c r="H469" t="s">
        <v>74</v>
      </c>
      <c r="I469" t="s">
        <v>9517</v>
      </c>
      <c r="J469" t="s">
        <v>240</v>
      </c>
      <c r="K469" t="s">
        <v>74</v>
      </c>
      <c r="L469" t="s">
        <v>74</v>
      </c>
      <c r="M469" t="s">
        <v>78</v>
      </c>
      <c r="N469" t="s">
        <v>79</v>
      </c>
      <c r="O469" t="s">
        <v>74</v>
      </c>
      <c r="P469" t="s">
        <v>74</v>
      </c>
      <c r="Q469" t="s">
        <v>74</v>
      </c>
      <c r="R469" t="s">
        <v>74</v>
      </c>
      <c r="S469" t="s">
        <v>74</v>
      </c>
      <c r="T469" t="s">
        <v>9518</v>
      </c>
      <c r="U469" t="s">
        <v>9519</v>
      </c>
      <c r="V469" t="s">
        <v>9520</v>
      </c>
      <c r="W469" t="s">
        <v>9521</v>
      </c>
      <c r="X469" t="s">
        <v>9522</v>
      </c>
      <c r="Y469" t="s">
        <v>9523</v>
      </c>
      <c r="Z469" t="s">
        <v>9524</v>
      </c>
      <c r="AA469" t="s">
        <v>9525</v>
      </c>
      <c r="AB469" t="s">
        <v>74</v>
      </c>
      <c r="AC469" t="s">
        <v>74</v>
      </c>
      <c r="AD469" t="s">
        <v>74</v>
      </c>
      <c r="AE469" t="s">
        <v>74</v>
      </c>
      <c r="AF469" t="s">
        <v>74</v>
      </c>
      <c r="AG469">
        <v>91</v>
      </c>
      <c r="AH469">
        <v>6</v>
      </c>
      <c r="AI469">
        <v>8</v>
      </c>
      <c r="AJ469">
        <v>0</v>
      </c>
      <c r="AK469">
        <v>7</v>
      </c>
      <c r="AL469" t="s">
        <v>252</v>
      </c>
      <c r="AM469" t="s">
        <v>253</v>
      </c>
      <c r="AN469" t="s">
        <v>254</v>
      </c>
      <c r="AO469" t="s">
        <v>255</v>
      </c>
      <c r="AP469" t="s">
        <v>256</v>
      </c>
      <c r="AQ469" t="s">
        <v>74</v>
      </c>
      <c r="AR469" t="s">
        <v>257</v>
      </c>
      <c r="AS469" t="s">
        <v>258</v>
      </c>
      <c r="AT469" t="s">
        <v>7235</v>
      </c>
      <c r="AU469">
        <v>2018</v>
      </c>
      <c r="AV469">
        <v>37</v>
      </c>
      <c r="AW469">
        <v>2</v>
      </c>
      <c r="AX469" t="s">
        <v>74</v>
      </c>
      <c r="AY469" t="s">
        <v>74</v>
      </c>
      <c r="AZ469" t="s">
        <v>74</v>
      </c>
      <c r="BA469" t="s">
        <v>74</v>
      </c>
      <c r="BB469">
        <v>310</v>
      </c>
      <c r="BC469">
        <v>322</v>
      </c>
      <c r="BD469" t="s">
        <v>74</v>
      </c>
      <c r="BE469" t="s">
        <v>9526</v>
      </c>
      <c r="BF469" t="str">
        <f>HYPERLINK("http://dx.doi.org/10.1007/s11631-017-0216-9","http://dx.doi.org/10.1007/s11631-017-0216-9")</f>
        <v>http://dx.doi.org/10.1007/s11631-017-0216-9</v>
      </c>
      <c r="BG469" t="s">
        <v>74</v>
      </c>
      <c r="BH469" t="s">
        <v>74</v>
      </c>
      <c r="BI469">
        <v>13</v>
      </c>
      <c r="BJ469" t="s">
        <v>260</v>
      </c>
      <c r="BK469" t="s">
        <v>261</v>
      </c>
      <c r="BL469" t="s">
        <v>260</v>
      </c>
      <c r="BM469" t="s">
        <v>9527</v>
      </c>
      <c r="BN469" t="s">
        <v>74</v>
      </c>
      <c r="BO469" t="s">
        <v>1085</v>
      </c>
      <c r="BP469" t="s">
        <v>74</v>
      </c>
      <c r="BQ469" t="s">
        <v>74</v>
      </c>
      <c r="BR469" t="s">
        <v>105</v>
      </c>
      <c r="BS469" t="s">
        <v>9528</v>
      </c>
      <c r="BT469" t="str">
        <f>HYPERLINK("https%3A%2F%2Fwww.webofscience.com%2Fwos%2Fwoscc%2Ffull-record%2FWOS:000427500100011","View Full Record in Web of Science")</f>
        <v>View Full Record in Web of Science</v>
      </c>
    </row>
    <row r="470" spans="1:72" x14ac:dyDescent="0.15">
      <c r="A470" t="s">
        <v>72</v>
      </c>
      <c r="B470" t="s">
        <v>9529</v>
      </c>
      <c r="C470" t="s">
        <v>74</v>
      </c>
      <c r="D470" t="s">
        <v>74</v>
      </c>
      <c r="E470" t="s">
        <v>74</v>
      </c>
      <c r="F470" t="s">
        <v>9530</v>
      </c>
      <c r="G470" t="s">
        <v>74</v>
      </c>
      <c r="H470" t="s">
        <v>74</v>
      </c>
      <c r="I470" t="s">
        <v>9531</v>
      </c>
      <c r="J470" t="s">
        <v>9532</v>
      </c>
      <c r="K470" t="s">
        <v>74</v>
      </c>
      <c r="L470" t="s">
        <v>74</v>
      </c>
      <c r="M470" t="s">
        <v>78</v>
      </c>
      <c r="N470" t="s">
        <v>79</v>
      </c>
      <c r="O470" t="s">
        <v>74</v>
      </c>
      <c r="P470" t="s">
        <v>74</v>
      </c>
      <c r="Q470" t="s">
        <v>74</v>
      </c>
      <c r="R470" t="s">
        <v>74</v>
      </c>
      <c r="S470" t="s">
        <v>74</v>
      </c>
      <c r="T470" t="s">
        <v>74</v>
      </c>
      <c r="U470" t="s">
        <v>9533</v>
      </c>
      <c r="V470" t="s">
        <v>9534</v>
      </c>
      <c r="W470" t="s">
        <v>9535</v>
      </c>
      <c r="X470" t="s">
        <v>9536</v>
      </c>
      <c r="Y470" t="s">
        <v>9537</v>
      </c>
      <c r="Z470" t="s">
        <v>74</v>
      </c>
      <c r="AA470" t="s">
        <v>9538</v>
      </c>
      <c r="AB470" t="s">
        <v>9539</v>
      </c>
      <c r="AC470" t="s">
        <v>9540</v>
      </c>
      <c r="AD470" t="s">
        <v>9541</v>
      </c>
      <c r="AE470" t="s">
        <v>9542</v>
      </c>
      <c r="AF470" t="s">
        <v>74</v>
      </c>
      <c r="AG470">
        <v>27</v>
      </c>
      <c r="AH470">
        <v>8</v>
      </c>
      <c r="AI470">
        <v>10</v>
      </c>
      <c r="AJ470">
        <v>0</v>
      </c>
      <c r="AK470">
        <v>7</v>
      </c>
      <c r="AL470" t="s">
        <v>4696</v>
      </c>
      <c r="AM470" t="s">
        <v>2464</v>
      </c>
      <c r="AN470" t="s">
        <v>4697</v>
      </c>
      <c r="AO470" t="s">
        <v>9543</v>
      </c>
      <c r="AP470" t="s">
        <v>9544</v>
      </c>
      <c r="AQ470" t="s">
        <v>74</v>
      </c>
      <c r="AR470" t="s">
        <v>9532</v>
      </c>
      <c r="AS470" t="s">
        <v>1181</v>
      </c>
      <c r="AT470" t="s">
        <v>7235</v>
      </c>
      <c r="AU470">
        <v>2018</v>
      </c>
      <c r="AV470">
        <v>46</v>
      </c>
      <c r="AW470">
        <v>4</v>
      </c>
      <c r="AX470" t="s">
        <v>74</v>
      </c>
      <c r="AY470" t="s">
        <v>74</v>
      </c>
      <c r="AZ470" t="s">
        <v>74</v>
      </c>
      <c r="BA470" t="s">
        <v>74</v>
      </c>
      <c r="BB470">
        <v>351</v>
      </c>
      <c r="BC470">
        <v>354</v>
      </c>
      <c r="BD470" t="s">
        <v>74</v>
      </c>
      <c r="BE470" t="s">
        <v>9545</v>
      </c>
      <c r="BF470" t="str">
        <f>HYPERLINK("http://dx.doi.org/10.1130/G39650.1","http://dx.doi.org/10.1130/G39650.1")</f>
        <v>http://dx.doi.org/10.1130/G39650.1</v>
      </c>
      <c r="BG470" t="s">
        <v>74</v>
      </c>
      <c r="BH470" t="s">
        <v>74</v>
      </c>
      <c r="BI470">
        <v>4</v>
      </c>
      <c r="BJ470" t="s">
        <v>1181</v>
      </c>
      <c r="BK470" t="s">
        <v>101</v>
      </c>
      <c r="BL470" t="s">
        <v>1181</v>
      </c>
      <c r="BM470" t="s">
        <v>9546</v>
      </c>
      <c r="BN470" t="s">
        <v>74</v>
      </c>
      <c r="BO470" t="s">
        <v>980</v>
      </c>
      <c r="BP470" t="s">
        <v>74</v>
      </c>
      <c r="BQ470" t="s">
        <v>74</v>
      </c>
      <c r="BR470" t="s">
        <v>105</v>
      </c>
      <c r="BS470" t="s">
        <v>9547</v>
      </c>
      <c r="BT470" t="str">
        <f>HYPERLINK("https%3A%2F%2Fwww.webofscience.com%2Fwos%2Fwoscc%2Ffull-record%2FWOS:000428011100018","View Full Record in Web of Science")</f>
        <v>View Full Record in Web of Science</v>
      </c>
    </row>
    <row r="471" spans="1:72" x14ac:dyDescent="0.15">
      <c r="A471" t="s">
        <v>72</v>
      </c>
      <c r="B471" t="s">
        <v>9548</v>
      </c>
      <c r="C471" t="s">
        <v>74</v>
      </c>
      <c r="D471" t="s">
        <v>74</v>
      </c>
      <c r="E471" t="s">
        <v>74</v>
      </c>
      <c r="F471" t="s">
        <v>9549</v>
      </c>
      <c r="G471" t="s">
        <v>74</v>
      </c>
      <c r="H471" t="s">
        <v>74</v>
      </c>
      <c r="I471" t="s">
        <v>9550</v>
      </c>
      <c r="J471" t="s">
        <v>9532</v>
      </c>
      <c r="K471" t="s">
        <v>74</v>
      </c>
      <c r="L471" t="s">
        <v>74</v>
      </c>
      <c r="M471" t="s">
        <v>78</v>
      </c>
      <c r="N471" t="s">
        <v>79</v>
      </c>
      <c r="O471" t="s">
        <v>74</v>
      </c>
      <c r="P471" t="s">
        <v>74</v>
      </c>
      <c r="Q471" t="s">
        <v>74</v>
      </c>
      <c r="R471" t="s">
        <v>74</v>
      </c>
      <c r="S471" t="s">
        <v>74</v>
      </c>
      <c r="T471" t="s">
        <v>74</v>
      </c>
      <c r="U471" t="s">
        <v>9551</v>
      </c>
      <c r="V471" t="s">
        <v>9552</v>
      </c>
      <c r="W471" t="s">
        <v>9553</v>
      </c>
      <c r="X471" t="s">
        <v>9554</v>
      </c>
      <c r="Y471" t="s">
        <v>9555</v>
      </c>
      <c r="Z471" t="s">
        <v>9556</v>
      </c>
      <c r="AA471" t="s">
        <v>9557</v>
      </c>
      <c r="AB471" t="s">
        <v>9558</v>
      </c>
      <c r="AC471" t="s">
        <v>9559</v>
      </c>
      <c r="AD471" t="s">
        <v>9560</v>
      </c>
      <c r="AE471" t="s">
        <v>9561</v>
      </c>
      <c r="AF471" t="s">
        <v>74</v>
      </c>
      <c r="AG471">
        <v>28</v>
      </c>
      <c r="AH471">
        <v>13</v>
      </c>
      <c r="AI471">
        <v>14</v>
      </c>
      <c r="AJ471">
        <v>0</v>
      </c>
      <c r="AK471">
        <v>33</v>
      </c>
      <c r="AL471" t="s">
        <v>4696</v>
      </c>
      <c r="AM471" t="s">
        <v>2464</v>
      </c>
      <c r="AN471" t="s">
        <v>4697</v>
      </c>
      <c r="AO471" t="s">
        <v>9543</v>
      </c>
      <c r="AP471" t="s">
        <v>9544</v>
      </c>
      <c r="AQ471" t="s">
        <v>74</v>
      </c>
      <c r="AR471" t="s">
        <v>9532</v>
      </c>
      <c r="AS471" t="s">
        <v>1181</v>
      </c>
      <c r="AT471" t="s">
        <v>7235</v>
      </c>
      <c r="AU471">
        <v>2018</v>
      </c>
      <c r="AV471">
        <v>46</v>
      </c>
      <c r="AW471">
        <v>4</v>
      </c>
      <c r="AX471" t="s">
        <v>74</v>
      </c>
      <c r="AY471" t="s">
        <v>74</v>
      </c>
      <c r="AZ471" t="s">
        <v>74</v>
      </c>
      <c r="BA471" t="s">
        <v>74</v>
      </c>
      <c r="BB471">
        <v>363</v>
      </c>
      <c r="BC471">
        <v>366</v>
      </c>
      <c r="BD471" t="s">
        <v>74</v>
      </c>
      <c r="BE471" t="s">
        <v>9562</v>
      </c>
      <c r="BF471" t="str">
        <f>HYPERLINK("http://dx.doi.org/10.1130/G39661.1","http://dx.doi.org/10.1130/G39661.1")</f>
        <v>http://dx.doi.org/10.1130/G39661.1</v>
      </c>
      <c r="BG471" t="s">
        <v>74</v>
      </c>
      <c r="BH471" t="s">
        <v>74</v>
      </c>
      <c r="BI471">
        <v>4</v>
      </c>
      <c r="BJ471" t="s">
        <v>1181</v>
      </c>
      <c r="BK471" t="s">
        <v>101</v>
      </c>
      <c r="BL471" t="s">
        <v>1181</v>
      </c>
      <c r="BM471" t="s">
        <v>9546</v>
      </c>
      <c r="BN471" t="s">
        <v>74</v>
      </c>
      <c r="BO471" t="s">
        <v>74</v>
      </c>
      <c r="BP471" t="s">
        <v>74</v>
      </c>
      <c r="BQ471" t="s">
        <v>74</v>
      </c>
      <c r="BR471" t="s">
        <v>105</v>
      </c>
      <c r="BS471" t="s">
        <v>9563</v>
      </c>
      <c r="BT471" t="str">
        <f>HYPERLINK("https%3A%2F%2Fwww.webofscience.com%2Fwos%2Fwoscc%2Ffull-record%2FWOS:000428011100021","View Full Record in Web of Science")</f>
        <v>View Full Record in Web of Science</v>
      </c>
    </row>
    <row r="472" spans="1:72" x14ac:dyDescent="0.15">
      <c r="A472" t="s">
        <v>72</v>
      </c>
      <c r="B472" t="s">
        <v>9564</v>
      </c>
      <c r="C472" t="s">
        <v>74</v>
      </c>
      <c r="D472" t="s">
        <v>74</v>
      </c>
      <c r="E472" t="s">
        <v>74</v>
      </c>
      <c r="F472" t="s">
        <v>9565</v>
      </c>
      <c r="G472" t="s">
        <v>74</v>
      </c>
      <c r="H472" t="s">
        <v>74</v>
      </c>
      <c r="I472" t="s">
        <v>9566</v>
      </c>
      <c r="J472" t="s">
        <v>9567</v>
      </c>
      <c r="K472" t="s">
        <v>74</v>
      </c>
      <c r="L472" t="s">
        <v>74</v>
      </c>
      <c r="M472" t="s">
        <v>78</v>
      </c>
      <c r="N472" t="s">
        <v>79</v>
      </c>
      <c r="O472" t="s">
        <v>74</v>
      </c>
      <c r="P472" t="s">
        <v>74</v>
      </c>
      <c r="Q472" t="s">
        <v>74</v>
      </c>
      <c r="R472" t="s">
        <v>74</v>
      </c>
      <c r="S472" t="s">
        <v>74</v>
      </c>
      <c r="T472" t="s">
        <v>9568</v>
      </c>
      <c r="U472" t="s">
        <v>9569</v>
      </c>
      <c r="V472" t="s">
        <v>9570</v>
      </c>
      <c r="W472" t="s">
        <v>9571</v>
      </c>
      <c r="X472" t="s">
        <v>9572</v>
      </c>
      <c r="Y472" t="s">
        <v>9573</v>
      </c>
      <c r="Z472" t="s">
        <v>9574</v>
      </c>
      <c r="AA472" t="s">
        <v>9575</v>
      </c>
      <c r="AB472" t="s">
        <v>74</v>
      </c>
      <c r="AC472" t="s">
        <v>9576</v>
      </c>
      <c r="AD472" t="s">
        <v>9577</v>
      </c>
      <c r="AE472" t="s">
        <v>9578</v>
      </c>
      <c r="AF472" t="s">
        <v>74</v>
      </c>
      <c r="AG472">
        <v>32</v>
      </c>
      <c r="AH472">
        <v>4</v>
      </c>
      <c r="AI472">
        <v>5</v>
      </c>
      <c r="AJ472">
        <v>0</v>
      </c>
      <c r="AK472">
        <v>9</v>
      </c>
      <c r="AL472" t="s">
        <v>9579</v>
      </c>
      <c r="AM472" t="s">
        <v>9580</v>
      </c>
      <c r="AN472" t="s">
        <v>9581</v>
      </c>
      <c r="AO472" t="s">
        <v>9582</v>
      </c>
      <c r="AP472" t="s">
        <v>9583</v>
      </c>
      <c r="AQ472" t="s">
        <v>74</v>
      </c>
      <c r="AR472" t="s">
        <v>9584</v>
      </c>
      <c r="AS472" t="s">
        <v>9585</v>
      </c>
      <c r="AT472" t="s">
        <v>7235</v>
      </c>
      <c r="AU472">
        <v>2018</v>
      </c>
      <c r="AV472">
        <v>17</v>
      </c>
      <c r="AW472">
        <v>2</v>
      </c>
      <c r="AX472" t="s">
        <v>74</v>
      </c>
      <c r="AY472" t="s">
        <v>74</v>
      </c>
      <c r="AZ472" t="s">
        <v>74</v>
      </c>
      <c r="BA472" t="s">
        <v>74</v>
      </c>
      <c r="BB472">
        <v>420</v>
      </c>
      <c r="BC472">
        <v>432</v>
      </c>
      <c r="BD472" t="s">
        <v>74</v>
      </c>
      <c r="BE472" t="s">
        <v>9586</v>
      </c>
      <c r="BF472" t="str">
        <f>HYPERLINK("http://dx.doi.org/10.1007/s11802-018-3353-9","http://dx.doi.org/10.1007/s11802-018-3353-9")</f>
        <v>http://dx.doi.org/10.1007/s11802-018-3353-9</v>
      </c>
      <c r="BG472" t="s">
        <v>74</v>
      </c>
      <c r="BH472" t="s">
        <v>74</v>
      </c>
      <c r="BI472">
        <v>13</v>
      </c>
      <c r="BJ472" t="s">
        <v>364</v>
      </c>
      <c r="BK472" t="s">
        <v>101</v>
      </c>
      <c r="BL472" t="s">
        <v>364</v>
      </c>
      <c r="BM472" t="s">
        <v>9587</v>
      </c>
      <c r="BN472" t="s">
        <v>74</v>
      </c>
      <c r="BO472" t="s">
        <v>74</v>
      </c>
      <c r="BP472" t="s">
        <v>74</v>
      </c>
      <c r="BQ472" t="s">
        <v>74</v>
      </c>
      <c r="BR472" t="s">
        <v>105</v>
      </c>
      <c r="BS472" t="s">
        <v>9588</v>
      </c>
      <c r="BT472" t="str">
        <f>HYPERLINK("https%3A%2F%2Fwww.webofscience.com%2Fwos%2Fwoscc%2Ffull-record%2FWOS:000427906900023","View Full Record in Web of Science")</f>
        <v>View Full Record in Web of Science</v>
      </c>
    </row>
    <row r="473" spans="1:72" x14ac:dyDescent="0.15">
      <c r="A473" t="s">
        <v>72</v>
      </c>
      <c r="B473" t="s">
        <v>9589</v>
      </c>
      <c r="C473" t="s">
        <v>74</v>
      </c>
      <c r="D473" t="s">
        <v>74</v>
      </c>
      <c r="E473" t="s">
        <v>74</v>
      </c>
      <c r="F473" t="s">
        <v>9590</v>
      </c>
      <c r="G473" t="s">
        <v>74</v>
      </c>
      <c r="H473" t="s">
        <v>74</v>
      </c>
      <c r="I473" t="s">
        <v>9591</v>
      </c>
      <c r="J473" t="s">
        <v>3853</v>
      </c>
      <c r="K473" t="s">
        <v>74</v>
      </c>
      <c r="L473" t="s">
        <v>74</v>
      </c>
      <c r="M473" t="s">
        <v>78</v>
      </c>
      <c r="N473" t="s">
        <v>79</v>
      </c>
      <c r="O473" t="s">
        <v>74</v>
      </c>
      <c r="P473" t="s">
        <v>74</v>
      </c>
      <c r="Q473" t="s">
        <v>74</v>
      </c>
      <c r="R473" t="s">
        <v>74</v>
      </c>
      <c r="S473" t="s">
        <v>74</v>
      </c>
      <c r="T473" t="s">
        <v>9592</v>
      </c>
      <c r="U473" t="s">
        <v>9593</v>
      </c>
      <c r="V473" t="s">
        <v>9594</v>
      </c>
      <c r="W473" t="s">
        <v>9595</v>
      </c>
      <c r="X473" t="s">
        <v>9596</v>
      </c>
      <c r="Y473" t="s">
        <v>9597</v>
      </c>
      <c r="Z473" t="s">
        <v>9598</v>
      </c>
      <c r="AA473" t="s">
        <v>9599</v>
      </c>
      <c r="AB473" t="s">
        <v>9600</v>
      </c>
      <c r="AC473" t="s">
        <v>9601</v>
      </c>
      <c r="AD473" t="s">
        <v>9602</v>
      </c>
      <c r="AE473" t="s">
        <v>9603</v>
      </c>
      <c r="AF473" t="s">
        <v>74</v>
      </c>
      <c r="AG473">
        <v>66</v>
      </c>
      <c r="AH473">
        <v>12</v>
      </c>
      <c r="AI473">
        <v>13</v>
      </c>
      <c r="AJ473">
        <v>0</v>
      </c>
      <c r="AK473">
        <v>8</v>
      </c>
      <c r="AL473" t="s">
        <v>425</v>
      </c>
      <c r="AM473" t="s">
        <v>278</v>
      </c>
      <c r="AN473" t="s">
        <v>426</v>
      </c>
      <c r="AO473" t="s">
        <v>3866</v>
      </c>
      <c r="AP473" t="s">
        <v>3867</v>
      </c>
      <c r="AQ473" t="s">
        <v>74</v>
      </c>
      <c r="AR473" t="s">
        <v>3868</v>
      </c>
      <c r="AS473" t="s">
        <v>3869</v>
      </c>
      <c r="AT473" t="s">
        <v>7235</v>
      </c>
      <c r="AU473">
        <v>2018</v>
      </c>
      <c r="AV473">
        <v>124</v>
      </c>
      <c r="AW473" t="s">
        <v>74</v>
      </c>
      <c r="AX473" t="s">
        <v>74</v>
      </c>
      <c r="AY473" t="s">
        <v>74</v>
      </c>
      <c r="AZ473" t="s">
        <v>74</v>
      </c>
      <c r="BA473" t="s">
        <v>74</v>
      </c>
      <c r="BB473">
        <v>1</v>
      </c>
      <c r="BC473">
        <v>15</v>
      </c>
      <c r="BD473" t="s">
        <v>74</v>
      </c>
      <c r="BE473" t="s">
        <v>9604</v>
      </c>
      <c r="BF473" t="str">
        <f>HYPERLINK("http://dx.doi.org/10.1016/j.ocemod.2018.01.008","http://dx.doi.org/10.1016/j.ocemod.2018.01.008")</f>
        <v>http://dx.doi.org/10.1016/j.ocemod.2018.01.008</v>
      </c>
      <c r="BG473" t="s">
        <v>74</v>
      </c>
      <c r="BH473" t="s">
        <v>74</v>
      </c>
      <c r="BI473">
        <v>15</v>
      </c>
      <c r="BJ473" t="s">
        <v>3871</v>
      </c>
      <c r="BK473" t="s">
        <v>101</v>
      </c>
      <c r="BL473" t="s">
        <v>3871</v>
      </c>
      <c r="BM473" t="s">
        <v>9605</v>
      </c>
      <c r="BN473" t="s">
        <v>74</v>
      </c>
      <c r="BO473" t="s">
        <v>341</v>
      </c>
      <c r="BP473" t="s">
        <v>74</v>
      </c>
      <c r="BQ473" t="s">
        <v>74</v>
      </c>
      <c r="BR473" t="s">
        <v>105</v>
      </c>
      <c r="BS473" t="s">
        <v>9606</v>
      </c>
      <c r="BT473" t="str">
        <f>HYPERLINK("https%3A%2F%2Fwww.webofscience.com%2Fwos%2Fwoscc%2Ffull-record%2FWOS:000427635500001","View Full Record in Web of Science")</f>
        <v>View Full Record in Web of Science</v>
      </c>
    </row>
    <row r="474" spans="1:72" x14ac:dyDescent="0.15">
      <c r="A474" t="s">
        <v>72</v>
      </c>
      <c r="B474" t="s">
        <v>9607</v>
      </c>
      <c r="C474" t="s">
        <v>74</v>
      </c>
      <c r="D474" t="s">
        <v>74</v>
      </c>
      <c r="E474" t="s">
        <v>74</v>
      </c>
      <c r="F474" t="s">
        <v>9608</v>
      </c>
      <c r="G474" t="s">
        <v>74</v>
      </c>
      <c r="H474" t="s">
        <v>74</v>
      </c>
      <c r="I474" t="s">
        <v>9609</v>
      </c>
      <c r="J474" t="s">
        <v>9610</v>
      </c>
      <c r="K474" t="s">
        <v>74</v>
      </c>
      <c r="L474" t="s">
        <v>74</v>
      </c>
      <c r="M474" t="s">
        <v>78</v>
      </c>
      <c r="N474" t="s">
        <v>371</v>
      </c>
      <c r="O474" t="s">
        <v>74</v>
      </c>
      <c r="P474" t="s">
        <v>74</v>
      </c>
      <c r="Q474" t="s">
        <v>74</v>
      </c>
      <c r="R474" t="s">
        <v>74</v>
      </c>
      <c r="S474" t="s">
        <v>74</v>
      </c>
      <c r="T474" t="s">
        <v>74</v>
      </c>
      <c r="U474" t="s">
        <v>74</v>
      </c>
      <c r="V474" t="s">
        <v>74</v>
      </c>
      <c r="W474" t="s">
        <v>9611</v>
      </c>
      <c r="X474" t="s">
        <v>9612</v>
      </c>
      <c r="Y474" t="s">
        <v>9613</v>
      </c>
      <c r="Z474" t="s">
        <v>9614</v>
      </c>
      <c r="AA474" t="s">
        <v>9615</v>
      </c>
      <c r="AB474" t="s">
        <v>74</v>
      </c>
      <c r="AC474" t="s">
        <v>9616</v>
      </c>
      <c r="AD474" t="s">
        <v>9617</v>
      </c>
      <c r="AE474" t="s">
        <v>74</v>
      </c>
      <c r="AF474" t="s">
        <v>74</v>
      </c>
      <c r="AG474">
        <v>9</v>
      </c>
      <c r="AH474">
        <v>0</v>
      </c>
      <c r="AI474">
        <v>0</v>
      </c>
      <c r="AJ474">
        <v>0</v>
      </c>
      <c r="AK474">
        <v>4</v>
      </c>
      <c r="AL474" t="s">
        <v>2027</v>
      </c>
      <c r="AM474" t="s">
        <v>2028</v>
      </c>
      <c r="AN474" t="s">
        <v>2029</v>
      </c>
      <c r="AO474" t="s">
        <v>9618</v>
      </c>
      <c r="AP474" t="s">
        <v>9619</v>
      </c>
      <c r="AQ474" t="s">
        <v>74</v>
      </c>
      <c r="AR474" t="s">
        <v>9620</v>
      </c>
      <c r="AS474" t="s">
        <v>9621</v>
      </c>
      <c r="AT474" t="s">
        <v>7235</v>
      </c>
      <c r="AU474">
        <v>2018</v>
      </c>
      <c r="AV474">
        <v>35</v>
      </c>
      <c r="AW474">
        <v>4</v>
      </c>
      <c r="AX474" t="s">
        <v>74</v>
      </c>
      <c r="AY474" t="s">
        <v>74</v>
      </c>
      <c r="AZ474" t="s">
        <v>74</v>
      </c>
      <c r="BA474" t="s">
        <v>74</v>
      </c>
      <c r="BB474">
        <v>371</v>
      </c>
      <c r="BC474">
        <v>375</v>
      </c>
      <c r="BD474" t="s">
        <v>74</v>
      </c>
      <c r="BE474" t="s">
        <v>9622</v>
      </c>
      <c r="BF474" t="str">
        <f>HYPERLINK("http://dx.doi.org/10.1007/s00376-017-7240-x","http://dx.doi.org/10.1007/s00376-017-7240-x")</f>
        <v>http://dx.doi.org/10.1007/s00376-017-7240-x</v>
      </c>
      <c r="BG474" t="s">
        <v>74</v>
      </c>
      <c r="BH474" t="s">
        <v>74</v>
      </c>
      <c r="BI474">
        <v>5</v>
      </c>
      <c r="BJ474" t="s">
        <v>131</v>
      </c>
      <c r="BK474" t="s">
        <v>101</v>
      </c>
      <c r="BL474" t="s">
        <v>131</v>
      </c>
      <c r="BM474" t="s">
        <v>9623</v>
      </c>
      <c r="BN474" t="s">
        <v>74</v>
      </c>
      <c r="BO474" t="s">
        <v>162</v>
      </c>
      <c r="BP474" t="s">
        <v>74</v>
      </c>
      <c r="BQ474" t="s">
        <v>74</v>
      </c>
      <c r="BR474" t="s">
        <v>105</v>
      </c>
      <c r="BS474" t="s">
        <v>9624</v>
      </c>
      <c r="BT474" t="str">
        <f>HYPERLINK("https%3A%2F%2Fwww.webofscience.com%2Fwos%2Fwoscc%2Ffull-record%2FWOS:000425327700001","View Full Record in Web of Science")</f>
        <v>View Full Record in Web of Science</v>
      </c>
    </row>
    <row r="475" spans="1:72" x14ac:dyDescent="0.15">
      <c r="A475" t="s">
        <v>72</v>
      </c>
      <c r="B475" t="s">
        <v>367</v>
      </c>
      <c r="C475" t="s">
        <v>74</v>
      </c>
      <c r="D475" t="s">
        <v>74</v>
      </c>
      <c r="E475" t="s">
        <v>74</v>
      </c>
      <c r="F475" t="s">
        <v>368</v>
      </c>
      <c r="G475" t="s">
        <v>74</v>
      </c>
      <c r="H475" t="s">
        <v>74</v>
      </c>
      <c r="I475" t="s">
        <v>9625</v>
      </c>
      <c r="J475" t="s">
        <v>370</v>
      </c>
      <c r="K475" t="s">
        <v>74</v>
      </c>
      <c r="L475" t="s">
        <v>74</v>
      </c>
      <c r="M475" t="s">
        <v>78</v>
      </c>
      <c r="N475" t="s">
        <v>371</v>
      </c>
      <c r="O475" t="s">
        <v>74</v>
      </c>
      <c r="P475" t="s">
        <v>74</v>
      </c>
      <c r="Q475" t="s">
        <v>74</v>
      </c>
      <c r="R475" t="s">
        <v>74</v>
      </c>
      <c r="S475" t="s">
        <v>74</v>
      </c>
      <c r="T475" t="s">
        <v>74</v>
      </c>
      <c r="U475" t="s">
        <v>74</v>
      </c>
      <c r="V475" t="s">
        <v>74</v>
      </c>
      <c r="W475" t="s">
        <v>74</v>
      </c>
      <c r="X475" t="s">
        <v>74</v>
      </c>
      <c r="Y475" t="s">
        <v>74</v>
      </c>
      <c r="Z475" t="s">
        <v>74</v>
      </c>
      <c r="AA475" t="s">
        <v>74</v>
      </c>
      <c r="AB475" t="s">
        <v>74</v>
      </c>
      <c r="AC475" t="s">
        <v>74</v>
      </c>
      <c r="AD475" t="s">
        <v>74</v>
      </c>
      <c r="AE475" t="s">
        <v>74</v>
      </c>
      <c r="AF475" t="s">
        <v>74</v>
      </c>
      <c r="AG475">
        <v>0</v>
      </c>
      <c r="AH475">
        <v>0</v>
      </c>
      <c r="AI475">
        <v>0</v>
      </c>
      <c r="AJ475">
        <v>0</v>
      </c>
      <c r="AK475">
        <v>1</v>
      </c>
      <c r="AL475" t="s">
        <v>372</v>
      </c>
      <c r="AM475" t="s">
        <v>92</v>
      </c>
      <c r="AN475" t="s">
        <v>373</v>
      </c>
      <c r="AO475" t="s">
        <v>374</v>
      </c>
      <c r="AP475" t="s">
        <v>375</v>
      </c>
      <c r="AQ475" t="s">
        <v>74</v>
      </c>
      <c r="AR475" t="s">
        <v>376</v>
      </c>
      <c r="AS475" t="s">
        <v>377</v>
      </c>
      <c r="AT475" t="s">
        <v>7235</v>
      </c>
      <c r="AU475">
        <v>2018</v>
      </c>
      <c r="AV475">
        <v>30</v>
      </c>
      <c r="AW475">
        <v>2</v>
      </c>
      <c r="AX475" t="s">
        <v>74</v>
      </c>
      <c r="AY475" t="s">
        <v>74</v>
      </c>
      <c r="AZ475" t="s">
        <v>74</v>
      </c>
      <c r="BA475" t="s">
        <v>74</v>
      </c>
      <c r="BB475">
        <v>81</v>
      </c>
      <c r="BC475">
        <v>81</v>
      </c>
      <c r="BD475" t="s">
        <v>74</v>
      </c>
      <c r="BE475" t="s">
        <v>9626</v>
      </c>
      <c r="BF475" t="str">
        <f>HYPERLINK("http://dx.doi.org/10.1017/S0954102018000032","http://dx.doi.org/10.1017/S0954102018000032")</f>
        <v>http://dx.doi.org/10.1017/S0954102018000032</v>
      </c>
      <c r="BG475" t="s">
        <v>74</v>
      </c>
      <c r="BH475" t="s">
        <v>74</v>
      </c>
      <c r="BI475">
        <v>1</v>
      </c>
      <c r="BJ475" t="s">
        <v>379</v>
      </c>
      <c r="BK475" t="s">
        <v>101</v>
      </c>
      <c r="BL475" t="s">
        <v>380</v>
      </c>
      <c r="BM475" t="s">
        <v>9627</v>
      </c>
      <c r="BN475" t="s">
        <v>74</v>
      </c>
      <c r="BO475" t="s">
        <v>162</v>
      </c>
      <c r="BP475" t="s">
        <v>74</v>
      </c>
      <c r="BQ475" t="s">
        <v>74</v>
      </c>
      <c r="BR475" t="s">
        <v>105</v>
      </c>
      <c r="BS475" t="s">
        <v>9628</v>
      </c>
      <c r="BT475" t="str">
        <f>HYPERLINK("https%3A%2F%2Fwww.webofscience.com%2Fwos%2Fwoscc%2Ffull-record%2FWOS:000427291800001","View Full Record in Web of Science")</f>
        <v>View Full Record in Web of Science</v>
      </c>
    </row>
    <row r="476" spans="1:72" x14ac:dyDescent="0.15">
      <c r="A476" t="s">
        <v>72</v>
      </c>
      <c r="B476" t="s">
        <v>9629</v>
      </c>
      <c r="C476" t="s">
        <v>74</v>
      </c>
      <c r="D476" t="s">
        <v>74</v>
      </c>
      <c r="E476" t="s">
        <v>74</v>
      </c>
      <c r="F476" t="s">
        <v>9630</v>
      </c>
      <c r="G476" t="s">
        <v>74</v>
      </c>
      <c r="H476" t="s">
        <v>74</v>
      </c>
      <c r="I476" t="s">
        <v>9631</v>
      </c>
      <c r="J476" t="s">
        <v>370</v>
      </c>
      <c r="K476" t="s">
        <v>74</v>
      </c>
      <c r="L476" t="s">
        <v>74</v>
      </c>
      <c r="M476" t="s">
        <v>78</v>
      </c>
      <c r="N476" t="s">
        <v>79</v>
      </c>
      <c r="O476" t="s">
        <v>74</v>
      </c>
      <c r="P476" t="s">
        <v>74</v>
      </c>
      <c r="Q476" t="s">
        <v>74</v>
      </c>
      <c r="R476" t="s">
        <v>74</v>
      </c>
      <c r="S476" t="s">
        <v>74</v>
      </c>
      <c r="T476" t="s">
        <v>9632</v>
      </c>
      <c r="U476" t="s">
        <v>9633</v>
      </c>
      <c r="V476" t="s">
        <v>9634</v>
      </c>
      <c r="W476" t="s">
        <v>9635</v>
      </c>
      <c r="X476" t="s">
        <v>9636</v>
      </c>
      <c r="Y476" t="s">
        <v>9637</v>
      </c>
      <c r="Z476" t="s">
        <v>9638</v>
      </c>
      <c r="AA476" t="s">
        <v>74</v>
      </c>
      <c r="AB476" t="s">
        <v>74</v>
      </c>
      <c r="AC476" t="s">
        <v>9639</v>
      </c>
      <c r="AD476" t="s">
        <v>9640</v>
      </c>
      <c r="AE476" t="s">
        <v>9641</v>
      </c>
      <c r="AF476" t="s">
        <v>74</v>
      </c>
      <c r="AG476">
        <v>45</v>
      </c>
      <c r="AH476">
        <v>31</v>
      </c>
      <c r="AI476">
        <v>31</v>
      </c>
      <c r="AJ476">
        <v>0</v>
      </c>
      <c r="AK476">
        <v>15</v>
      </c>
      <c r="AL476" t="s">
        <v>372</v>
      </c>
      <c r="AM476" t="s">
        <v>92</v>
      </c>
      <c r="AN476" t="s">
        <v>373</v>
      </c>
      <c r="AO476" t="s">
        <v>374</v>
      </c>
      <c r="AP476" t="s">
        <v>375</v>
      </c>
      <c r="AQ476" t="s">
        <v>74</v>
      </c>
      <c r="AR476" t="s">
        <v>376</v>
      </c>
      <c r="AS476" t="s">
        <v>377</v>
      </c>
      <c r="AT476" t="s">
        <v>7235</v>
      </c>
      <c r="AU476">
        <v>2018</v>
      </c>
      <c r="AV476">
        <v>30</v>
      </c>
      <c r="AW476">
        <v>2</v>
      </c>
      <c r="AX476" t="s">
        <v>74</v>
      </c>
      <c r="AY476" t="s">
        <v>74</v>
      </c>
      <c r="AZ476" t="s">
        <v>74</v>
      </c>
      <c r="BA476" t="s">
        <v>74</v>
      </c>
      <c r="BB476">
        <v>125</v>
      </c>
      <c r="BC476">
        <v>142</v>
      </c>
      <c r="BD476" t="s">
        <v>74</v>
      </c>
      <c r="BE476" t="s">
        <v>9642</v>
      </c>
      <c r="BF476" t="str">
        <f>HYPERLINK("http://dx.doi.org/10.1017/S0954102017000578","http://dx.doi.org/10.1017/S0954102017000578")</f>
        <v>http://dx.doi.org/10.1017/S0954102017000578</v>
      </c>
      <c r="BG476" t="s">
        <v>74</v>
      </c>
      <c r="BH476" t="s">
        <v>74</v>
      </c>
      <c r="BI476">
        <v>18</v>
      </c>
      <c r="BJ476" t="s">
        <v>379</v>
      </c>
      <c r="BK476" t="s">
        <v>101</v>
      </c>
      <c r="BL476" t="s">
        <v>380</v>
      </c>
      <c r="BM476" t="s">
        <v>9627</v>
      </c>
      <c r="BN476" t="s">
        <v>74</v>
      </c>
      <c r="BO476" t="s">
        <v>74</v>
      </c>
      <c r="BP476" t="s">
        <v>74</v>
      </c>
      <c r="BQ476" t="s">
        <v>74</v>
      </c>
      <c r="BR476" t="s">
        <v>105</v>
      </c>
      <c r="BS476" t="s">
        <v>9643</v>
      </c>
      <c r="BT476" t="str">
        <f>HYPERLINK("https%3A%2F%2Fwww.webofscience.com%2Fwos%2Fwoscc%2Ffull-record%2FWOS:000427291800006","View Full Record in Web of Science")</f>
        <v>View Full Record in Web of Science</v>
      </c>
    </row>
    <row r="477" spans="1:72" x14ac:dyDescent="0.15">
      <c r="A477" t="s">
        <v>72</v>
      </c>
      <c r="B477" t="s">
        <v>9644</v>
      </c>
      <c r="C477" t="s">
        <v>74</v>
      </c>
      <c r="D477" t="s">
        <v>74</v>
      </c>
      <c r="E477" t="s">
        <v>74</v>
      </c>
      <c r="F477" t="s">
        <v>9645</v>
      </c>
      <c r="G477" t="s">
        <v>74</v>
      </c>
      <c r="H477" t="s">
        <v>74</v>
      </c>
      <c r="I477" t="s">
        <v>9646</v>
      </c>
      <c r="J477" t="s">
        <v>9647</v>
      </c>
      <c r="K477" t="s">
        <v>74</v>
      </c>
      <c r="L477" t="s">
        <v>74</v>
      </c>
      <c r="M477" t="s">
        <v>78</v>
      </c>
      <c r="N477" t="s">
        <v>79</v>
      </c>
      <c r="O477" t="s">
        <v>74</v>
      </c>
      <c r="P477" t="s">
        <v>74</v>
      </c>
      <c r="Q477" t="s">
        <v>74</v>
      </c>
      <c r="R477" t="s">
        <v>74</v>
      </c>
      <c r="S477" t="s">
        <v>74</v>
      </c>
      <c r="T477" t="s">
        <v>9648</v>
      </c>
      <c r="U477" t="s">
        <v>9649</v>
      </c>
      <c r="V477" t="s">
        <v>9650</v>
      </c>
      <c r="W477" t="s">
        <v>9651</v>
      </c>
      <c r="X477" t="s">
        <v>9652</v>
      </c>
      <c r="Y477" t="s">
        <v>9653</v>
      </c>
      <c r="Z477" t="s">
        <v>9654</v>
      </c>
      <c r="AA477" t="s">
        <v>9655</v>
      </c>
      <c r="AB477" t="s">
        <v>9656</v>
      </c>
      <c r="AC477" t="s">
        <v>9657</v>
      </c>
      <c r="AD477" t="s">
        <v>9658</v>
      </c>
      <c r="AE477" t="s">
        <v>9659</v>
      </c>
      <c r="AF477" t="s">
        <v>74</v>
      </c>
      <c r="AG477">
        <v>38</v>
      </c>
      <c r="AH477">
        <v>14</v>
      </c>
      <c r="AI477">
        <v>14</v>
      </c>
      <c r="AJ477">
        <v>0</v>
      </c>
      <c r="AK477">
        <v>22</v>
      </c>
      <c r="AL477" t="s">
        <v>91</v>
      </c>
      <c r="AM477" t="s">
        <v>1468</v>
      </c>
      <c r="AN477" t="s">
        <v>1469</v>
      </c>
      <c r="AO477" t="s">
        <v>9660</v>
      </c>
      <c r="AP477" t="s">
        <v>9661</v>
      </c>
      <c r="AQ477" t="s">
        <v>74</v>
      </c>
      <c r="AR477" t="s">
        <v>9662</v>
      </c>
      <c r="AS477" t="s">
        <v>9663</v>
      </c>
      <c r="AT477" t="s">
        <v>7235</v>
      </c>
      <c r="AU477">
        <v>2018</v>
      </c>
      <c r="AV477">
        <v>111</v>
      </c>
      <c r="AW477">
        <v>4</v>
      </c>
      <c r="AX477" t="s">
        <v>74</v>
      </c>
      <c r="AY477" t="s">
        <v>74</v>
      </c>
      <c r="AZ477" t="s">
        <v>74</v>
      </c>
      <c r="BA477" t="s">
        <v>74</v>
      </c>
      <c r="BB477">
        <v>629</v>
      </c>
      <c r="BC477">
        <v>636</v>
      </c>
      <c r="BD477" t="s">
        <v>74</v>
      </c>
      <c r="BE477" t="s">
        <v>9664</v>
      </c>
      <c r="BF477" t="str">
        <f>HYPERLINK("http://dx.doi.org/10.1007/s10482-017-0983-7","http://dx.doi.org/10.1007/s10482-017-0983-7")</f>
        <v>http://dx.doi.org/10.1007/s10482-017-0983-7</v>
      </c>
      <c r="BG477" t="s">
        <v>74</v>
      </c>
      <c r="BH477" t="s">
        <v>74</v>
      </c>
      <c r="BI477">
        <v>8</v>
      </c>
      <c r="BJ477" t="s">
        <v>510</v>
      </c>
      <c r="BK477" t="s">
        <v>101</v>
      </c>
      <c r="BL477" t="s">
        <v>510</v>
      </c>
      <c r="BM477" t="s">
        <v>9665</v>
      </c>
      <c r="BN477">
        <v>29143212</v>
      </c>
      <c r="BO477" t="s">
        <v>74</v>
      </c>
      <c r="BP477" t="s">
        <v>74</v>
      </c>
      <c r="BQ477" t="s">
        <v>74</v>
      </c>
      <c r="BR477" t="s">
        <v>105</v>
      </c>
      <c r="BS477" t="s">
        <v>9666</v>
      </c>
      <c r="BT477" t="str">
        <f>HYPERLINK("https%3A%2F%2Fwww.webofscience.com%2Fwos%2Fwoscc%2Ffull-record%2FWOS:000427167600014","View Full Record in Web of Science")</f>
        <v>View Full Record in Web of Science</v>
      </c>
    </row>
    <row r="478" spans="1:72" x14ac:dyDescent="0.15">
      <c r="A478" t="s">
        <v>72</v>
      </c>
      <c r="B478" t="s">
        <v>9667</v>
      </c>
      <c r="C478" t="s">
        <v>74</v>
      </c>
      <c r="D478" t="s">
        <v>74</v>
      </c>
      <c r="E478" t="s">
        <v>74</v>
      </c>
      <c r="F478" t="s">
        <v>9668</v>
      </c>
      <c r="G478" t="s">
        <v>74</v>
      </c>
      <c r="H478" t="s">
        <v>74</v>
      </c>
      <c r="I478" t="s">
        <v>9669</v>
      </c>
      <c r="J478" t="s">
        <v>8704</v>
      </c>
      <c r="K478" t="s">
        <v>74</v>
      </c>
      <c r="L478" t="s">
        <v>74</v>
      </c>
      <c r="M478" t="s">
        <v>78</v>
      </c>
      <c r="N478" t="s">
        <v>79</v>
      </c>
      <c r="O478" t="s">
        <v>74</v>
      </c>
      <c r="P478" t="s">
        <v>74</v>
      </c>
      <c r="Q478" t="s">
        <v>74</v>
      </c>
      <c r="R478" t="s">
        <v>74</v>
      </c>
      <c r="S478" t="s">
        <v>74</v>
      </c>
      <c r="T478" t="s">
        <v>9670</v>
      </c>
      <c r="U478" t="s">
        <v>9671</v>
      </c>
      <c r="V478" t="s">
        <v>9672</v>
      </c>
      <c r="W478" t="s">
        <v>9673</v>
      </c>
      <c r="X478" t="s">
        <v>9674</v>
      </c>
      <c r="Y478" t="s">
        <v>9675</v>
      </c>
      <c r="Z478" t="s">
        <v>9676</v>
      </c>
      <c r="AA478" t="s">
        <v>9677</v>
      </c>
      <c r="AB478" t="s">
        <v>9678</v>
      </c>
      <c r="AC478" t="s">
        <v>9679</v>
      </c>
      <c r="AD478" t="s">
        <v>9680</v>
      </c>
      <c r="AE478" t="s">
        <v>9681</v>
      </c>
      <c r="AF478" t="s">
        <v>74</v>
      </c>
      <c r="AG478">
        <v>62</v>
      </c>
      <c r="AH478">
        <v>17</v>
      </c>
      <c r="AI478">
        <v>18</v>
      </c>
      <c r="AJ478">
        <v>0</v>
      </c>
      <c r="AK478">
        <v>15</v>
      </c>
      <c r="AL478" t="s">
        <v>277</v>
      </c>
      <c r="AM478" t="s">
        <v>278</v>
      </c>
      <c r="AN478" t="s">
        <v>279</v>
      </c>
      <c r="AO478" t="s">
        <v>8717</v>
      </c>
      <c r="AP478" t="s">
        <v>8718</v>
      </c>
      <c r="AQ478" t="s">
        <v>74</v>
      </c>
      <c r="AR478" t="s">
        <v>8719</v>
      </c>
      <c r="AS478" t="s">
        <v>8720</v>
      </c>
      <c r="AT478" t="s">
        <v>7424</v>
      </c>
      <c r="AU478">
        <v>2018</v>
      </c>
      <c r="AV478">
        <v>157</v>
      </c>
      <c r="AW478" t="s">
        <v>74</v>
      </c>
      <c r="AX478" t="s">
        <v>74</v>
      </c>
      <c r="AY478" t="s">
        <v>74</v>
      </c>
      <c r="AZ478" t="s">
        <v>74</v>
      </c>
      <c r="BA478" t="s">
        <v>74</v>
      </c>
      <c r="BB478">
        <v>20</v>
      </c>
      <c r="BC478">
        <v>31</v>
      </c>
      <c r="BD478" t="s">
        <v>74</v>
      </c>
      <c r="BE478" t="s">
        <v>9682</v>
      </c>
      <c r="BF478" t="str">
        <f>HYPERLINK("http://dx.doi.org/10.1016/j.csr.2018.02.005","http://dx.doi.org/10.1016/j.csr.2018.02.005")</f>
        <v>http://dx.doi.org/10.1016/j.csr.2018.02.005</v>
      </c>
      <c r="BG478" t="s">
        <v>74</v>
      </c>
      <c r="BH478" t="s">
        <v>74</v>
      </c>
      <c r="BI478">
        <v>12</v>
      </c>
      <c r="BJ478" t="s">
        <v>364</v>
      </c>
      <c r="BK478" t="s">
        <v>101</v>
      </c>
      <c r="BL478" t="s">
        <v>364</v>
      </c>
      <c r="BM478" t="s">
        <v>8722</v>
      </c>
      <c r="BN478" t="s">
        <v>74</v>
      </c>
      <c r="BO478" t="s">
        <v>74</v>
      </c>
      <c r="BP478" t="s">
        <v>74</v>
      </c>
      <c r="BQ478" t="s">
        <v>74</v>
      </c>
      <c r="BR478" t="s">
        <v>105</v>
      </c>
      <c r="BS478" t="s">
        <v>9683</v>
      </c>
      <c r="BT478" t="str">
        <f>HYPERLINK("https%3A%2F%2Fwww.webofscience.com%2Fwos%2Fwoscc%2Ffull-record%2FWOS:000430768800003","View Full Record in Web of Science")</f>
        <v>View Full Record in Web of Science</v>
      </c>
    </row>
    <row r="479" spans="1:72" x14ac:dyDescent="0.15">
      <c r="A479" t="s">
        <v>72</v>
      </c>
      <c r="B479" t="s">
        <v>9684</v>
      </c>
      <c r="C479" t="s">
        <v>74</v>
      </c>
      <c r="D479" t="s">
        <v>74</v>
      </c>
      <c r="E479" t="s">
        <v>74</v>
      </c>
      <c r="F479" t="s">
        <v>9685</v>
      </c>
      <c r="G479" t="s">
        <v>74</v>
      </c>
      <c r="H479" t="s">
        <v>74</v>
      </c>
      <c r="I479" t="s">
        <v>9686</v>
      </c>
      <c r="J479" t="s">
        <v>3376</v>
      </c>
      <c r="K479" t="s">
        <v>74</v>
      </c>
      <c r="L479" t="s">
        <v>74</v>
      </c>
      <c r="M479" t="s">
        <v>78</v>
      </c>
      <c r="N479" t="s">
        <v>79</v>
      </c>
      <c r="O479" t="s">
        <v>74</v>
      </c>
      <c r="P479" t="s">
        <v>74</v>
      </c>
      <c r="Q479" t="s">
        <v>74</v>
      </c>
      <c r="R479" t="s">
        <v>74</v>
      </c>
      <c r="S479" t="s">
        <v>74</v>
      </c>
      <c r="T479" t="s">
        <v>9687</v>
      </c>
      <c r="U479" t="s">
        <v>9688</v>
      </c>
      <c r="V479" t="s">
        <v>9689</v>
      </c>
      <c r="W479" t="s">
        <v>9690</v>
      </c>
      <c r="X479" t="s">
        <v>9691</v>
      </c>
      <c r="Y479" t="s">
        <v>9692</v>
      </c>
      <c r="Z479" t="s">
        <v>3383</v>
      </c>
      <c r="AA479" t="s">
        <v>74</v>
      </c>
      <c r="AB479" t="s">
        <v>74</v>
      </c>
      <c r="AC479" t="s">
        <v>9693</v>
      </c>
      <c r="AD479" t="s">
        <v>9694</v>
      </c>
      <c r="AE479" t="s">
        <v>9695</v>
      </c>
      <c r="AF479" t="s">
        <v>74</v>
      </c>
      <c r="AG479">
        <v>66</v>
      </c>
      <c r="AH479">
        <v>33</v>
      </c>
      <c r="AI479">
        <v>38</v>
      </c>
      <c r="AJ479">
        <v>2</v>
      </c>
      <c r="AK479">
        <v>40</v>
      </c>
      <c r="AL479" t="s">
        <v>179</v>
      </c>
      <c r="AM479" t="s">
        <v>180</v>
      </c>
      <c r="AN479" t="s">
        <v>181</v>
      </c>
      <c r="AO479" t="s">
        <v>3389</v>
      </c>
      <c r="AP479" t="s">
        <v>3390</v>
      </c>
      <c r="AQ479" t="s">
        <v>74</v>
      </c>
      <c r="AR479" t="s">
        <v>3391</v>
      </c>
      <c r="AS479" t="s">
        <v>3392</v>
      </c>
      <c r="AT479" t="s">
        <v>7235</v>
      </c>
      <c r="AU479">
        <v>2018</v>
      </c>
      <c r="AV479">
        <v>285</v>
      </c>
      <c r="AW479">
        <v>8</v>
      </c>
      <c r="AX479" t="s">
        <v>74</v>
      </c>
      <c r="AY479" t="s">
        <v>74</v>
      </c>
      <c r="AZ479" t="s">
        <v>74</v>
      </c>
      <c r="BA479" t="s">
        <v>74</v>
      </c>
      <c r="BB479">
        <v>1511</v>
      </c>
      <c r="BC479">
        <v>1527</v>
      </c>
      <c r="BD479" t="s">
        <v>74</v>
      </c>
      <c r="BE479" t="s">
        <v>9696</v>
      </c>
      <c r="BF479" t="str">
        <f>HYPERLINK("http://dx.doi.org/10.1111/febs.14424","http://dx.doi.org/10.1111/febs.14424")</f>
        <v>http://dx.doi.org/10.1111/febs.14424</v>
      </c>
      <c r="BG479" t="s">
        <v>74</v>
      </c>
      <c r="BH479" t="s">
        <v>74</v>
      </c>
      <c r="BI479">
        <v>17</v>
      </c>
      <c r="BJ479" t="s">
        <v>3394</v>
      </c>
      <c r="BK479" t="s">
        <v>101</v>
      </c>
      <c r="BL479" t="s">
        <v>3394</v>
      </c>
      <c r="BM479" t="s">
        <v>9697</v>
      </c>
      <c r="BN479">
        <v>29498209</v>
      </c>
      <c r="BO479" t="s">
        <v>162</v>
      </c>
      <c r="BP479" t="s">
        <v>74</v>
      </c>
      <c r="BQ479" t="s">
        <v>74</v>
      </c>
      <c r="BR479" t="s">
        <v>105</v>
      </c>
      <c r="BS479" t="s">
        <v>9698</v>
      </c>
      <c r="BT479" t="str">
        <f>HYPERLINK("https%3A%2F%2Fwww.webofscience.com%2Fwos%2Fwoscc%2Ffull-record%2FWOS:000430691000010","View Full Record in Web of Science")</f>
        <v>View Full Record in Web of Science</v>
      </c>
    </row>
    <row r="480" spans="1:72" x14ac:dyDescent="0.15">
      <c r="A480" t="s">
        <v>72</v>
      </c>
      <c r="B480" t="s">
        <v>9699</v>
      </c>
      <c r="C480" t="s">
        <v>74</v>
      </c>
      <c r="D480" t="s">
        <v>74</v>
      </c>
      <c r="E480" t="s">
        <v>74</v>
      </c>
      <c r="F480" t="s">
        <v>9700</v>
      </c>
      <c r="G480" t="s">
        <v>74</v>
      </c>
      <c r="H480" t="s">
        <v>74</v>
      </c>
      <c r="I480" t="s">
        <v>9701</v>
      </c>
      <c r="J480" t="s">
        <v>4002</v>
      </c>
      <c r="K480" t="s">
        <v>74</v>
      </c>
      <c r="L480" t="s">
        <v>74</v>
      </c>
      <c r="M480" t="s">
        <v>78</v>
      </c>
      <c r="N480" t="s">
        <v>79</v>
      </c>
      <c r="O480" t="s">
        <v>74</v>
      </c>
      <c r="P480" t="s">
        <v>74</v>
      </c>
      <c r="Q480" t="s">
        <v>74</v>
      </c>
      <c r="R480" t="s">
        <v>74</v>
      </c>
      <c r="S480" t="s">
        <v>74</v>
      </c>
      <c r="T480" t="s">
        <v>9702</v>
      </c>
      <c r="U480" t="s">
        <v>9703</v>
      </c>
      <c r="V480" t="s">
        <v>9704</v>
      </c>
      <c r="W480" t="s">
        <v>9705</v>
      </c>
      <c r="X480" t="s">
        <v>9706</v>
      </c>
      <c r="Y480" t="s">
        <v>9707</v>
      </c>
      <c r="Z480" t="s">
        <v>9708</v>
      </c>
      <c r="AA480" t="s">
        <v>9709</v>
      </c>
      <c r="AB480" t="s">
        <v>9710</v>
      </c>
      <c r="AC480" t="s">
        <v>9711</v>
      </c>
      <c r="AD480" t="s">
        <v>9712</v>
      </c>
      <c r="AE480" t="s">
        <v>9713</v>
      </c>
      <c r="AF480" t="s">
        <v>74</v>
      </c>
      <c r="AG480">
        <v>128</v>
      </c>
      <c r="AH480">
        <v>38</v>
      </c>
      <c r="AI480">
        <v>38</v>
      </c>
      <c r="AJ480">
        <v>1</v>
      </c>
      <c r="AK480">
        <v>64</v>
      </c>
      <c r="AL480" t="s">
        <v>3413</v>
      </c>
      <c r="AM480" t="s">
        <v>278</v>
      </c>
      <c r="AN480" t="s">
        <v>3414</v>
      </c>
      <c r="AO480" t="s">
        <v>4015</v>
      </c>
      <c r="AP480" t="s">
        <v>4016</v>
      </c>
      <c r="AQ480" t="s">
        <v>74</v>
      </c>
      <c r="AR480" t="s">
        <v>4017</v>
      </c>
      <c r="AS480" t="s">
        <v>4018</v>
      </c>
      <c r="AT480" t="s">
        <v>7235</v>
      </c>
      <c r="AU480">
        <v>2018</v>
      </c>
      <c r="AV480">
        <v>94</v>
      </c>
      <c r="AW480">
        <v>4</v>
      </c>
      <c r="AX480" t="s">
        <v>74</v>
      </c>
      <c r="AY480" t="s">
        <v>74</v>
      </c>
      <c r="AZ480" t="s">
        <v>74</v>
      </c>
      <c r="BA480" t="s">
        <v>74</v>
      </c>
      <c r="BB480" t="s">
        <v>74</v>
      </c>
      <c r="BC480" t="s">
        <v>74</v>
      </c>
      <c r="BD480" t="s">
        <v>9714</v>
      </c>
      <c r="BE480" t="s">
        <v>9715</v>
      </c>
      <c r="BF480" t="str">
        <f>HYPERLINK("http://dx.doi.org/10.1093/femsec/fiy036","http://dx.doi.org/10.1093/femsec/fiy036")</f>
        <v>http://dx.doi.org/10.1093/femsec/fiy036</v>
      </c>
      <c r="BG480" t="s">
        <v>74</v>
      </c>
      <c r="BH480" t="s">
        <v>74</v>
      </c>
      <c r="BI480">
        <v>15</v>
      </c>
      <c r="BJ480" t="s">
        <v>510</v>
      </c>
      <c r="BK480" t="s">
        <v>101</v>
      </c>
      <c r="BL480" t="s">
        <v>510</v>
      </c>
      <c r="BM480" t="s">
        <v>8938</v>
      </c>
      <c r="BN480">
        <v>29514253</v>
      </c>
      <c r="BO480" t="s">
        <v>162</v>
      </c>
      <c r="BP480" t="s">
        <v>74</v>
      </c>
      <c r="BQ480" t="s">
        <v>74</v>
      </c>
      <c r="BR480" t="s">
        <v>105</v>
      </c>
      <c r="BS480" t="s">
        <v>9716</v>
      </c>
      <c r="BT480" t="str">
        <f>HYPERLINK("https%3A%2F%2Fwww.webofscience.com%2Fwos%2Fwoscc%2Ffull-record%2FWOS:000429481200016","View Full Record in Web of Science")</f>
        <v>View Full Record in Web of Science</v>
      </c>
    </row>
    <row r="481" spans="1:72" x14ac:dyDescent="0.15">
      <c r="A481" t="s">
        <v>72</v>
      </c>
      <c r="B481" t="s">
        <v>9717</v>
      </c>
      <c r="C481" t="s">
        <v>74</v>
      </c>
      <c r="D481" t="s">
        <v>74</v>
      </c>
      <c r="E481" t="s">
        <v>74</v>
      </c>
      <c r="F481" t="s">
        <v>9718</v>
      </c>
      <c r="G481" t="s">
        <v>74</v>
      </c>
      <c r="H481" t="s">
        <v>74</v>
      </c>
      <c r="I481" t="s">
        <v>9719</v>
      </c>
      <c r="J481" t="s">
        <v>9720</v>
      </c>
      <c r="K481" t="s">
        <v>74</v>
      </c>
      <c r="L481" t="s">
        <v>74</v>
      </c>
      <c r="M481" t="s">
        <v>78</v>
      </c>
      <c r="N481" t="s">
        <v>79</v>
      </c>
      <c r="O481" t="s">
        <v>74</v>
      </c>
      <c r="P481" t="s">
        <v>74</v>
      </c>
      <c r="Q481" t="s">
        <v>74</v>
      </c>
      <c r="R481" t="s">
        <v>74</v>
      </c>
      <c r="S481" t="s">
        <v>74</v>
      </c>
      <c r="T481" t="s">
        <v>9721</v>
      </c>
      <c r="U481" t="s">
        <v>9722</v>
      </c>
      <c r="V481" t="s">
        <v>9723</v>
      </c>
      <c r="W481" t="s">
        <v>9724</v>
      </c>
      <c r="X481" t="s">
        <v>9725</v>
      </c>
      <c r="Y481" t="s">
        <v>9726</v>
      </c>
      <c r="Z481" t="s">
        <v>9727</v>
      </c>
      <c r="AA481" t="s">
        <v>9728</v>
      </c>
      <c r="AB481" t="s">
        <v>9729</v>
      </c>
      <c r="AC481" t="s">
        <v>9730</v>
      </c>
      <c r="AD481" t="s">
        <v>9731</v>
      </c>
      <c r="AE481" t="s">
        <v>9732</v>
      </c>
      <c r="AF481" t="s">
        <v>74</v>
      </c>
      <c r="AG481">
        <v>36</v>
      </c>
      <c r="AH481">
        <v>6</v>
      </c>
      <c r="AI481">
        <v>7</v>
      </c>
      <c r="AJ481">
        <v>2</v>
      </c>
      <c r="AK481">
        <v>22</v>
      </c>
      <c r="AL481" t="s">
        <v>627</v>
      </c>
      <c r="AM481" t="s">
        <v>628</v>
      </c>
      <c r="AN481" t="s">
        <v>629</v>
      </c>
      <c r="AO481" t="s">
        <v>74</v>
      </c>
      <c r="AP481" t="s">
        <v>9733</v>
      </c>
      <c r="AQ481" t="s">
        <v>74</v>
      </c>
      <c r="AR481" t="s">
        <v>9720</v>
      </c>
      <c r="AS481" t="s">
        <v>9734</v>
      </c>
      <c r="AT481" t="s">
        <v>7235</v>
      </c>
      <c r="AU481">
        <v>2018</v>
      </c>
      <c r="AV481">
        <v>9</v>
      </c>
      <c r="AW481">
        <v>4</v>
      </c>
      <c r="AX481" t="s">
        <v>74</v>
      </c>
      <c r="AY481" t="s">
        <v>74</v>
      </c>
      <c r="AZ481" t="s">
        <v>74</v>
      </c>
      <c r="BA481" t="s">
        <v>74</v>
      </c>
      <c r="BB481" t="s">
        <v>74</v>
      </c>
      <c r="BC481" t="s">
        <v>74</v>
      </c>
      <c r="BD481">
        <v>210</v>
      </c>
      <c r="BE481" t="s">
        <v>9735</v>
      </c>
      <c r="BF481" t="str">
        <f>HYPERLINK("http://dx.doi.org/10.3390/f9040210","http://dx.doi.org/10.3390/f9040210")</f>
        <v>http://dx.doi.org/10.3390/f9040210</v>
      </c>
      <c r="BG481" t="s">
        <v>74</v>
      </c>
      <c r="BH481" t="s">
        <v>74</v>
      </c>
      <c r="BI481">
        <v>16</v>
      </c>
      <c r="BJ481" t="s">
        <v>9736</v>
      </c>
      <c r="BK481" t="s">
        <v>101</v>
      </c>
      <c r="BL481" t="s">
        <v>9736</v>
      </c>
      <c r="BM481" t="s">
        <v>9737</v>
      </c>
      <c r="BN481" t="s">
        <v>74</v>
      </c>
      <c r="BO481" t="s">
        <v>133</v>
      </c>
      <c r="BP481" t="s">
        <v>74</v>
      </c>
      <c r="BQ481" t="s">
        <v>74</v>
      </c>
      <c r="BR481" t="s">
        <v>105</v>
      </c>
      <c r="BS481" t="s">
        <v>9738</v>
      </c>
      <c r="BT481" t="str">
        <f>HYPERLINK("https%3A%2F%2Fwww.webofscience.com%2Fwos%2Fwoscc%2Ffull-record%2FWOS:000434856800054","View Full Record in Web of Science")</f>
        <v>View Full Record in Web of Science</v>
      </c>
    </row>
    <row r="482" spans="1:72" x14ac:dyDescent="0.15">
      <c r="A482" t="s">
        <v>72</v>
      </c>
      <c r="B482" t="s">
        <v>9739</v>
      </c>
      <c r="C482" t="s">
        <v>74</v>
      </c>
      <c r="D482" t="s">
        <v>74</v>
      </c>
      <c r="E482" t="s">
        <v>74</v>
      </c>
      <c r="F482" t="s">
        <v>9740</v>
      </c>
      <c r="G482" t="s">
        <v>74</v>
      </c>
      <c r="H482" t="s">
        <v>74</v>
      </c>
      <c r="I482" t="s">
        <v>9741</v>
      </c>
      <c r="J482" t="s">
        <v>9742</v>
      </c>
      <c r="K482" t="s">
        <v>74</v>
      </c>
      <c r="L482" t="s">
        <v>74</v>
      </c>
      <c r="M482" t="s">
        <v>78</v>
      </c>
      <c r="N482" t="s">
        <v>79</v>
      </c>
      <c r="O482" t="s">
        <v>74</v>
      </c>
      <c r="P482" t="s">
        <v>74</v>
      </c>
      <c r="Q482" t="s">
        <v>74</v>
      </c>
      <c r="R482" t="s">
        <v>74</v>
      </c>
      <c r="S482" t="s">
        <v>74</v>
      </c>
      <c r="T482" t="s">
        <v>9743</v>
      </c>
      <c r="U482" t="s">
        <v>9744</v>
      </c>
      <c r="V482" t="s">
        <v>9745</v>
      </c>
      <c r="W482" t="s">
        <v>9746</v>
      </c>
      <c r="X482" t="s">
        <v>9747</v>
      </c>
      <c r="Y482" t="s">
        <v>9748</v>
      </c>
      <c r="Z482" t="s">
        <v>9749</v>
      </c>
      <c r="AA482" t="s">
        <v>9750</v>
      </c>
      <c r="AB482" t="s">
        <v>9751</v>
      </c>
      <c r="AC482" t="s">
        <v>9752</v>
      </c>
      <c r="AD482" t="s">
        <v>9753</v>
      </c>
      <c r="AE482" t="s">
        <v>9754</v>
      </c>
      <c r="AF482" t="s">
        <v>74</v>
      </c>
      <c r="AG482">
        <v>64</v>
      </c>
      <c r="AH482">
        <v>11</v>
      </c>
      <c r="AI482">
        <v>12</v>
      </c>
      <c r="AJ482">
        <v>1</v>
      </c>
      <c r="AK482">
        <v>32</v>
      </c>
      <c r="AL482" t="s">
        <v>91</v>
      </c>
      <c r="AM482" t="s">
        <v>1468</v>
      </c>
      <c r="AN482" t="s">
        <v>1469</v>
      </c>
      <c r="AO482" t="s">
        <v>9755</v>
      </c>
      <c r="AP482" t="s">
        <v>9756</v>
      </c>
      <c r="AQ482" t="s">
        <v>74</v>
      </c>
      <c r="AR482" t="s">
        <v>9742</v>
      </c>
      <c r="AS482" t="s">
        <v>9757</v>
      </c>
      <c r="AT482" t="s">
        <v>7235</v>
      </c>
      <c r="AU482">
        <v>2018</v>
      </c>
      <c r="AV482">
        <v>811</v>
      </c>
      <c r="AW482">
        <v>1</v>
      </c>
      <c r="AX482" t="s">
        <v>74</v>
      </c>
      <c r="AY482" t="s">
        <v>74</v>
      </c>
      <c r="AZ482" t="s">
        <v>74</v>
      </c>
      <c r="BA482" t="s">
        <v>74</v>
      </c>
      <c r="BB482">
        <v>295</v>
      </c>
      <c r="BC482">
        <v>312</v>
      </c>
      <c r="BD482" t="s">
        <v>74</v>
      </c>
      <c r="BE482" t="s">
        <v>9758</v>
      </c>
      <c r="BF482" t="str">
        <f>HYPERLINK("http://dx.doi.org/10.1007/s10750-017-3500-0","http://dx.doi.org/10.1007/s10750-017-3500-0")</f>
        <v>http://dx.doi.org/10.1007/s10750-017-3500-0</v>
      </c>
      <c r="BG482" t="s">
        <v>74</v>
      </c>
      <c r="BH482" t="s">
        <v>74</v>
      </c>
      <c r="BI482">
        <v>18</v>
      </c>
      <c r="BJ482" t="s">
        <v>3737</v>
      </c>
      <c r="BK482" t="s">
        <v>101</v>
      </c>
      <c r="BL482" t="s">
        <v>3737</v>
      </c>
      <c r="BM482" t="s">
        <v>9759</v>
      </c>
      <c r="BN482" t="s">
        <v>74</v>
      </c>
      <c r="BO482" t="s">
        <v>74</v>
      </c>
      <c r="BP482" t="s">
        <v>74</v>
      </c>
      <c r="BQ482" t="s">
        <v>74</v>
      </c>
      <c r="BR482" t="s">
        <v>105</v>
      </c>
      <c r="BS482" t="s">
        <v>9760</v>
      </c>
      <c r="BT482" t="str">
        <f>HYPERLINK("https%3A%2F%2Fwww.webofscience.com%2Fwos%2Fwoscc%2Ffull-record%2FWOS:000427080900022","View Full Record in Web of Science")</f>
        <v>View Full Record in Web of Science</v>
      </c>
    </row>
    <row r="483" spans="1:72" x14ac:dyDescent="0.15">
      <c r="A483" t="s">
        <v>72</v>
      </c>
      <c r="B483" t="s">
        <v>9761</v>
      </c>
      <c r="C483" t="s">
        <v>74</v>
      </c>
      <c r="D483" t="s">
        <v>74</v>
      </c>
      <c r="E483" t="s">
        <v>74</v>
      </c>
      <c r="F483" t="s">
        <v>9762</v>
      </c>
      <c r="G483" t="s">
        <v>74</v>
      </c>
      <c r="H483" t="s">
        <v>74</v>
      </c>
      <c r="I483" t="s">
        <v>9763</v>
      </c>
      <c r="J483" t="s">
        <v>3583</v>
      </c>
      <c r="K483" t="s">
        <v>74</v>
      </c>
      <c r="L483" t="s">
        <v>74</v>
      </c>
      <c r="M483" t="s">
        <v>78</v>
      </c>
      <c r="N483" t="s">
        <v>79</v>
      </c>
      <c r="O483" t="s">
        <v>74</v>
      </c>
      <c r="P483" t="s">
        <v>74</v>
      </c>
      <c r="Q483" t="s">
        <v>74</v>
      </c>
      <c r="R483" t="s">
        <v>74</v>
      </c>
      <c r="S483" t="s">
        <v>74</v>
      </c>
      <c r="T483" t="s">
        <v>9764</v>
      </c>
      <c r="U483" t="s">
        <v>9765</v>
      </c>
      <c r="V483" t="s">
        <v>9766</v>
      </c>
      <c r="W483" t="s">
        <v>9767</v>
      </c>
      <c r="X483" t="s">
        <v>9768</v>
      </c>
      <c r="Y483" t="s">
        <v>9769</v>
      </c>
      <c r="Z483" t="s">
        <v>9770</v>
      </c>
      <c r="AA483" t="s">
        <v>9771</v>
      </c>
      <c r="AB483" t="s">
        <v>9772</v>
      </c>
      <c r="AC483" t="s">
        <v>9773</v>
      </c>
      <c r="AD483" t="s">
        <v>9774</v>
      </c>
      <c r="AE483" t="s">
        <v>9775</v>
      </c>
      <c r="AF483" t="s">
        <v>74</v>
      </c>
      <c r="AG483">
        <v>85</v>
      </c>
      <c r="AH483">
        <v>33</v>
      </c>
      <c r="AI483">
        <v>38</v>
      </c>
      <c r="AJ483">
        <v>2</v>
      </c>
      <c r="AK483">
        <v>19</v>
      </c>
      <c r="AL483" t="s">
        <v>3595</v>
      </c>
      <c r="AM483" t="s">
        <v>3596</v>
      </c>
      <c r="AN483" t="s">
        <v>3597</v>
      </c>
      <c r="AO483" t="s">
        <v>3598</v>
      </c>
      <c r="AP483" t="s">
        <v>3599</v>
      </c>
      <c r="AQ483" t="s">
        <v>74</v>
      </c>
      <c r="AR483" t="s">
        <v>3600</v>
      </c>
      <c r="AS483" t="s">
        <v>3601</v>
      </c>
      <c r="AT483" t="s">
        <v>7235</v>
      </c>
      <c r="AU483">
        <v>2018</v>
      </c>
      <c r="AV483">
        <v>31</v>
      </c>
      <c r="AW483">
        <v>8</v>
      </c>
      <c r="AX483" t="s">
        <v>74</v>
      </c>
      <c r="AY483" t="s">
        <v>74</v>
      </c>
      <c r="AZ483" t="s">
        <v>74</v>
      </c>
      <c r="BA483" t="s">
        <v>74</v>
      </c>
      <c r="BB483">
        <v>3187</v>
      </c>
      <c r="BC483">
        <v>3206</v>
      </c>
      <c r="BD483" t="s">
        <v>74</v>
      </c>
      <c r="BE483" t="s">
        <v>9776</v>
      </c>
      <c r="BF483" t="str">
        <f>HYPERLINK("http://dx.doi.org/10.1175/JCLI-D-17-0674.1","http://dx.doi.org/10.1175/JCLI-D-17-0674.1")</f>
        <v>http://dx.doi.org/10.1175/JCLI-D-17-0674.1</v>
      </c>
      <c r="BG483" t="s">
        <v>74</v>
      </c>
      <c r="BH483" t="s">
        <v>74</v>
      </c>
      <c r="BI483">
        <v>20</v>
      </c>
      <c r="BJ483" t="s">
        <v>131</v>
      </c>
      <c r="BK483" t="s">
        <v>101</v>
      </c>
      <c r="BL483" t="s">
        <v>131</v>
      </c>
      <c r="BM483" t="s">
        <v>9064</v>
      </c>
      <c r="BN483" t="s">
        <v>74</v>
      </c>
      <c r="BO483" t="s">
        <v>74</v>
      </c>
      <c r="BP483" t="s">
        <v>74</v>
      </c>
      <c r="BQ483" t="s">
        <v>74</v>
      </c>
      <c r="BR483" t="s">
        <v>105</v>
      </c>
      <c r="BS483" t="s">
        <v>9777</v>
      </c>
      <c r="BT483" t="str">
        <f>HYPERLINK("https%3A%2F%2Fwww.webofscience.com%2Fwos%2Fwoscc%2Ffull-record%2FWOS:000428694000013","View Full Record in Web of Science")</f>
        <v>View Full Record in Web of Science</v>
      </c>
    </row>
    <row r="484" spans="1:72" x14ac:dyDescent="0.15">
      <c r="A484" t="s">
        <v>72</v>
      </c>
      <c r="B484" t="s">
        <v>9778</v>
      </c>
      <c r="C484" t="s">
        <v>74</v>
      </c>
      <c r="D484" t="s">
        <v>74</v>
      </c>
      <c r="E484" t="s">
        <v>74</v>
      </c>
      <c r="F484" t="s">
        <v>9779</v>
      </c>
      <c r="G484" t="s">
        <v>74</v>
      </c>
      <c r="H484" t="s">
        <v>74</v>
      </c>
      <c r="I484" t="s">
        <v>9780</v>
      </c>
      <c r="J484" t="s">
        <v>4090</v>
      </c>
      <c r="K484" t="s">
        <v>74</v>
      </c>
      <c r="L484" t="s">
        <v>74</v>
      </c>
      <c r="M484" t="s">
        <v>78</v>
      </c>
      <c r="N484" t="s">
        <v>371</v>
      </c>
      <c r="O484" t="s">
        <v>74</v>
      </c>
      <c r="P484" t="s">
        <v>74</v>
      </c>
      <c r="Q484" t="s">
        <v>74</v>
      </c>
      <c r="R484" t="s">
        <v>74</v>
      </c>
      <c r="S484" t="s">
        <v>74</v>
      </c>
      <c r="T484" t="s">
        <v>74</v>
      </c>
      <c r="U484" t="s">
        <v>74</v>
      </c>
      <c r="V484" t="s">
        <v>74</v>
      </c>
      <c r="W484" t="s">
        <v>74</v>
      </c>
      <c r="X484" t="s">
        <v>74</v>
      </c>
      <c r="Y484" t="s">
        <v>74</v>
      </c>
      <c r="Z484" t="s">
        <v>9781</v>
      </c>
      <c r="AA484" t="s">
        <v>74</v>
      </c>
      <c r="AB484" t="s">
        <v>74</v>
      </c>
      <c r="AC484" t="s">
        <v>74</v>
      </c>
      <c r="AD484" t="s">
        <v>74</v>
      </c>
      <c r="AE484" t="s">
        <v>74</v>
      </c>
      <c r="AF484" t="s">
        <v>74</v>
      </c>
      <c r="AG484">
        <v>1</v>
      </c>
      <c r="AH484">
        <v>0</v>
      </c>
      <c r="AI484">
        <v>0</v>
      </c>
      <c r="AJ484">
        <v>0</v>
      </c>
      <c r="AK484">
        <v>4</v>
      </c>
      <c r="AL484" t="s">
        <v>4099</v>
      </c>
      <c r="AM484" t="s">
        <v>4100</v>
      </c>
      <c r="AN484" t="s">
        <v>4101</v>
      </c>
      <c r="AO484" t="s">
        <v>4102</v>
      </c>
      <c r="AP484" t="s">
        <v>4103</v>
      </c>
      <c r="AQ484" t="s">
        <v>74</v>
      </c>
      <c r="AR484" t="s">
        <v>4104</v>
      </c>
      <c r="AS484" t="s">
        <v>4105</v>
      </c>
      <c r="AT484" t="s">
        <v>7235</v>
      </c>
      <c r="AU484">
        <v>2018</v>
      </c>
      <c r="AV484">
        <v>221</v>
      </c>
      <c r="AW484">
        <v>8</v>
      </c>
      <c r="AX484" t="s">
        <v>74</v>
      </c>
      <c r="AY484" t="s">
        <v>74</v>
      </c>
      <c r="AZ484" t="s">
        <v>74</v>
      </c>
      <c r="BA484" t="s">
        <v>74</v>
      </c>
      <c r="BB484" t="s">
        <v>74</v>
      </c>
      <c r="BC484" t="s">
        <v>74</v>
      </c>
      <c r="BD484" t="s">
        <v>9782</v>
      </c>
      <c r="BE484" t="s">
        <v>9783</v>
      </c>
      <c r="BF484" t="str">
        <f>HYPERLINK("http://dx.doi.org/10.1242/jeb.181859","http://dx.doi.org/10.1242/jeb.181859")</f>
        <v>http://dx.doi.org/10.1242/jeb.181859</v>
      </c>
      <c r="BG484" t="s">
        <v>74</v>
      </c>
      <c r="BH484" t="s">
        <v>74</v>
      </c>
      <c r="BI484">
        <v>1</v>
      </c>
      <c r="BJ484" t="s">
        <v>4108</v>
      </c>
      <c r="BK484" t="s">
        <v>101</v>
      </c>
      <c r="BL484" t="s">
        <v>4109</v>
      </c>
      <c r="BM484" t="s">
        <v>8091</v>
      </c>
      <c r="BN484" t="s">
        <v>74</v>
      </c>
      <c r="BO484" t="s">
        <v>4167</v>
      </c>
      <c r="BP484" t="s">
        <v>74</v>
      </c>
      <c r="BQ484" t="s">
        <v>74</v>
      </c>
      <c r="BR484" t="s">
        <v>105</v>
      </c>
      <c r="BS484" t="s">
        <v>9784</v>
      </c>
      <c r="BT484" t="str">
        <f>HYPERLINK("https%3A%2F%2Fwww.webofscience.com%2Fwos%2Fwoscc%2Ffull-record%2FWOS:000438909900025","View Full Record in Web of Science")</f>
        <v>View Full Record in Web of Science</v>
      </c>
    </row>
    <row r="485" spans="1:72" x14ac:dyDescent="0.15">
      <c r="A485" t="s">
        <v>72</v>
      </c>
      <c r="B485" t="s">
        <v>9785</v>
      </c>
      <c r="C485" t="s">
        <v>74</v>
      </c>
      <c r="D485" t="s">
        <v>74</v>
      </c>
      <c r="E485" t="s">
        <v>74</v>
      </c>
      <c r="F485" t="s">
        <v>9786</v>
      </c>
      <c r="G485" t="s">
        <v>74</v>
      </c>
      <c r="H485" t="s">
        <v>74</v>
      </c>
      <c r="I485" t="s">
        <v>9787</v>
      </c>
      <c r="J485" t="s">
        <v>3656</v>
      </c>
      <c r="K485" t="s">
        <v>74</v>
      </c>
      <c r="L485" t="s">
        <v>74</v>
      </c>
      <c r="M485" t="s">
        <v>78</v>
      </c>
      <c r="N485" t="s">
        <v>79</v>
      </c>
      <c r="O485" t="s">
        <v>74</v>
      </c>
      <c r="P485" t="s">
        <v>74</v>
      </c>
      <c r="Q485" t="s">
        <v>74</v>
      </c>
      <c r="R485" t="s">
        <v>74</v>
      </c>
      <c r="S485" t="s">
        <v>74</v>
      </c>
      <c r="T485" t="s">
        <v>9788</v>
      </c>
      <c r="U485" t="s">
        <v>9789</v>
      </c>
      <c r="V485" t="s">
        <v>9790</v>
      </c>
      <c r="W485" t="s">
        <v>9791</v>
      </c>
      <c r="X485" t="s">
        <v>9792</v>
      </c>
      <c r="Y485" t="s">
        <v>9793</v>
      </c>
      <c r="Z485" t="s">
        <v>9794</v>
      </c>
      <c r="AA485" t="s">
        <v>9795</v>
      </c>
      <c r="AB485" t="s">
        <v>9796</v>
      </c>
      <c r="AC485" t="s">
        <v>9797</v>
      </c>
      <c r="AD485" t="s">
        <v>9798</v>
      </c>
      <c r="AE485" t="s">
        <v>9799</v>
      </c>
      <c r="AF485" t="s">
        <v>74</v>
      </c>
      <c r="AG485">
        <v>43</v>
      </c>
      <c r="AH485">
        <v>38</v>
      </c>
      <c r="AI485">
        <v>45</v>
      </c>
      <c r="AJ485">
        <v>6</v>
      </c>
      <c r="AK485">
        <v>39</v>
      </c>
      <c r="AL485" t="s">
        <v>574</v>
      </c>
      <c r="AM485" t="s">
        <v>575</v>
      </c>
      <c r="AN485" t="s">
        <v>576</v>
      </c>
      <c r="AO485" t="s">
        <v>3669</v>
      </c>
      <c r="AP485" t="s">
        <v>3670</v>
      </c>
      <c r="AQ485" t="s">
        <v>74</v>
      </c>
      <c r="AR485" t="s">
        <v>3671</v>
      </c>
      <c r="AS485" t="s">
        <v>3672</v>
      </c>
      <c r="AT485" t="s">
        <v>7235</v>
      </c>
      <c r="AU485">
        <v>2018</v>
      </c>
      <c r="AV485">
        <v>123</v>
      </c>
      <c r="AW485">
        <v>4</v>
      </c>
      <c r="AX485" t="s">
        <v>74</v>
      </c>
      <c r="AY485" t="s">
        <v>74</v>
      </c>
      <c r="AZ485" t="s">
        <v>74</v>
      </c>
      <c r="BA485" t="s">
        <v>74</v>
      </c>
      <c r="BB485">
        <v>2422</v>
      </c>
      <c r="BC485">
        <v>2439</v>
      </c>
      <c r="BD485" t="s">
        <v>74</v>
      </c>
      <c r="BE485" t="s">
        <v>9800</v>
      </c>
      <c r="BF485" t="str">
        <f>HYPERLINK("http://dx.doi.org/10.1002/2017JC013548","http://dx.doi.org/10.1002/2017JC013548")</f>
        <v>http://dx.doi.org/10.1002/2017JC013548</v>
      </c>
      <c r="BG485" t="s">
        <v>74</v>
      </c>
      <c r="BH485" t="s">
        <v>74</v>
      </c>
      <c r="BI485">
        <v>18</v>
      </c>
      <c r="BJ485" t="s">
        <v>364</v>
      </c>
      <c r="BK485" t="s">
        <v>101</v>
      </c>
      <c r="BL485" t="s">
        <v>364</v>
      </c>
      <c r="BM485" t="s">
        <v>7522</v>
      </c>
      <c r="BN485" t="s">
        <v>74</v>
      </c>
      <c r="BO485" t="s">
        <v>5821</v>
      </c>
      <c r="BP485" t="s">
        <v>74</v>
      </c>
      <c r="BQ485" t="s">
        <v>74</v>
      </c>
      <c r="BR485" t="s">
        <v>105</v>
      </c>
      <c r="BS485" t="s">
        <v>9801</v>
      </c>
      <c r="BT485" t="str">
        <f>HYPERLINK("https%3A%2F%2Fwww.webofscience.com%2Fwos%2Fwoscc%2Ffull-record%2FWOS:000434131900007","View Full Record in Web of Science")</f>
        <v>View Full Record in Web of Science</v>
      </c>
    </row>
    <row r="486" spans="1:72" x14ac:dyDescent="0.15">
      <c r="A486" t="s">
        <v>72</v>
      </c>
      <c r="B486" t="s">
        <v>9802</v>
      </c>
      <c r="C486" t="s">
        <v>74</v>
      </c>
      <c r="D486" t="s">
        <v>74</v>
      </c>
      <c r="E486" t="s">
        <v>74</v>
      </c>
      <c r="F486" t="s">
        <v>9803</v>
      </c>
      <c r="G486" t="s">
        <v>74</v>
      </c>
      <c r="H486" t="s">
        <v>74</v>
      </c>
      <c r="I486" t="s">
        <v>9804</v>
      </c>
      <c r="J486" t="s">
        <v>9805</v>
      </c>
      <c r="K486" t="s">
        <v>74</v>
      </c>
      <c r="L486" t="s">
        <v>74</v>
      </c>
      <c r="M486" t="s">
        <v>78</v>
      </c>
      <c r="N486" t="s">
        <v>79</v>
      </c>
      <c r="O486" t="s">
        <v>74</v>
      </c>
      <c r="P486" t="s">
        <v>74</v>
      </c>
      <c r="Q486" t="s">
        <v>74</v>
      </c>
      <c r="R486" t="s">
        <v>74</v>
      </c>
      <c r="S486" t="s">
        <v>74</v>
      </c>
      <c r="T486" t="s">
        <v>9806</v>
      </c>
      <c r="U486" t="s">
        <v>9807</v>
      </c>
      <c r="V486" t="s">
        <v>9808</v>
      </c>
      <c r="W486" t="s">
        <v>9809</v>
      </c>
      <c r="X486" t="s">
        <v>9810</v>
      </c>
      <c r="Y486" t="s">
        <v>9811</v>
      </c>
      <c r="Z486" t="s">
        <v>9812</v>
      </c>
      <c r="AA486" t="s">
        <v>9813</v>
      </c>
      <c r="AB486" t="s">
        <v>9814</v>
      </c>
      <c r="AC486" t="s">
        <v>9815</v>
      </c>
      <c r="AD486" t="s">
        <v>9816</v>
      </c>
      <c r="AE486" t="s">
        <v>9817</v>
      </c>
      <c r="AF486" t="s">
        <v>74</v>
      </c>
      <c r="AG486">
        <v>66</v>
      </c>
      <c r="AH486">
        <v>12</v>
      </c>
      <c r="AI486">
        <v>16</v>
      </c>
      <c r="AJ486">
        <v>1</v>
      </c>
      <c r="AK486">
        <v>6</v>
      </c>
      <c r="AL486" t="s">
        <v>574</v>
      </c>
      <c r="AM486" t="s">
        <v>575</v>
      </c>
      <c r="AN486" t="s">
        <v>576</v>
      </c>
      <c r="AO486" t="s">
        <v>9818</v>
      </c>
      <c r="AP486" t="s">
        <v>9819</v>
      </c>
      <c r="AQ486" t="s">
        <v>74</v>
      </c>
      <c r="AR486" t="s">
        <v>9820</v>
      </c>
      <c r="AS486" t="s">
        <v>9821</v>
      </c>
      <c r="AT486" t="s">
        <v>7235</v>
      </c>
      <c r="AU486">
        <v>2018</v>
      </c>
      <c r="AV486">
        <v>123</v>
      </c>
      <c r="AW486">
        <v>4</v>
      </c>
      <c r="AX486" t="s">
        <v>74</v>
      </c>
      <c r="AY486" t="s">
        <v>74</v>
      </c>
      <c r="AZ486" t="s">
        <v>74</v>
      </c>
      <c r="BA486" t="s">
        <v>74</v>
      </c>
      <c r="BB486">
        <v>3178</v>
      </c>
      <c r="BC486">
        <v>3196</v>
      </c>
      <c r="BD486" t="s">
        <v>74</v>
      </c>
      <c r="BE486" t="s">
        <v>9822</v>
      </c>
      <c r="BF486" t="str">
        <f>HYPERLINK("http://dx.doi.org/10.1002/2017JB015045","http://dx.doi.org/10.1002/2017JB015045")</f>
        <v>http://dx.doi.org/10.1002/2017JB015045</v>
      </c>
      <c r="BG486" t="s">
        <v>74</v>
      </c>
      <c r="BH486" t="s">
        <v>74</v>
      </c>
      <c r="BI486">
        <v>19</v>
      </c>
      <c r="BJ486" t="s">
        <v>260</v>
      </c>
      <c r="BK486" t="s">
        <v>101</v>
      </c>
      <c r="BL486" t="s">
        <v>260</v>
      </c>
      <c r="BM486" t="s">
        <v>9823</v>
      </c>
      <c r="BN486" t="s">
        <v>74</v>
      </c>
      <c r="BO486" t="s">
        <v>74</v>
      </c>
      <c r="BP486" t="s">
        <v>74</v>
      </c>
      <c r="BQ486" t="s">
        <v>74</v>
      </c>
      <c r="BR486" t="s">
        <v>105</v>
      </c>
      <c r="BS486" t="s">
        <v>9824</v>
      </c>
      <c r="BT486" t="str">
        <f>HYPERLINK("https%3A%2F%2Fwww.webofscience.com%2Fwos%2Fwoscc%2Ffull-record%2FWOS:000434133700036","View Full Record in Web of Science")</f>
        <v>View Full Record in Web of Science</v>
      </c>
    </row>
    <row r="487" spans="1:72" x14ac:dyDescent="0.15">
      <c r="A487" t="s">
        <v>72</v>
      </c>
      <c r="B487" t="s">
        <v>9825</v>
      </c>
      <c r="C487" t="s">
        <v>74</v>
      </c>
      <c r="D487" t="s">
        <v>74</v>
      </c>
      <c r="E487" t="s">
        <v>74</v>
      </c>
      <c r="F487" t="s">
        <v>9826</v>
      </c>
      <c r="G487" t="s">
        <v>74</v>
      </c>
      <c r="H487" t="s">
        <v>74</v>
      </c>
      <c r="I487" t="s">
        <v>9827</v>
      </c>
      <c r="J487" t="s">
        <v>7527</v>
      </c>
      <c r="K487" t="s">
        <v>74</v>
      </c>
      <c r="L487" t="s">
        <v>74</v>
      </c>
      <c r="M487" t="s">
        <v>78</v>
      </c>
      <c r="N487" t="s">
        <v>79</v>
      </c>
      <c r="O487" t="s">
        <v>74</v>
      </c>
      <c r="P487" t="s">
        <v>74</v>
      </c>
      <c r="Q487" t="s">
        <v>74</v>
      </c>
      <c r="R487" t="s">
        <v>74</v>
      </c>
      <c r="S487" t="s">
        <v>74</v>
      </c>
      <c r="T487" t="s">
        <v>9828</v>
      </c>
      <c r="U487" t="s">
        <v>9829</v>
      </c>
      <c r="V487" t="s">
        <v>9830</v>
      </c>
      <c r="W487" t="s">
        <v>9831</v>
      </c>
      <c r="X487" t="s">
        <v>9536</v>
      </c>
      <c r="Y487" t="s">
        <v>9537</v>
      </c>
      <c r="Z487" t="s">
        <v>9832</v>
      </c>
      <c r="AA487" t="s">
        <v>9538</v>
      </c>
      <c r="AB487" t="s">
        <v>9539</v>
      </c>
      <c r="AC487" t="s">
        <v>9833</v>
      </c>
      <c r="AD487" t="s">
        <v>9834</v>
      </c>
      <c r="AE487" t="s">
        <v>9835</v>
      </c>
      <c r="AF487" t="s">
        <v>74</v>
      </c>
      <c r="AG487">
        <v>66</v>
      </c>
      <c r="AH487">
        <v>13</v>
      </c>
      <c r="AI487">
        <v>15</v>
      </c>
      <c r="AJ487">
        <v>1</v>
      </c>
      <c r="AK487">
        <v>6</v>
      </c>
      <c r="AL487" t="s">
        <v>372</v>
      </c>
      <c r="AM487" t="s">
        <v>4100</v>
      </c>
      <c r="AN487" t="s">
        <v>7256</v>
      </c>
      <c r="AO487" t="s">
        <v>7540</v>
      </c>
      <c r="AP487" t="s">
        <v>7541</v>
      </c>
      <c r="AQ487" t="s">
        <v>74</v>
      </c>
      <c r="AR487" t="s">
        <v>7542</v>
      </c>
      <c r="AS487" t="s">
        <v>7543</v>
      </c>
      <c r="AT487" t="s">
        <v>7235</v>
      </c>
      <c r="AU487">
        <v>2018</v>
      </c>
      <c r="AV487">
        <v>64</v>
      </c>
      <c r="AW487">
        <v>244</v>
      </c>
      <c r="AX487" t="s">
        <v>74</v>
      </c>
      <c r="AY487" t="s">
        <v>74</v>
      </c>
      <c r="AZ487" t="s">
        <v>74</v>
      </c>
      <c r="BA487" t="s">
        <v>74</v>
      </c>
      <c r="BB487">
        <v>185</v>
      </c>
      <c r="BC487">
        <v>196</v>
      </c>
      <c r="BD487" t="s">
        <v>74</v>
      </c>
      <c r="BE487" t="s">
        <v>9836</v>
      </c>
      <c r="BF487" t="str">
        <f>HYPERLINK("http://dx.doi.org/10.1017/jog.2018.4","http://dx.doi.org/10.1017/jog.2018.4")</f>
        <v>http://dx.doi.org/10.1017/jog.2018.4</v>
      </c>
      <c r="BG487" t="s">
        <v>74</v>
      </c>
      <c r="BH487" t="s">
        <v>74</v>
      </c>
      <c r="BI487">
        <v>12</v>
      </c>
      <c r="BJ487" t="s">
        <v>338</v>
      </c>
      <c r="BK487" t="s">
        <v>101</v>
      </c>
      <c r="BL487" t="s">
        <v>339</v>
      </c>
      <c r="BM487" t="s">
        <v>7545</v>
      </c>
      <c r="BN487" t="s">
        <v>74</v>
      </c>
      <c r="BO487" t="s">
        <v>9837</v>
      </c>
      <c r="BP487" t="s">
        <v>74</v>
      </c>
      <c r="BQ487" t="s">
        <v>74</v>
      </c>
      <c r="BR487" t="s">
        <v>105</v>
      </c>
      <c r="BS487" t="s">
        <v>9838</v>
      </c>
      <c r="BT487" t="str">
        <f>HYPERLINK("https%3A%2F%2Fwww.webofscience.com%2Fwos%2Fwoscc%2Ffull-record%2FWOS:000430422000002","View Full Record in Web of Science")</f>
        <v>View Full Record in Web of Science</v>
      </c>
    </row>
    <row r="488" spans="1:72" x14ac:dyDescent="0.15">
      <c r="A488" t="s">
        <v>72</v>
      </c>
      <c r="B488" t="s">
        <v>9839</v>
      </c>
      <c r="C488" t="s">
        <v>74</v>
      </c>
      <c r="D488" t="s">
        <v>74</v>
      </c>
      <c r="E488" t="s">
        <v>74</v>
      </c>
      <c r="F488" t="s">
        <v>9840</v>
      </c>
      <c r="G488" t="s">
        <v>74</v>
      </c>
      <c r="H488" t="s">
        <v>74</v>
      </c>
      <c r="I488" t="s">
        <v>9841</v>
      </c>
      <c r="J488" t="s">
        <v>7699</v>
      </c>
      <c r="K488" t="s">
        <v>74</v>
      </c>
      <c r="L488" t="s">
        <v>74</v>
      </c>
      <c r="M488" t="s">
        <v>78</v>
      </c>
      <c r="N488" t="s">
        <v>79</v>
      </c>
      <c r="O488" t="s">
        <v>74</v>
      </c>
      <c r="P488" t="s">
        <v>74</v>
      </c>
      <c r="Q488" t="s">
        <v>74</v>
      </c>
      <c r="R488" t="s">
        <v>74</v>
      </c>
      <c r="S488" t="s">
        <v>74</v>
      </c>
      <c r="T488" t="s">
        <v>74</v>
      </c>
      <c r="U488" t="s">
        <v>9842</v>
      </c>
      <c r="V488" t="s">
        <v>9843</v>
      </c>
      <c r="W488" t="s">
        <v>9844</v>
      </c>
      <c r="X488" t="s">
        <v>9845</v>
      </c>
      <c r="Y488" t="s">
        <v>9846</v>
      </c>
      <c r="Z488" t="s">
        <v>9847</v>
      </c>
      <c r="AA488" t="s">
        <v>9848</v>
      </c>
      <c r="AB488" t="s">
        <v>9849</v>
      </c>
      <c r="AC488" t="s">
        <v>9850</v>
      </c>
      <c r="AD488" t="s">
        <v>9851</v>
      </c>
      <c r="AE488" t="s">
        <v>9852</v>
      </c>
      <c r="AF488" t="s">
        <v>74</v>
      </c>
      <c r="AG488">
        <v>60</v>
      </c>
      <c r="AH488">
        <v>189</v>
      </c>
      <c r="AI488">
        <v>203</v>
      </c>
      <c r="AJ488">
        <v>12</v>
      </c>
      <c r="AK488">
        <v>132</v>
      </c>
      <c r="AL488" t="s">
        <v>1663</v>
      </c>
      <c r="AM488" t="s">
        <v>1664</v>
      </c>
      <c r="AN488" t="s">
        <v>1665</v>
      </c>
      <c r="AO488" t="s">
        <v>7712</v>
      </c>
      <c r="AP488" t="s">
        <v>7713</v>
      </c>
      <c r="AQ488" t="s">
        <v>74</v>
      </c>
      <c r="AR488" t="s">
        <v>7714</v>
      </c>
      <c r="AS488" t="s">
        <v>7715</v>
      </c>
      <c r="AT488" t="s">
        <v>7235</v>
      </c>
      <c r="AU488">
        <v>2018</v>
      </c>
      <c r="AV488">
        <v>8</v>
      </c>
      <c r="AW488">
        <v>4</v>
      </c>
      <c r="AX488" t="s">
        <v>74</v>
      </c>
      <c r="AY488" t="s">
        <v>74</v>
      </c>
      <c r="AZ488" t="s">
        <v>74</v>
      </c>
      <c r="BA488" t="s">
        <v>74</v>
      </c>
      <c r="BB488">
        <v>333</v>
      </c>
      <c r="BC488" t="s">
        <v>7716</v>
      </c>
      <c r="BD488" t="s">
        <v>74</v>
      </c>
      <c r="BE488" t="s">
        <v>9853</v>
      </c>
      <c r="BF488" t="str">
        <f>HYPERLINK("http://dx.doi.org/10.1038/s41558-018-0117-x","http://dx.doi.org/10.1038/s41558-018-0117-x")</f>
        <v>http://dx.doi.org/10.1038/s41558-018-0117-x</v>
      </c>
      <c r="BG488" t="s">
        <v>74</v>
      </c>
      <c r="BH488" t="s">
        <v>74</v>
      </c>
      <c r="BI488">
        <v>7</v>
      </c>
      <c r="BJ488" t="s">
        <v>7718</v>
      </c>
      <c r="BK488" t="s">
        <v>484</v>
      </c>
      <c r="BL488" t="s">
        <v>286</v>
      </c>
      <c r="BM488" t="s">
        <v>7719</v>
      </c>
      <c r="BN488" t="s">
        <v>74</v>
      </c>
      <c r="BO488" t="s">
        <v>74</v>
      </c>
      <c r="BP488" t="s">
        <v>74</v>
      </c>
      <c r="BQ488" t="s">
        <v>74</v>
      </c>
      <c r="BR488" t="s">
        <v>105</v>
      </c>
      <c r="BS488" t="s">
        <v>9854</v>
      </c>
      <c r="BT488" t="str">
        <f>HYPERLINK("https%3A%2F%2Fwww.webofscience.com%2Fwos%2Fwoscc%2Ffull-record%2FWOS:000429194600021","View Full Record in Web of Science")</f>
        <v>View Full Record in Web of Science</v>
      </c>
    </row>
    <row r="489" spans="1:72" x14ac:dyDescent="0.15">
      <c r="A489" t="s">
        <v>72</v>
      </c>
      <c r="B489" t="s">
        <v>9855</v>
      </c>
      <c r="C489" t="s">
        <v>74</v>
      </c>
      <c r="D489" t="s">
        <v>74</v>
      </c>
      <c r="E489" t="s">
        <v>74</v>
      </c>
      <c r="F489" t="s">
        <v>9856</v>
      </c>
      <c r="G489" t="s">
        <v>74</v>
      </c>
      <c r="H489" t="s">
        <v>74</v>
      </c>
      <c r="I489" t="s">
        <v>9857</v>
      </c>
      <c r="J489" t="s">
        <v>321</v>
      </c>
      <c r="K489" t="s">
        <v>74</v>
      </c>
      <c r="L489" t="s">
        <v>74</v>
      </c>
      <c r="M489" t="s">
        <v>78</v>
      </c>
      <c r="N489" t="s">
        <v>79</v>
      </c>
      <c r="O489" t="s">
        <v>74</v>
      </c>
      <c r="P489" t="s">
        <v>74</v>
      </c>
      <c r="Q489" t="s">
        <v>74</v>
      </c>
      <c r="R489" t="s">
        <v>74</v>
      </c>
      <c r="S489" t="s">
        <v>74</v>
      </c>
      <c r="T489" t="s">
        <v>9858</v>
      </c>
      <c r="U489" t="s">
        <v>9859</v>
      </c>
      <c r="V489" t="s">
        <v>9860</v>
      </c>
      <c r="W489" t="s">
        <v>9861</v>
      </c>
      <c r="X489" t="s">
        <v>9862</v>
      </c>
      <c r="Y489" t="s">
        <v>9863</v>
      </c>
      <c r="Z489" t="s">
        <v>9864</v>
      </c>
      <c r="AA489" t="s">
        <v>9865</v>
      </c>
      <c r="AB489" t="s">
        <v>9866</v>
      </c>
      <c r="AC489" t="s">
        <v>9867</v>
      </c>
      <c r="AD489" t="s">
        <v>9868</v>
      </c>
      <c r="AE489" t="s">
        <v>9869</v>
      </c>
      <c r="AF489" t="s">
        <v>74</v>
      </c>
      <c r="AG489">
        <v>64</v>
      </c>
      <c r="AH489">
        <v>43</v>
      </c>
      <c r="AI489">
        <v>44</v>
      </c>
      <c r="AJ489">
        <v>2</v>
      </c>
      <c r="AK489">
        <v>11</v>
      </c>
      <c r="AL489" t="s">
        <v>277</v>
      </c>
      <c r="AM489" t="s">
        <v>278</v>
      </c>
      <c r="AN489" t="s">
        <v>279</v>
      </c>
      <c r="AO489" t="s">
        <v>333</v>
      </c>
      <c r="AP489" t="s">
        <v>74</v>
      </c>
      <c r="AQ489" t="s">
        <v>74</v>
      </c>
      <c r="AR489" t="s">
        <v>335</v>
      </c>
      <c r="AS489" t="s">
        <v>336</v>
      </c>
      <c r="AT489" t="s">
        <v>7424</v>
      </c>
      <c r="AU489">
        <v>2018</v>
      </c>
      <c r="AV489">
        <v>185</v>
      </c>
      <c r="AW489" t="s">
        <v>74</v>
      </c>
      <c r="AX489" t="s">
        <v>74</v>
      </c>
      <c r="AY489" t="s">
        <v>74</v>
      </c>
      <c r="AZ489" t="s">
        <v>74</v>
      </c>
      <c r="BA489" t="s">
        <v>74</v>
      </c>
      <c r="BB489">
        <v>122</v>
      </c>
      <c r="BC489">
        <v>134</v>
      </c>
      <c r="BD489" t="s">
        <v>74</v>
      </c>
      <c r="BE489" t="s">
        <v>9870</v>
      </c>
      <c r="BF489" t="str">
        <f>HYPERLINK("http://dx.doi.org/10.1016/j.quascirev.2018.01.004","http://dx.doi.org/10.1016/j.quascirev.2018.01.004")</f>
        <v>http://dx.doi.org/10.1016/j.quascirev.2018.01.004</v>
      </c>
      <c r="BG489" t="s">
        <v>74</v>
      </c>
      <c r="BH489" t="s">
        <v>74</v>
      </c>
      <c r="BI489">
        <v>13</v>
      </c>
      <c r="BJ489" t="s">
        <v>338</v>
      </c>
      <c r="BK489" t="s">
        <v>101</v>
      </c>
      <c r="BL489" t="s">
        <v>339</v>
      </c>
      <c r="BM489" t="s">
        <v>7816</v>
      </c>
      <c r="BN489" t="s">
        <v>74</v>
      </c>
      <c r="BO489" t="s">
        <v>1292</v>
      </c>
      <c r="BP489" t="s">
        <v>74</v>
      </c>
      <c r="BQ489" t="s">
        <v>74</v>
      </c>
      <c r="BR489" t="s">
        <v>105</v>
      </c>
      <c r="BS489" t="s">
        <v>9871</v>
      </c>
      <c r="BT489" t="str">
        <f>HYPERLINK("https%3A%2F%2Fwww.webofscience.com%2Fwos%2Fwoscc%2Ffull-record%2FWOS:000428830400009","View Full Record in Web of Science")</f>
        <v>View Full Record in Web of Science</v>
      </c>
    </row>
    <row r="490" spans="1:72" x14ac:dyDescent="0.15">
      <c r="A490" t="s">
        <v>72</v>
      </c>
      <c r="B490" t="s">
        <v>9872</v>
      </c>
      <c r="C490" t="s">
        <v>74</v>
      </c>
      <c r="D490" t="s">
        <v>74</v>
      </c>
      <c r="E490" t="s">
        <v>74</v>
      </c>
      <c r="F490" t="s">
        <v>9873</v>
      </c>
      <c r="G490" t="s">
        <v>74</v>
      </c>
      <c r="H490" t="s">
        <v>74</v>
      </c>
      <c r="I490" t="s">
        <v>9874</v>
      </c>
      <c r="J490" t="s">
        <v>9875</v>
      </c>
      <c r="K490" t="s">
        <v>74</v>
      </c>
      <c r="L490" t="s">
        <v>74</v>
      </c>
      <c r="M490" t="s">
        <v>78</v>
      </c>
      <c r="N490" t="s">
        <v>371</v>
      </c>
      <c r="O490" t="s">
        <v>74</v>
      </c>
      <c r="P490" t="s">
        <v>74</v>
      </c>
      <c r="Q490" t="s">
        <v>74</v>
      </c>
      <c r="R490" t="s">
        <v>74</v>
      </c>
      <c r="S490" t="s">
        <v>74</v>
      </c>
      <c r="T490" t="s">
        <v>9876</v>
      </c>
      <c r="U490" t="s">
        <v>74</v>
      </c>
      <c r="V490" t="s">
        <v>9877</v>
      </c>
      <c r="W490" t="s">
        <v>9878</v>
      </c>
      <c r="X490" t="s">
        <v>9879</v>
      </c>
      <c r="Y490" t="s">
        <v>9880</v>
      </c>
      <c r="Z490" t="s">
        <v>9881</v>
      </c>
      <c r="AA490" t="s">
        <v>9882</v>
      </c>
      <c r="AB490" t="s">
        <v>9883</v>
      </c>
      <c r="AC490" t="s">
        <v>9884</v>
      </c>
      <c r="AD490" t="s">
        <v>9617</v>
      </c>
      <c r="AE490" t="s">
        <v>74</v>
      </c>
      <c r="AF490" t="s">
        <v>74</v>
      </c>
      <c r="AG490">
        <v>4</v>
      </c>
      <c r="AH490">
        <v>1</v>
      </c>
      <c r="AI490">
        <v>2</v>
      </c>
      <c r="AJ490">
        <v>0</v>
      </c>
      <c r="AK490">
        <v>5</v>
      </c>
      <c r="AL490" t="s">
        <v>574</v>
      </c>
      <c r="AM490" t="s">
        <v>575</v>
      </c>
      <c r="AN490" t="s">
        <v>576</v>
      </c>
      <c r="AO490" t="s">
        <v>9885</v>
      </c>
      <c r="AP490" t="s">
        <v>74</v>
      </c>
      <c r="AQ490" t="s">
        <v>74</v>
      </c>
      <c r="AR490" t="s">
        <v>9886</v>
      </c>
      <c r="AS490" t="s">
        <v>9887</v>
      </c>
      <c r="AT490" t="s">
        <v>7235</v>
      </c>
      <c r="AU490">
        <v>2018</v>
      </c>
      <c r="AV490">
        <v>16</v>
      </c>
      <c r="AW490">
        <v>4</v>
      </c>
      <c r="AX490" t="s">
        <v>74</v>
      </c>
      <c r="AY490" t="s">
        <v>74</v>
      </c>
      <c r="AZ490" t="s">
        <v>74</v>
      </c>
      <c r="BA490" t="s">
        <v>74</v>
      </c>
      <c r="BB490">
        <v>341</v>
      </c>
      <c r="BC490">
        <v>342</v>
      </c>
      <c r="BD490" t="s">
        <v>74</v>
      </c>
      <c r="BE490" t="s">
        <v>9888</v>
      </c>
      <c r="BF490" t="str">
        <f>HYPERLINK("http://dx.doi.org/10.1002/2018SW001864","http://dx.doi.org/10.1002/2018SW001864")</f>
        <v>http://dx.doi.org/10.1002/2018SW001864</v>
      </c>
      <c r="BG490" t="s">
        <v>74</v>
      </c>
      <c r="BH490" t="s">
        <v>74</v>
      </c>
      <c r="BI490">
        <v>2</v>
      </c>
      <c r="BJ490" t="s">
        <v>9889</v>
      </c>
      <c r="BK490" t="s">
        <v>101</v>
      </c>
      <c r="BL490" t="s">
        <v>9889</v>
      </c>
      <c r="BM490" t="s">
        <v>9890</v>
      </c>
      <c r="BN490" t="s">
        <v>74</v>
      </c>
      <c r="BO490" t="s">
        <v>9891</v>
      </c>
      <c r="BP490" t="s">
        <v>74</v>
      </c>
      <c r="BQ490" t="s">
        <v>74</v>
      </c>
      <c r="BR490" t="s">
        <v>105</v>
      </c>
      <c r="BS490" t="s">
        <v>9892</v>
      </c>
      <c r="BT490" t="str">
        <f>HYPERLINK("https%3A%2F%2Fwww.webofscience.com%2Fwos%2Fwoscc%2Ffull-record%2FWOS:000432034100002","View Full Record in Web of Science")</f>
        <v>View Full Record in Web of Science</v>
      </c>
    </row>
    <row r="491" spans="1:72" x14ac:dyDescent="0.15">
      <c r="A491" t="s">
        <v>72</v>
      </c>
      <c r="B491" t="s">
        <v>9893</v>
      </c>
      <c r="C491" t="s">
        <v>74</v>
      </c>
      <c r="D491" t="s">
        <v>74</v>
      </c>
      <c r="E491" t="s">
        <v>74</v>
      </c>
      <c r="F491" t="s">
        <v>9894</v>
      </c>
      <c r="G491" t="s">
        <v>74</v>
      </c>
      <c r="H491" t="s">
        <v>74</v>
      </c>
      <c r="I491" t="s">
        <v>9895</v>
      </c>
      <c r="J491" t="s">
        <v>370</v>
      </c>
      <c r="K491" t="s">
        <v>74</v>
      </c>
      <c r="L491" t="s">
        <v>74</v>
      </c>
      <c r="M491" t="s">
        <v>78</v>
      </c>
      <c r="N491" t="s">
        <v>79</v>
      </c>
      <c r="O491" t="s">
        <v>74</v>
      </c>
      <c r="P491" t="s">
        <v>74</v>
      </c>
      <c r="Q491" t="s">
        <v>74</v>
      </c>
      <c r="R491" t="s">
        <v>74</v>
      </c>
      <c r="S491" t="s">
        <v>74</v>
      </c>
      <c r="T491" t="s">
        <v>9896</v>
      </c>
      <c r="U491" t="s">
        <v>9897</v>
      </c>
      <c r="V491" t="s">
        <v>9898</v>
      </c>
      <c r="W491" t="s">
        <v>9899</v>
      </c>
      <c r="X491" t="s">
        <v>9900</v>
      </c>
      <c r="Y491" t="s">
        <v>9901</v>
      </c>
      <c r="Z491" t="s">
        <v>7928</v>
      </c>
      <c r="AA491" t="s">
        <v>9902</v>
      </c>
      <c r="AB491" t="s">
        <v>9903</v>
      </c>
      <c r="AC491" t="s">
        <v>9904</v>
      </c>
      <c r="AD491" t="s">
        <v>9905</v>
      </c>
      <c r="AE491" t="s">
        <v>9906</v>
      </c>
      <c r="AF491" t="s">
        <v>74</v>
      </c>
      <c r="AG491">
        <v>39</v>
      </c>
      <c r="AH491">
        <v>8</v>
      </c>
      <c r="AI491">
        <v>8</v>
      </c>
      <c r="AJ491">
        <v>1</v>
      </c>
      <c r="AK491">
        <v>21</v>
      </c>
      <c r="AL491" t="s">
        <v>372</v>
      </c>
      <c r="AM491" t="s">
        <v>92</v>
      </c>
      <c r="AN491" t="s">
        <v>373</v>
      </c>
      <c r="AO491" t="s">
        <v>374</v>
      </c>
      <c r="AP491" t="s">
        <v>375</v>
      </c>
      <c r="AQ491" t="s">
        <v>74</v>
      </c>
      <c r="AR491" t="s">
        <v>376</v>
      </c>
      <c r="AS491" t="s">
        <v>377</v>
      </c>
      <c r="AT491" t="s">
        <v>7235</v>
      </c>
      <c r="AU491">
        <v>2018</v>
      </c>
      <c r="AV491">
        <v>30</v>
      </c>
      <c r="AW491">
        <v>2</v>
      </c>
      <c r="AX491" t="s">
        <v>74</v>
      </c>
      <c r="AY491" t="s">
        <v>74</v>
      </c>
      <c r="AZ491" t="s">
        <v>74</v>
      </c>
      <c r="BA491" t="s">
        <v>74</v>
      </c>
      <c r="BB491">
        <v>83</v>
      </c>
      <c r="BC491">
        <v>92</v>
      </c>
      <c r="BD491" t="s">
        <v>74</v>
      </c>
      <c r="BE491" t="s">
        <v>9907</v>
      </c>
      <c r="BF491" t="str">
        <f>HYPERLINK("http://dx.doi.org/10.1017/S0954102017000475","http://dx.doi.org/10.1017/S0954102017000475")</f>
        <v>http://dx.doi.org/10.1017/S0954102017000475</v>
      </c>
      <c r="BG491" t="s">
        <v>74</v>
      </c>
      <c r="BH491" t="s">
        <v>74</v>
      </c>
      <c r="BI491">
        <v>10</v>
      </c>
      <c r="BJ491" t="s">
        <v>379</v>
      </c>
      <c r="BK491" t="s">
        <v>101</v>
      </c>
      <c r="BL491" t="s">
        <v>380</v>
      </c>
      <c r="BM491" t="s">
        <v>9627</v>
      </c>
      <c r="BN491" t="s">
        <v>74</v>
      </c>
      <c r="BO491" t="s">
        <v>74</v>
      </c>
      <c r="BP491" t="s">
        <v>74</v>
      </c>
      <c r="BQ491" t="s">
        <v>74</v>
      </c>
      <c r="BR491" t="s">
        <v>105</v>
      </c>
      <c r="BS491" t="s">
        <v>9908</v>
      </c>
      <c r="BT491" t="str">
        <f>HYPERLINK("https%3A%2F%2Fwww.webofscience.com%2Fwos%2Fwoscc%2Ffull-record%2FWOS:000427291800002","View Full Record in Web of Science")</f>
        <v>View Full Record in Web of Science</v>
      </c>
    </row>
    <row r="492" spans="1:72" x14ac:dyDescent="0.15">
      <c r="A492" t="s">
        <v>72</v>
      </c>
      <c r="B492" t="s">
        <v>9909</v>
      </c>
      <c r="C492" t="s">
        <v>74</v>
      </c>
      <c r="D492" t="s">
        <v>74</v>
      </c>
      <c r="E492" t="s">
        <v>74</v>
      </c>
      <c r="F492" t="s">
        <v>9910</v>
      </c>
      <c r="G492" t="s">
        <v>74</v>
      </c>
      <c r="H492" t="s">
        <v>74</v>
      </c>
      <c r="I492" t="s">
        <v>9911</v>
      </c>
      <c r="J492" t="s">
        <v>370</v>
      </c>
      <c r="K492" t="s">
        <v>74</v>
      </c>
      <c r="L492" t="s">
        <v>74</v>
      </c>
      <c r="M492" t="s">
        <v>78</v>
      </c>
      <c r="N492" t="s">
        <v>79</v>
      </c>
      <c r="O492" t="s">
        <v>74</v>
      </c>
      <c r="P492" t="s">
        <v>74</v>
      </c>
      <c r="Q492" t="s">
        <v>74</v>
      </c>
      <c r="R492" t="s">
        <v>74</v>
      </c>
      <c r="S492" t="s">
        <v>74</v>
      </c>
      <c r="T492" t="s">
        <v>9912</v>
      </c>
      <c r="U492" t="s">
        <v>9913</v>
      </c>
      <c r="V492" t="s">
        <v>9914</v>
      </c>
      <c r="W492" t="s">
        <v>9915</v>
      </c>
      <c r="X492" t="s">
        <v>9916</v>
      </c>
      <c r="Y492" t="s">
        <v>9917</v>
      </c>
      <c r="Z492" t="s">
        <v>9918</v>
      </c>
      <c r="AA492" t="s">
        <v>9919</v>
      </c>
      <c r="AB492" t="s">
        <v>9920</v>
      </c>
      <c r="AC492" t="s">
        <v>9921</v>
      </c>
      <c r="AD492" t="s">
        <v>9921</v>
      </c>
      <c r="AE492" t="s">
        <v>9922</v>
      </c>
      <c r="AF492" t="s">
        <v>74</v>
      </c>
      <c r="AG492">
        <v>44</v>
      </c>
      <c r="AH492">
        <v>18</v>
      </c>
      <c r="AI492">
        <v>20</v>
      </c>
      <c r="AJ492">
        <v>0</v>
      </c>
      <c r="AK492">
        <v>22</v>
      </c>
      <c r="AL492" t="s">
        <v>372</v>
      </c>
      <c r="AM492" t="s">
        <v>92</v>
      </c>
      <c r="AN492" t="s">
        <v>373</v>
      </c>
      <c r="AO492" t="s">
        <v>374</v>
      </c>
      <c r="AP492" t="s">
        <v>375</v>
      </c>
      <c r="AQ492" t="s">
        <v>74</v>
      </c>
      <c r="AR492" t="s">
        <v>376</v>
      </c>
      <c r="AS492" t="s">
        <v>377</v>
      </c>
      <c r="AT492" t="s">
        <v>7235</v>
      </c>
      <c r="AU492">
        <v>2018</v>
      </c>
      <c r="AV492">
        <v>30</v>
      </c>
      <c r="AW492">
        <v>2</v>
      </c>
      <c r="AX492" t="s">
        <v>74</v>
      </c>
      <c r="AY492" t="s">
        <v>74</v>
      </c>
      <c r="AZ492" t="s">
        <v>74</v>
      </c>
      <c r="BA492" t="s">
        <v>74</v>
      </c>
      <c r="BB492">
        <v>93</v>
      </c>
      <c r="BC492">
        <v>104</v>
      </c>
      <c r="BD492" t="s">
        <v>74</v>
      </c>
      <c r="BE492" t="s">
        <v>9923</v>
      </c>
      <c r="BF492" t="str">
        <f>HYPERLINK("http://dx.doi.org/10.1017/S0954102017000487","http://dx.doi.org/10.1017/S0954102017000487")</f>
        <v>http://dx.doi.org/10.1017/S0954102017000487</v>
      </c>
      <c r="BG492" t="s">
        <v>74</v>
      </c>
      <c r="BH492" t="s">
        <v>74</v>
      </c>
      <c r="BI492">
        <v>12</v>
      </c>
      <c r="BJ492" t="s">
        <v>379</v>
      </c>
      <c r="BK492" t="s">
        <v>101</v>
      </c>
      <c r="BL492" t="s">
        <v>380</v>
      </c>
      <c r="BM492" t="s">
        <v>9627</v>
      </c>
      <c r="BN492" t="s">
        <v>74</v>
      </c>
      <c r="BO492" t="s">
        <v>74</v>
      </c>
      <c r="BP492" t="s">
        <v>74</v>
      </c>
      <c r="BQ492" t="s">
        <v>74</v>
      </c>
      <c r="BR492" t="s">
        <v>105</v>
      </c>
      <c r="BS492" t="s">
        <v>9924</v>
      </c>
      <c r="BT492" t="str">
        <f>HYPERLINK("https%3A%2F%2Fwww.webofscience.com%2Fwos%2Fwoscc%2Ffull-record%2FWOS:000427291800003","View Full Record in Web of Science")</f>
        <v>View Full Record in Web of Science</v>
      </c>
    </row>
    <row r="493" spans="1:72" x14ac:dyDescent="0.15">
      <c r="A493" t="s">
        <v>72</v>
      </c>
      <c r="B493" t="s">
        <v>9925</v>
      </c>
      <c r="C493" t="s">
        <v>74</v>
      </c>
      <c r="D493" t="s">
        <v>74</v>
      </c>
      <c r="E493" t="s">
        <v>74</v>
      </c>
      <c r="F493" t="s">
        <v>9926</v>
      </c>
      <c r="G493" t="s">
        <v>74</v>
      </c>
      <c r="H493" t="s">
        <v>74</v>
      </c>
      <c r="I493" t="s">
        <v>9927</v>
      </c>
      <c r="J493" t="s">
        <v>370</v>
      </c>
      <c r="K493" t="s">
        <v>74</v>
      </c>
      <c r="L493" t="s">
        <v>74</v>
      </c>
      <c r="M493" t="s">
        <v>78</v>
      </c>
      <c r="N493" t="s">
        <v>79</v>
      </c>
      <c r="O493" t="s">
        <v>74</v>
      </c>
      <c r="P493" t="s">
        <v>74</v>
      </c>
      <c r="Q493" t="s">
        <v>74</v>
      </c>
      <c r="R493" t="s">
        <v>74</v>
      </c>
      <c r="S493" t="s">
        <v>74</v>
      </c>
      <c r="T493" t="s">
        <v>9928</v>
      </c>
      <c r="U493" t="s">
        <v>9929</v>
      </c>
      <c r="V493" t="s">
        <v>9930</v>
      </c>
      <c r="W493" t="s">
        <v>9931</v>
      </c>
      <c r="X493" t="s">
        <v>9932</v>
      </c>
      <c r="Y493" t="s">
        <v>9933</v>
      </c>
      <c r="Z493" t="s">
        <v>9934</v>
      </c>
      <c r="AA493" t="s">
        <v>9935</v>
      </c>
      <c r="AB493" t="s">
        <v>9936</v>
      </c>
      <c r="AC493" t="s">
        <v>9937</v>
      </c>
      <c r="AD493" t="s">
        <v>9938</v>
      </c>
      <c r="AE493" t="s">
        <v>9939</v>
      </c>
      <c r="AF493" t="s">
        <v>74</v>
      </c>
      <c r="AG493">
        <v>50</v>
      </c>
      <c r="AH493">
        <v>11</v>
      </c>
      <c r="AI493">
        <v>12</v>
      </c>
      <c r="AJ493">
        <v>0</v>
      </c>
      <c r="AK493">
        <v>8</v>
      </c>
      <c r="AL493" t="s">
        <v>372</v>
      </c>
      <c r="AM493" t="s">
        <v>92</v>
      </c>
      <c r="AN493" t="s">
        <v>373</v>
      </c>
      <c r="AO493" t="s">
        <v>374</v>
      </c>
      <c r="AP493" t="s">
        <v>375</v>
      </c>
      <c r="AQ493" t="s">
        <v>74</v>
      </c>
      <c r="AR493" t="s">
        <v>376</v>
      </c>
      <c r="AS493" t="s">
        <v>377</v>
      </c>
      <c r="AT493" t="s">
        <v>7235</v>
      </c>
      <c r="AU493">
        <v>2018</v>
      </c>
      <c r="AV493">
        <v>30</v>
      </c>
      <c r="AW493">
        <v>2</v>
      </c>
      <c r="AX493" t="s">
        <v>74</v>
      </c>
      <c r="AY493" t="s">
        <v>74</v>
      </c>
      <c r="AZ493" t="s">
        <v>74</v>
      </c>
      <c r="BA493" t="s">
        <v>74</v>
      </c>
      <c r="BB493">
        <v>105</v>
      </c>
      <c r="BC493">
        <v>114</v>
      </c>
      <c r="BD493" t="s">
        <v>74</v>
      </c>
      <c r="BE493" t="s">
        <v>9940</v>
      </c>
      <c r="BF493" t="str">
        <f>HYPERLINK("http://dx.doi.org/10.1017/S0954102017000529","http://dx.doi.org/10.1017/S0954102017000529")</f>
        <v>http://dx.doi.org/10.1017/S0954102017000529</v>
      </c>
      <c r="BG493" t="s">
        <v>74</v>
      </c>
      <c r="BH493" t="s">
        <v>74</v>
      </c>
      <c r="BI493">
        <v>10</v>
      </c>
      <c r="BJ493" t="s">
        <v>379</v>
      </c>
      <c r="BK493" t="s">
        <v>101</v>
      </c>
      <c r="BL493" t="s">
        <v>380</v>
      </c>
      <c r="BM493" t="s">
        <v>9627</v>
      </c>
      <c r="BN493" t="s">
        <v>74</v>
      </c>
      <c r="BO493" t="s">
        <v>74</v>
      </c>
      <c r="BP493" t="s">
        <v>74</v>
      </c>
      <c r="BQ493" t="s">
        <v>74</v>
      </c>
      <c r="BR493" t="s">
        <v>105</v>
      </c>
      <c r="BS493" t="s">
        <v>9941</v>
      </c>
      <c r="BT493" t="str">
        <f>HYPERLINK("https%3A%2F%2Fwww.webofscience.com%2Fwos%2Fwoscc%2Ffull-record%2FWOS:000427291800004","View Full Record in Web of Science")</f>
        <v>View Full Record in Web of Science</v>
      </c>
    </row>
    <row r="494" spans="1:72" x14ac:dyDescent="0.15">
      <c r="A494" t="s">
        <v>72</v>
      </c>
      <c r="B494" t="s">
        <v>9942</v>
      </c>
      <c r="C494" t="s">
        <v>74</v>
      </c>
      <c r="D494" t="s">
        <v>74</v>
      </c>
      <c r="E494" t="s">
        <v>74</v>
      </c>
      <c r="F494" t="s">
        <v>9943</v>
      </c>
      <c r="G494" t="s">
        <v>74</v>
      </c>
      <c r="H494" t="s">
        <v>74</v>
      </c>
      <c r="I494" t="s">
        <v>9944</v>
      </c>
      <c r="J494" t="s">
        <v>370</v>
      </c>
      <c r="K494" t="s">
        <v>74</v>
      </c>
      <c r="L494" t="s">
        <v>74</v>
      </c>
      <c r="M494" t="s">
        <v>78</v>
      </c>
      <c r="N494" t="s">
        <v>79</v>
      </c>
      <c r="O494" t="s">
        <v>74</v>
      </c>
      <c r="P494" t="s">
        <v>74</v>
      </c>
      <c r="Q494" t="s">
        <v>74</v>
      </c>
      <c r="R494" t="s">
        <v>74</v>
      </c>
      <c r="S494" t="s">
        <v>74</v>
      </c>
      <c r="T494" t="s">
        <v>9945</v>
      </c>
      <c r="U494" t="s">
        <v>9946</v>
      </c>
      <c r="V494" t="s">
        <v>9947</v>
      </c>
      <c r="W494" t="s">
        <v>9948</v>
      </c>
      <c r="X494" t="s">
        <v>9949</v>
      </c>
      <c r="Y494" t="s">
        <v>9950</v>
      </c>
      <c r="Z494" t="s">
        <v>9951</v>
      </c>
      <c r="AA494" t="s">
        <v>9952</v>
      </c>
      <c r="AB494" t="s">
        <v>9953</v>
      </c>
      <c r="AC494" t="s">
        <v>74</v>
      </c>
      <c r="AD494" t="s">
        <v>74</v>
      </c>
      <c r="AE494" t="s">
        <v>74</v>
      </c>
      <c r="AF494" t="s">
        <v>74</v>
      </c>
      <c r="AG494">
        <v>35</v>
      </c>
      <c r="AH494">
        <v>5</v>
      </c>
      <c r="AI494">
        <v>5</v>
      </c>
      <c r="AJ494">
        <v>0</v>
      </c>
      <c r="AK494">
        <v>5</v>
      </c>
      <c r="AL494" t="s">
        <v>372</v>
      </c>
      <c r="AM494" t="s">
        <v>92</v>
      </c>
      <c r="AN494" t="s">
        <v>373</v>
      </c>
      <c r="AO494" t="s">
        <v>374</v>
      </c>
      <c r="AP494" t="s">
        <v>375</v>
      </c>
      <c r="AQ494" t="s">
        <v>74</v>
      </c>
      <c r="AR494" t="s">
        <v>376</v>
      </c>
      <c r="AS494" t="s">
        <v>377</v>
      </c>
      <c r="AT494" t="s">
        <v>7235</v>
      </c>
      <c r="AU494">
        <v>2018</v>
      </c>
      <c r="AV494">
        <v>30</v>
      </c>
      <c r="AW494">
        <v>2</v>
      </c>
      <c r="AX494" t="s">
        <v>74</v>
      </c>
      <c r="AY494" t="s">
        <v>74</v>
      </c>
      <c r="AZ494" t="s">
        <v>74</v>
      </c>
      <c r="BA494" t="s">
        <v>74</v>
      </c>
      <c r="BB494">
        <v>115</v>
      </c>
      <c r="BC494">
        <v>124</v>
      </c>
      <c r="BD494" t="s">
        <v>74</v>
      </c>
      <c r="BE494" t="s">
        <v>9954</v>
      </c>
      <c r="BF494" t="str">
        <f>HYPERLINK("http://dx.doi.org/10.1017/S0954102017000463","http://dx.doi.org/10.1017/S0954102017000463")</f>
        <v>http://dx.doi.org/10.1017/S0954102017000463</v>
      </c>
      <c r="BG494" t="s">
        <v>74</v>
      </c>
      <c r="BH494" t="s">
        <v>74</v>
      </c>
      <c r="BI494">
        <v>10</v>
      </c>
      <c r="BJ494" t="s">
        <v>379</v>
      </c>
      <c r="BK494" t="s">
        <v>101</v>
      </c>
      <c r="BL494" t="s">
        <v>380</v>
      </c>
      <c r="BM494" t="s">
        <v>9627</v>
      </c>
      <c r="BN494" t="s">
        <v>74</v>
      </c>
      <c r="BO494" t="s">
        <v>74</v>
      </c>
      <c r="BP494" t="s">
        <v>74</v>
      </c>
      <c r="BQ494" t="s">
        <v>74</v>
      </c>
      <c r="BR494" t="s">
        <v>105</v>
      </c>
      <c r="BS494" t="s">
        <v>9955</v>
      </c>
      <c r="BT494" t="str">
        <f>HYPERLINK("https%3A%2F%2Fwww.webofscience.com%2Fwos%2Fwoscc%2Ffull-record%2FWOS:000427291800005","View Full Record in Web of Science")</f>
        <v>View Full Record in Web of Science</v>
      </c>
    </row>
    <row r="495" spans="1:72" x14ac:dyDescent="0.15">
      <c r="A495" t="s">
        <v>72</v>
      </c>
      <c r="B495" t="s">
        <v>9956</v>
      </c>
      <c r="C495" t="s">
        <v>74</v>
      </c>
      <c r="D495" t="s">
        <v>74</v>
      </c>
      <c r="E495" t="s">
        <v>74</v>
      </c>
      <c r="F495" t="s">
        <v>9957</v>
      </c>
      <c r="G495" t="s">
        <v>74</v>
      </c>
      <c r="H495" t="s">
        <v>74</v>
      </c>
      <c r="I495" t="s">
        <v>9958</v>
      </c>
      <c r="J495" t="s">
        <v>1297</v>
      </c>
      <c r="K495" t="s">
        <v>74</v>
      </c>
      <c r="L495" t="s">
        <v>74</v>
      </c>
      <c r="M495" t="s">
        <v>78</v>
      </c>
      <c r="N495" t="s">
        <v>79</v>
      </c>
      <c r="O495" t="s">
        <v>74</v>
      </c>
      <c r="P495" t="s">
        <v>74</v>
      </c>
      <c r="Q495" t="s">
        <v>74</v>
      </c>
      <c r="R495" t="s">
        <v>74</v>
      </c>
      <c r="S495" t="s">
        <v>74</v>
      </c>
      <c r="T495" t="s">
        <v>9959</v>
      </c>
      <c r="U495" t="s">
        <v>9960</v>
      </c>
      <c r="V495" t="s">
        <v>9961</v>
      </c>
      <c r="W495" t="s">
        <v>9962</v>
      </c>
      <c r="X495" t="s">
        <v>9963</v>
      </c>
      <c r="Y495" t="s">
        <v>9964</v>
      </c>
      <c r="Z495" t="s">
        <v>9965</v>
      </c>
      <c r="AA495" t="s">
        <v>9966</v>
      </c>
      <c r="AB495" t="s">
        <v>9967</v>
      </c>
      <c r="AC495" t="s">
        <v>9968</v>
      </c>
      <c r="AD495" t="s">
        <v>9969</v>
      </c>
      <c r="AE495" t="s">
        <v>9970</v>
      </c>
      <c r="AF495" t="s">
        <v>74</v>
      </c>
      <c r="AG495">
        <v>118</v>
      </c>
      <c r="AH495">
        <v>50</v>
      </c>
      <c r="AI495">
        <v>55</v>
      </c>
      <c r="AJ495">
        <v>0</v>
      </c>
      <c r="AK495">
        <v>17</v>
      </c>
      <c r="AL495" t="s">
        <v>277</v>
      </c>
      <c r="AM495" t="s">
        <v>278</v>
      </c>
      <c r="AN495" t="s">
        <v>279</v>
      </c>
      <c r="AO495" t="s">
        <v>1310</v>
      </c>
      <c r="AP495" t="s">
        <v>1311</v>
      </c>
      <c r="AQ495" t="s">
        <v>74</v>
      </c>
      <c r="AR495" t="s">
        <v>1312</v>
      </c>
      <c r="AS495" t="s">
        <v>1313</v>
      </c>
      <c r="AT495" t="s">
        <v>7424</v>
      </c>
      <c r="AU495">
        <v>2018</v>
      </c>
      <c r="AV495">
        <v>226</v>
      </c>
      <c r="AW495" t="s">
        <v>74</v>
      </c>
      <c r="AX495" t="s">
        <v>74</v>
      </c>
      <c r="AY495" t="s">
        <v>74</v>
      </c>
      <c r="AZ495" t="s">
        <v>74</v>
      </c>
      <c r="BA495" t="s">
        <v>74</v>
      </c>
      <c r="BB495">
        <v>107</v>
      </c>
      <c r="BC495">
        <v>131</v>
      </c>
      <c r="BD495" t="s">
        <v>74</v>
      </c>
      <c r="BE495" t="s">
        <v>9971</v>
      </c>
      <c r="BF495" t="str">
        <f>HYPERLINK("http://dx.doi.org/10.1016/j.gca.2018.01.038","http://dx.doi.org/10.1016/j.gca.2018.01.038")</f>
        <v>http://dx.doi.org/10.1016/j.gca.2018.01.038</v>
      </c>
      <c r="BG495" t="s">
        <v>74</v>
      </c>
      <c r="BH495" t="s">
        <v>74</v>
      </c>
      <c r="BI495">
        <v>25</v>
      </c>
      <c r="BJ495" t="s">
        <v>260</v>
      </c>
      <c r="BK495" t="s">
        <v>101</v>
      </c>
      <c r="BL495" t="s">
        <v>260</v>
      </c>
      <c r="BM495" t="s">
        <v>9972</v>
      </c>
      <c r="BN495">
        <v>29628527</v>
      </c>
      <c r="BO495" t="s">
        <v>9973</v>
      </c>
      <c r="BP495" t="s">
        <v>74</v>
      </c>
      <c r="BQ495" t="s">
        <v>74</v>
      </c>
      <c r="BR495" t="s">
        <v>105</v>
      </c>
      <c r="BS495" t="s">
        <v>9974</v>
      </c>
      <c r="BT495" t="str">
        <f>HYPERLINK("https%3A%2F%2Fwww.webofscience.com%2Fwos%2Fwoscc%2Ffull-record%2FWOS:000427389300007","View Full Record in Web of Science")</f>
        <v>View Full Record in Web of Science</v>
      </c>
    </row>
    <row r="496" spans="1:72" x14ac:dyDescent="0.15">
      <c r="A496" t="s">
        <v>72</v>
      </c>
      <c r="B496" t="s">
        <v>9975</v>
      </c>
      <c r="C496" t="s">
        <v>74</v>
      </c>
      <c r="D496" t="s">
        <v>74</v>
      </c>
      <c r="E496" t="s">
        <v>74</v>
      </c>
      <c r="F496" t="s">
        <v>9976</v>
      </c>
      <c r="G496" t="s">
        <v>74</v>
      </c>
      <c r="H496" t="s">
        <v>74</v>
      </c>
      <c r="I496" t="s">
        <v>9977</v>
      </c>
      <c r="J496" t="s">
        <v>9978</v>
      </c>
      <c r="K496" t="s">
        <v>74</v>
      </c>
      <c r="L496" t="s">
        <v>74</v>
      </c>
      <c r="M496" t="s">
        <v>78</v>
      </c>
      <c r="N496" t="s">
        <v>79</v>
      </c>
      <c r="O496" t="s">
        <v>74</v>
      </c>
      <c r="P496" t="s">
        <v>74</v>
      </c>
      <c r="Q496" t="s">
        <v>74</v>
      </c>
      <c r="R496" t="s">
        <v>74</v>
      </c>
      <c r="S496" t="s">
        <v>74</v>
      </c>
      <c r="T496" t="s">
        <v>9979</v>
      </c>
      <c r="U496" t="s">
        <v>9980</v>
      </c>
      <c r="V496" t="s">
        <v>9981</v>
      </c>
      <c r="W496" t="s">
        <v>9982</v>
      </c>
      <c r="X496" t="s">
        <v>9983</v>
      </c>
      <c r="Y496" t="s">
        <v>9984</v>
      </c>
      <c r="Z496" t="s">
        <v>9985</v>
      </c>
      <c r="AA496" t="s">
        <v>9986</v>
      </c>
      <c r="AB496" t="s">
        <v>9987</v>
      </c>
      <c r="AC496" t="s">
        <v>9988</v>
      </c>
      <c r="AD496" t="s">
        <v>9989</v>
      </c>
      <c r="AE496" t="s">
        <v>9990</v>
      </c>
      <c r="AF496" t="s">
        <v>74</v>
      </c>
      <c r="AG496">
        <v>88</v>
      </c>
      <c r="AH496">
        <v>9</v>
      </c>
      <c r="AI496">
        <v>9</v>
      </c>
      <c r="AJ496">
        <v>1</v>
      </c>
      <c r="AK496">
        <v>16</v>
      </c>
      <c r="AL496" t="s">
        <v>179</v>
      </c>
      <c r="AM496" t="s">
        <v>180</v>
      </c>
      <c r="AN496" t="s">
        <v>181</v>
      </c>
      <c r="AO496" t="s">
        <v>9991</v>
      </c>
      <c r="AP496" t="s">
        <v>9992</v>
      </c>
      <c r="AQ496" t="s">
        <v>74</v>
      </c>
      <c r="AR496" t="s">
        <v>9978</v>
      </c>
      <c r="AS496" t="s">
        <v>9993</v>
      </c>
      <c r="AT496" t="s">
        <v>7235</v>
      </c>
      <c r="AU496">
        <v>2018</v>
      </c>
      <c r="AV496">
        <v>160</v>
      </c>
      <c r="AW496">
        <v>2</v>
      </c>
      <c r="AX496" t="s">
        <v>74</v>
      </c>
      <c r="AY496" t="s">
        <v>74</v>
      </c>
      <c r="AZ496" t="s">
        <v>74</v>
      </c>
      <c r="BA496" t="s">
        <v>74</v>
      </c>
      <c r="BB496">
        <v>327</v>
      </c>
      <c r="BC496">
        <v>341</v>
      </c>
      <c r="BD496" t="s">
        <v>74</v>
      </c>
      <c r="BE496" t="s">
        <v>9994</v>
      </c>
      <c r="BF496" t="str">
        <f>HYPERLINK("http://dx.doi.org/10.1111/ibi.12547","http://dx.doi.org/10.1111/ibi.12547")</f>
        <v>http://dx.doi.org/10.1111/ibi.12547</v>
      </c>
      <c r="BG496" t="s">
        <v>74</v>
      </c>
      <c r="BH496" t="s">
        <v>74</v>
      </c>
      <c r="BI496">
        <v>15</v>
      </c>
      <c r="BJ496" t="s">
        <v>9995</v>
      </c>
      <c r="BK496" t="s">
        <v>101</v>
      </c>
      <c r="BL496" t="s">
        <v>2624</v>
      </c>
      <c r="BM496" t="s">
        <v>9996</v>
      </c>
      <c r="BN496" t="s">
        <v>74</v>
      </c>
      <c r="BO496" t="s">
        <v>74</v>
      </c>
      <c r="BP496" t="s">
        <v>74</v>
      </c>
      <c r="BQ496" t="s">
        <v>74</v>
      </c>
      <c r="BR496" t="s">
        <v>105</v>
      </c>
      <c r="BS496" t="s">
        <v>9997</v>
      </c>
      <c r="BT496" t="str">
        <f>HYPERLINK("https%3A%2F%2Fwww.webofscience.com%2Fwos%2Fwoscc%2Ffull-record%2FWOS:000426728200007","View Full Record in Web of Science")</f>
        <v>View Full Record in Web of Science</v>
      </c>
    </row>
    <row r="497" spans="1:72" x14ac:dyDescent="0.15">
      <c r="A497" t="s">
        <v>72</v>
      </c>
      <c r="B497" t="s">
        <v>9998</v>
      </c>
      <c r="C497" t="s">
        <v>74</v>
      </c>
      <c r="D497" t="s">
        <v>74</v>
      </c>
      <c r="E497" t="s">
        <v>74</v>
      </c>
      <c r="F497" t="s">
        <v>9999</v>
      </c>
      <c r="G497" t="s">
        <v>74</v>
      </c>
      <c r="H497" t="s">
        <v>74</v>
      </c>
      <c r="I497" t="s">
        <v>10000</v>
      </c>
      <c r="J497" t="s">
        <v>5650</v>
      </c>
      <c r="K497" t="s">
        <v>74</v>
      </c>
      <c r="L497" t="s">
        <v>74</v>
      </c>
      <c r="M497" t="s">
        <v>78</v>
      </c>
      <c r="N497" t="s">
        <v>79</v>
      </c>
      <c r="O497" t="s">
        <v>74</v>
      </c>
      <c r="P497" t="s">
        <v>74</v>
      </c>
      <c r="Q497" t="s">
        <v>74</v>
      </c>
      <c r="R497" t="s">
        <v>74</v>
      </c>
      <c r="S497" t="s">
        <v>74</v>
      </c>
      <c r="T497" t="s">
        <v>10001</v>
      </c>
      <c r="U497" t="s">
        <v>10002</v>
      </c>
      <c r="V497" t="s">
        <v>10003</v>
      </c>
      <c r="W497" t="s">
        <v>10004</v>
      </c>
      <c r="X497" t="s">
        <v>10005</v>
      </c>
      <c r="Y497" t="s">
        <v>10006</v>
      </c>
      <c r="Z497" t="s">
        <v>10007</v>
      </c>
      <c r="AA497" t="s">
        <v>10008</v>
      </c>
      <c r="AB497" t="s">
        <v>10009</v>
      </c>
      <c r="AC497" t="s">
        <v>10010</v>
      </c>
      <c r="AD497" t="s">
        <v>10011</v>
      </c>
      <c r="AE497" t="s">
        <v>10012</v>
      </c>
      <c r="AF497" t="s">
        <v>74</v>
      </c>
      <c r="AG497">
        <v>42</v>
      </c>
      <c r="AH497">
        <v>2</v>
      </c>
      <c r="AI497">
        <v>2</v>
      </c>
      <c r="AJ497">
        <v>1</v>
      </c>
      <c r="AK497">
        <v>12</v>
      </c>
      <c r="AL497" t="s">
        <v>1539</v>
      </c>
      <c r="AM497" t="s">
        <v>1540</v>
      </c>
      <c r="AN497" t="s">
        <v>1541</v>
      </c>
      <c r="AO497" t="s">
        <v>5663</v>
      </c>
      <c r="AP497" t="s">
        <v>5664</v>
      </c>
      <c r="AQ497" t="s">
        <v>74</v>
      </c>
      <c r="AR497" t="s">
        <v>5665</v>
      </c>
      <c r="AS497" t="s">
        <v>5666</v>
      </c>
      <c r="AT497" t="s">
        <v>7235</v>
      </c>
      <c r="AU497">
        <v>2018</v>
      </c>
      <c r="AV497">
        <v>84</v>
      </c>
      <c r="AW497" t="s">
        <v>74</v>
      </c>
      <c r="AX497" t="s">
        <v>74</v>
      </c>
      <c r="AY497" t="s">
        <v>74</v>
      </c>
      <c r="AZ497" t="s">
        <v>74</v>
      </c>
      <c r="BA497" t="s">
        <v>74</v>
      </c>
      <c r="BB497">
        <v>407</v>
      </c>
      <c r="BC497">
        <v>419</v>
      </c>
      <c r="BD497" t="s">
        <v>74</v>
      </c>
      <c r="BE497" t="s">
        <v>10013</v>
      </c>
      <c r="BF497" t="str">
        <f>HYPERLINK("http://dx.doi.org/10.1016/j.cretres.2017.12.006","http://dx.doi.org/10.1016/j.cretres.2017.12.006")</f>
        <v>http://dx.doi.org/10.1016/j.cretres.2017.12.006</v>
      </c>
      <c r="BG497" t="s">
        <v>74</v>
      </c>
      <c r="BH497" t="s">
        <v>74</v>
      </c>
      <c r="BI497">
        <v>13</v>
      </c>
      <c r="BJ497" t="s">
        <v>5668</v>
      </c>
      <c r="BK497" t="s">
        <v>101</v>
      </c>
      <c r="BL497" t="s">
        <v>5668</v>
      </c>
      <c r="BM497" t="s">
        <v>10014</v>
      </c>
      <c r="BN497" t="s">
        <v>74</v>
      </c>
      <c r="BO497" t="s">
        <v>341</v>
      </c>
      <c r="BP497" t="s">
        <v>74</v>
      </c>
      <c r="BQ497" t="s">
        <v>74</v>
      </c>
      <c r="BR497" t="s">
        <v>105</v>
      </c>
      <c r="BS497" t="s">
        <v>10015</v>
      </c>
      <c r="BT497" t="str">
        <f>HYPERLINK("https%3A%2F%2Fwww.webofscience.com%2Fwos%2Fwoscc%2Ffull-record%2FWOS:000426412900031","View Full Record in Web of Science")</f>
        <v>View Full Record in Web of Science</v>
      </c>
    </row>
    <row r="498" spans="1:72" x14ac:dyDescent="0.15">
      <c r="A498" t="s">
        <v>72</v>
      </c>
      <c r="B498" t="s">
        <v>10016</v>
      </c>
      <c r="C498" t="s">
        <v>74</v>
      </c>
      <c r="D498" t="s">
        <v>74</v>
      </c>
      <c r="E498" t="s">
        <v>74</v>
      </c>
      <c r="F498" t="s">
        <v>10017</v>
      </c>
      <c r="G498" t="s">
        <v>74</v>
      </c>
      <c r="H498" t="s">
        <v>74</v>
      </c>
      <c r="I498" t="s">
        <v>10018</v>
      </c>
      <c r="J498" t="s">
        <v>516</v>
      </c>
      <c r="K498" t="s">
        <v>74</v>
      </c>
      <c r="L498" t="s">
        <v>74</v>
      </c>
      <c r="M498" t="s">
        <v>78</v>
      </c>
      <c r="N498" t="s">
        <v>79</v>
      </c>
      <c r="O498" t="s">
        <v>74</v>
      </c>
      <c r="P498" t="s">
        <v>74</v>
      </c>
      <c r="Q498" t="s">
        <v>74</v>
      </c>
      <c r="R498" t="s">
        <v>74</v>
      </c>
      <c r="S498" t="s">
        <v>74</v>
      </c>
      <c r="T498" t="s">
        <v>10019</v>
      </c>
      <c r="U498" t="s">
        <v>10020</v>
      </c>
      <c r="V498" t="s">
        <v>10021</v>
      </c>
      <c r="W498" t="s">
        <v>10022</v>
      </c>
      <c r="X498" t="s">
        <v>10023</v>
      </c>
      <c r="Y498" t="s">
        <v>10024</v>
      </c>
      <c r="Z498" t="s">
        <v>10025</v>
      </c>
      <c r="AA498" t="s">
        <v>10026</v>
      </c>
      <c r="AB498" t="s">
        <v>10027</v>
      </c>
      <c r="AC498" t="s">
        <v>10028</v>
      </c>
      <c r="AD498" t="s">
        <v>10028</v>
      </c>
      <c r="AE498" t="s">
        <v>10028</v>
      </c>
      <c r="AF498" t="s">
        <v>74</v>
      </c>
      <c r="AG498">
        <v>69</v>
      </c>
      <c r="AH498">
        <v>45</v>
      </c>
      <c r="AI498">
        <v>47</v>
      </c>
      <c r="AJ498">
        <v>1</v>
      </c>
      <c r="AK498">
        <v>72</v>
      </c>
      <c r="AL498" t="s">
        <v>179</v>
      </c>
      <c r="AM498" t="s">
        <v>180</v>
      </c>
      <c r="AN498" t="s">
        <v>181</v>
      </c>
      <c r="AO498" t="s">
        <v>529</v>
      </c>
      <c r="AP498" t="s">
        <v>530</v>
      </c>
      <c r="AQ498" t="s">
        <v>74</v>
      </c>
      <c r="AR498" t="s">
        <v>531</v>
      </c>
      <c r="AS498" t="s">
        <v>532</v>
      </c>
      <c r="AT498" t="s">
        <v>7235</v>
      </c>
      <c r="AU498">
        <v>2018</v>
      </c>
      <c r="AV498">
        <v>24</v>
      </c>
      <c r="AW498">
        <v>4</v>
      </c>
      <c r="AX498" t="s">
        <v>74</v>
      </c>
      <c r="AY498" t="s">
        <v>74</v>
      </c>
      <c r="AZ498" t="s">
        <v>74</v>
      </c>
      <c r="BA498" t="s">
        <v>74</v>
      </c>
      <c r="BB498">
        <v>1500</v>
      </c>
      <c r="BC498">
        <v>1510</v>
      </c>
      <c r="BD498" t="s">
        <v>74</v>
      </c>
      <c r="BE498" t="s">
        <v>10029</v>
      </c>
      <c r="BF498" t="str">
        <f>HYPERLINK("http://dx.doi.org/10.1111/gcb.14035","http://dx.doi.org/10.1111/gcb.14035")</f>
        <v>http://dx.doi.org/10.1111/gcb.14035</v>
      </c>
      <c r="BG498" t="s">
        <v>74</v>
      </c>
      <c r="BH498" t="s">
        <v>74</v>
      </c>
      <c r="BI498">
        <v>11</v>
      </c>
      <c r="BJ498" t="s">
        <v>534</v>
      </c>
      <c r="BK498" t="s">
        <v>101</v>
      </c>
      <c r="BL498" t="s">
        <v>102</v>
      </c>
      <c r="BM498" t="s">
        <v>10030</v>
      </c>
      <c r="BN498">
        <v>29284198</v>
      </c>
      <c r="BO498" t="s">
        <v>980</v>
      </c>
      <c r="BP498" t="s">
        <v>74</v>
      </c>
      <c r="BQ498" t="s">
        <v>74</v>
      </c>
      <c r="BR498" t="s">
        <v>105</v>
      </c>
      <c r="BS498" t="s">
        <v>10031</v>
      </c>
      <c r="BT498" t="str">
        <f>HYPERLINK("https%3A%2F%2Fwww.webofscience.com%2Fwos%2Fwoscc%2Ffull-record%2FWOS:000426504400007","View Full Record in Web of Science")</f>
        <v>View Full Record in Web of Science</v>
      </c>
    </row>
    <row r="499" spans="1:72" x14ac:dyDescent="0.15">
      <c r="A499" t="s">
        <v>72</v>
      </c>
      <c r="B499" t="s">
        <v>10032</v>
      </c>
      <c r="C499" t="s">
        <v>74</v>
      </c>
      <c r="D499" t="s">
        <v>74</v>
      </c>
      <c r="E499" t="s">
        <v>74</v>
      </c>
      <c r="F499" t="s">
        <v>10033</v>
      </c>
      <c r="G499" t="s">
        <v>74</v>
      </c>
      <c r="H499" t="s">
        <v>74</v>
      </c>
      <c r="I499" t="s">
        <v>10034</v>
      </c>
      <c r="J499" t="s">
        <v>10035</v>
      </c>
      <c r="K499" t="s">
        <v>74</v>
      </c>
      <c r="L499" t="s">
        <v>74</v>
      </c>
      <c r="M499" t="s">
        <v>78</v>
      </c>
      <c r="N499" t="s">
        <v>79</v>
      </c>
      <c r="O499" t="s">
        <v>74</v>
      </c>
      <c r="P499" t="s">
        <v>74</v>
      </c>
      <c r="Q499" t="s">
        <v>74</v>
      </c>
      <c r="R499" t="s">
        <v>74</v>
      </c>
      <c r="S499" t="s">
        <v>74</v>
      </c>
      <c r="T499" t="s">
        <v>10036</v>
      </c>
      <c r="U499" t="s">
        <v>10037</v>
      </c>
      <c r="V499" t="s">
        <v>10038</v>
      </c>
      <c r="W499" t="s">
        <v>10039</v>
      </c>
      <c r="X499" t="s">
        <v>10040</v>
      </c>
      <c r="Y499" t="s">
        <v>10041</v>
      </c>
      <c r="Z499" t="s">
        <v>10042</v>
      </c>
      <c r="AA499" t="s">
        <v>74</v>
      </c>
      <c r="AB499" t="s">
        <v>74</v>
      </c>
      <c r="AC499" t="s">
        <v>10043</v>
      </c>
      <c r="AD499" t="s">
        <v>10044</v>
      </c>
      <c r="AE499" t="s">
        <v>10045</v>
      </c>
      <c r="AF499" t="s">
        <v>74</v>
      </c>
      <c r="AG499">
        <v>28</v>
      </c>
      <c r="AH499">
        <v>23</v>
      </c>
      <c r="AI499">
        <v>25</v>
      </c>
      <c r="AJ499">
        <v>0</v>
      </c>
      <c r="AK499">
        <v>16</v>
      </c>
      <c r="AL499" t="s">
        <v>914</v>
      </c>
      <c r="AM499" t="s">
        <v>452</v>
      </c>
      <c r="AN499" t="s">
        <v>915</v>
      </c>
      <c r="AO499" t="s">
        <v>10046</v>
      </c>
      <c r="AP499" t="s">
        <v>10047</v>
      </c>
      <c r="AQ499" t="s">
        <v>74</v>
      </c>
      <c r="AR499" t="s">
        <v>10048</v>
      </c>
      <c r="AS499" t="s">
        <v>10049</v>
      </c>
      <c r="AT499" t="s">
        <v>7235</v>
      </c>
      <c r="AU499">
        <v>2018</v>
      </c>
      <c r="AV499">
        <v>148</v>
      </c>
      <c r="AW499" t="s">
        <v>74</v>
      </c>
      <c r="AX499" t="s">
        <v>74</v>
      </c>
      <c r="AY499" t="s">
        <v>74</v>
      </c>
      <c r="AZ499" t="s">
        <v>74</v>
      </c>
      <c r="BA499" t="s">
        <v>74</v>
      </c>
      <c r="BB499">
        <v>38</v>
      </c>
      <c r="BC499">
        <v>49</v>
      </c>
      <c r="BD499" t="s">
        <v>74</v>
      </c>
      <c r="BE499" t="s">
        <v>10050</v>
      </c>
      <c r="BF499" t="str">
        <f>HYPERLINK("http://dx.doi.org/10.1016/j.coldregions.2017.12.008","http://dx.doi.org/10.1016/j.coldregions.2017.12.008")</f>
        <v>http://dx.doi.org/10.1016/j.coldregions.2017.12.008</v>
      </c>
      <c r="BG499" t="s">
        <v>74</v>
      </c>
      <c r="BH499" t="s">
        <v>74</v>
      </c>
      <c r="BI499">
        <v>12</v>
      </c>
      <c r="BJ499" t="s">
        <v>10051</v>
      </c>
      <c r="BK499" t="s">
        <v>101</v>
      </c>
      <c r="BL499" t="s">
        <v>10052</v>
      </c>
      <c r="BM499" t="s">
        <v>10053</v>
      </c>
      <c r="BN499" t="s">
        <v>74</v>
      </c>
      <c r="BO499" t="s">
        <v>341</v>
      </c>
      <c r="BP499" t="s">
        <v>74</v>
      </c>
      <c r="BQ499" t="s">
        <v>74</v>
      </c>
      <c r="BR499" t="s">
        <v>105</v>
      </c>
      <c r="BS499" t="s">
        <v>10054</v>
      </c>
      <c r="BT499" t="str">
        <f>HYPERLINK("https%3A%2F%2Fwww.webofscience.com%2Fwos%2Fwoscc%2Ffull-record%2FWOS:000426010200005","View Full Record in Web of Science")</f>
        <v>View Full Record in Web of Science</v>
      </c>
    </row>
    <row r="500" spans="1:72" x14ac:dyDescent="0.15">
      <c r="A500" t="s">
        <v>72</v>
      </c>
      <c r="B500" t="s">
        <v>10055</v>
      </c>
      <c r="C500" t="s">
        <v>74</v>
      </c>
      <c r="D500" t="s">
        <v>74</v>
      </c>
      <c r="E500" t="s">
        <v>74</v>
      </c>
      <c r="F500" t="s">
        <v>10056</v>
      </c>
      <c r="G500" t="s">
        <v>74</v>
      </c>
      <c r="H500" t="s">
        <v>74</v>
      </c>
      <c r="I500" t="s">
        <v>10057</v>
      </c>
      <c r="J500" t="s">
        <v>7290</v>
      </c>
      <c r="K500" t="s">
        <v>74</v>
      </c>
      <c r="L500" t="s">
        <v>74</v>
      </c>
      <c r="M500" t="s">
        <v>78</v>
      </c>
      <c r="N500" t="s">
        <v>79</v>
      </c>
      <c r="O500" t="s">
        <v>74</v>
      </c>
      <c r="P500" t="s">
        <v>74</v>
      </c>
      <c r="Q500" t="s">
        <v>74</v>
      </c>
      <c r="R500" t="s">
        <v>74</v>
      </c>
      <c r="S500" t="s">
        <v>74</v>
      </c>
      <c r="T500" t="s">
        <v>10058</v>
      </c>
      <c r="U500" t="s">
        <v>10059</v>
      </c>
      <c r="V500" t="s">
        <v>10060</v>
      </c>
      <c r="W500" t="s">
        <v>10061</v>
      </c>
      <c r="X500" t="s">
        <v>10062</v>
      </c>
      <c r="Y500" t="s">
        <v>10063</v>
      </c>
      <c r="Z500" t="s">
        <v>10064</v>
      </c>
      <c r="AA500" t="s">
        <v>10065</v>
      </c>
      <c r="AB500" t="s">
        <v>10066</v>
      </c>
      <c r="AC500" t="s">
        <v>10067</v>
      </c>
      <c r="AD500" t="s">
        <v>10068</v>
      </c>
      <c r="AE500" t="s">
        <v>10069</v>
      </c>
      <c r="AF500" t="s">
        <v>74</v>
      </c>
      <c r="AG500">
        <v>16</v>
      </c>
      <c r="AH500">
        <v>3</v>
      </c>
      <c r="AI500">
        <v>3</v>
      </c>
      <c r="AJ500">
        <v>1</v>
      </c>
      <c r="AK500">
        <v>16</v>
      </c>
      <c r="AL500" t="s">
        <v>277</v>
      </c>
      <c r="AM500" t="s">
        <v>278</v>
      </c>
      <c r="AN500" t="s">
        <v>279</v>
      </c>
      <c r="AO500" t="s">
        <v>7303</v>
      </c>
      <c r="AP500" t="s">
        <v>7304</v>
      </c>
      <c r="AQ500" t="s">
        <v>74</v>
      </c>
      <c r="AR500" t="s">
        <v>7290</v>
      </c>
      <c r="AS500" t="s">
        <v>7305</v>
      </c>
      <c r="AT500" t="s">
        <v>7235</v>
      </c>
      <c r="AU500">
        <v>2018</v>
      </c>
      <c r="AV500">
        <v>196</v>
      </c>
      <c r="AW500" t="s">
        <v>74</v>
      </c>
      <c r="AX500" t="s">
        <v>74</v>
      </c>
      <c r="AY500" t="s">
        <v>74</v>
      </c>
      <c r="AZ500" t="s">
        <v>74</v>
      </c>
      <c r="BA500" t="s">
        <v>74</v>
      </c>
      <c r="BB500">
        <v>402</v>
      </c>
      <c r="BC500">
        <v>408</v>
      </c>
      <c r="BD500" t="s">
        <v>74</v>
      </c>
      <c r="BE500" t="s">
        <v>10070</v>
      </c>
      <c r="BF500" t="str">
        <f>HYPERLINK("http://dx.doi.org/10.1016/j.chemosphere.2017.12.188","http://dx.doi.org/10.1016/j.chemosphere.2017.12.188")</f>
        <v>http://dx.doi.org/10.1016/j.chemosphere.2017.12.188</v>
      </c>
      <c r="BG500" t="s">
        <v>74</v>
      </c>
      <c r="BH500" t="s">
        <v>74</v>
      </c>
      <c r="BI500">
        <v>7</v>
      </c>
      <c r="BJ500" t="s">
        <v>921</v>
      </c>
      <c r="BK500" t="s">
        <v>101</v>
      </c>
      <c r="BL500" t="s">
        <v>315</v>
      </c>
      <c r="BM500" t="s">
        <v>10071</v>
      </c>
      <c r="BN500">
        <v>29316466</v>
      </c>
      <c r="BO500" t="s">
        <v>74</v>
      </c>
      <c r="BP500" t="s">
        <v>74</v>
      </c>
      <c r="BQ500" t="s">
        <v>74</v>
      </c>
      <c r="BR500" t="s">
        <v>105</v>
      </c>
      <c r="BS500" t="s">
        <v>10072</v>
      </c>
      <c r="BT500" t="str">
        <f>HYPERLINK("https%3A%2F%2Fwww.webofscience.com%2Fwos%2Fwoscc%2Ffull-record%2FWOS:000425075500047","View Full Record in Web of Science")</f>
        <v>View Full Record in Web of Science</v>
      </c>
    </row>
    <row r="501" spans="1:72" x14ac:dyDescent="0.15">
      <c r="A501" t="s">
        <v>72</v>
      </c>
      <c r="B501" t="s">
        <v>10073</v>
      </c>
      <c r="C501" t="s">
        <v>74</v>
      </c>
      <c r="D501" t="s">
        <v>74</v>
      </c>
      <c r="E501" t="s">
        <v>74</v>
      </c>
      <c r="F501" t="s">
        <v>10074</v>
      </c>
      <c r="G501" t="s">
        <v>74</v>
      </c>
      <c r="H501" t="s">
        <v>74</v>
      </c>
      <c r="I501" t="s">
        <v>10075</v>
      </c>
      <c r="J501" t="s">
        <v>901</v>
      </c>
      <c r="K501" t="s">
        <v>74</v>
      </c>
      <c r="L501" t="s">
        <v>74</v>
      </c>
      <c r="M501" t="s">
        <v>78</v>
      </c>
      <c r="N501" t="s">
        <v>79</v>
      </c>
      <c r="O501" t="s">
        <v>74</v>
      </c>
      <c r="P501" t="s">
        <v>74</v>
      </c>
      <c r="Q501" t="s">
        <v>74</v>
      </c>
      <c r="R501" t="s">
        <v>74</v>
      </c>
      <c r="S501" t="s">
        <v>74</v>
      </c>
      <c r="T501" t="s">
        <v>10076</v>
      </c>
      <c r="U501" t="s">
        <v>10077</v>
      </c>
      <c r="V501" t="s">
        <v>10078</v>
      </c>
      <c r="W501" t="s">
        <v>10079</v>
      </c>
      <c r="X501" t="s">
        <v>10080</v>
      </c>
      <c r="Y501" t="s">
        <v>10081</v>
      </c>
      <c r="Z501" t="s">
        <v>10082</v>
      </c>
      <c r="AA501" t="s">
        <v>10083</v>
      </c>
      <c r="AB501" t="s">
        <v>10084</v>
      </c>
      <c r="AC501" t="s">
        <v>10085</v>
      </c>
      <c r="AD501" t="s">
        <v>10086</v>
      </c>
      <c r="AE501" t="s">
        <v>10087</v>
      </c>
      <c r="AF501" t="s">
        <v>74</v>
      </c>
      <c r="AG501">
        <v>50</v>
      </c>
      <c r="AH501">
        <v>18</v>
      </c>
      <c r="AI501">
        <v>19</v>
      </c>
      <c r="AJ501">
        <v>1</v>
      </c>
      <c r="AK501">
        <v>64</v>
      </c>
      <c r="AL501" t="s">
        <v>451</v>
      </c>
      <c r="AM501" t="s">
        <v>452</v>
      </c>
      <c r="AN501" t="s">
        <v>453</v>
      </c>
      <c r="AO501" t="s">
        <v>916</v>
      </c>
      <c r="AP501" t="s">
        <v>917</v>
      </c>
      <c r="AQ501" t="s">
        <v>74</v>
      </c>
      <c r="AR501" t="s">
        <v>918</v>
      </c>
      <c r="AS501" t="s">
        <v>919</v>
      </c>
      <c r="AT501" t="s">
        <v>7424</v>
      </c>
      <c r="AU501">
        <v>2018</v>
      </c>
      <c r="AV501">
        <v>619</v>
      </c>
      <c r="AW501" t="s">
        <v>74</v>
      </c>
      <c r="AX501" t="s">
        <v>74</v>
      </c>
      <c r="AY501" t="s">
        <v>74</v>
      </c>
      <c r="AZ501" t="s">
        <v>74</v>
      </c>
      <c r="BA501" t="s">
        <v>74</v>
      </c>
      <c r="BB501">
        <v>1098</v>
      </c>
      <c r="BC501">
        <v>1104</v>
      </c>
      <c r="BD501" t="s">
        <v>74</v>
      </c>
      <c r="BE501" t="s">
        <v>10088</v>
      </c>
      <c r="BF501" t="str">
        <f>HYPERLINK("http://dx.doi.org/10.1016/j.scitotenv.2017.11.186","http://dx.doi.org/10.1016/j.scitotenv.2017.11.186")</f>
        <v>http://dx.doi.org/10.1016/j.scitotenv.2017.11.186</v>
      </c>
      <c r="BG501" t="s">
        <v>74</v>
      </c>
      <c r="BH501" t="s">
        <v>74</v>
      </c>
      <c r="BI501">
        <v>7</v>
      </c>
      <c r="BJ501" t="s">
        <v>921</v>
      </c>
      <c r="BK501" t="s">
        <v>101</v>
      </c>
      <c r="BL501" t="s">
        <v>315</v>
      </c>
      <c r="BM501" t="s">
        <v>7894</v>
      </c>
      <c r="BN501">
        <v>29734588</v>
      </c>
      <c r="BO501" t="s">
        <v>74</v>
      </c>
      <c r="BP501" t="s">
        <v>74</v>
      </c>
      <c r="BQ501" t="s">
        <v>74</v>
      </c>
      <c r="BR501" t="s">
        <v>105</v>
      </c>
      <c r="BS501" t="s">
        <v>10089</v>
      </c>
      <c r="BT501" t="str">
        <f>HYPERLINK("https%3A%2F%2Fwww.webofscience.com%2Fwos%2Fwoscc%2Ffull-record%2FWOS:000424144200111","View Full Record in Web of Science")</f>
        <v>View Full Record in Web of Science</v>
      </c>
    </row>
    <row r="502" spans="1:72" x14ac:dyDescent="0.15">
      <c r="A502" t="s">
        <v>72</v>
      </c>
      <c r="B502" t="s">
        <v>10090</v>
      </c>
      <c r="C502" t="s">
        <v>74</v>
      </c>
      <c r="D502" t="s">
        <v>74</v>
      </c>
      <c r="E502" t="s">
        <v>74</v>
      </c>
      <c r="F502" t="s">
        <v>10091</v>
      </c>
      <c r="G502" t="s">
        <v>74</v>
      </c>
      <c r="H502" t="s">
        <v>74</v>
      </c>
      <c r="I502" t="s">
        <v>10092</v>
      </c>
      <c r="J502" t="s">
        <v>5861</v>
      </c>
      <c r="K502" t="s">
        <v>74</v>
      </c>
      <c r="L502" t="s">
        <v>74</v>
      </c>
      <c r="M502" t="s">
        <v>78</v>
      </c>
      <c r="N502" t="s">
        <v>79</v>
      </c>
      <c r="O502" t="s">
        <v>74</v>
      </c>
      <c r="P502" t="s">
        <v>74</v>
      </c>
      <c r="Q502" t="s">
        <v>74</v>
      </c>
      <c r="R502" t="s">
        <v>74</v>
      </c>
      <c r="S502" t="s">
        <v>74</v>
      </c>
      <c r="T502" t="s">
        <v>10093</v>
      </c>
      <c r="U502" t="s">
        <v>10094</v>
      </c>
      <c r="V502" t="s">
        <v>10095</v>
      </c>
      <c r="W502" t="s">
        <v>10096</v>
      </c>
      <c r="X502" t="s">
        <v>3455</v>
      </c>
      <c r="Y502" t="s">
        <v>10097</v>
      </c>
      <c r="Z502" t="s">
        <v>10098</v>
      </c>
      <c r="AA502" t="s">
        <v>74</v>
      </c>
      <c r="AB502" t="s">
        <v>10099</v>
      </c>
      <c r="AC502" t="s">
        <v>74</v>
      </c>
      <c r="AD502" t="s">
        <v>74</v>
      </c>
      <c r="AE502" t="s">
        <v>74</v>
      </c>
      <c r="AF502" t="s">
        <v>74</v>
      </c>
      <c r="AG502">
        <v>49</v>
      </c>
      <c r="AH502">
        <v>6</v>
      </c>
      <c r="AI502">
        <v>8</v>
      </c>
      <c r="AJ502">
        <v>2</v>
      </c>
      <c r="AK502">
        <v>34</v>
      </c>
      <c r="AL502" t="s">
        <v>914</v>
      </c>
      <c r="AM502" t="s">
        <v>452</v>
      </c>
      <c r="AN502" t="s">
        <v>915</v>
      </c>
      <c r="AO502" t="s">
        <v>5868</v>
      </c>
      <c r="AP502" t="s">
        <v>5869</v>
      </c>
      <c r="AQ502" t="s">
        <v>74</v>
      </c>
      <c r="AR502" t="s">
        <v>5870</v>
      </c>
      <c r="AS502" t="s">
        <v>5871</v>
      </c>
      <c r="AT502" t="s">
        <v>7235</v>
      </c>
      <c r="AU502">
        <v>2018</v>
      </c>
      <c r="AV502">
        <v>200</v>
      </c>
      <c r="AW502" t="s">
        <v>74</v>
      </c>
      <c r="AX502" t="s">
        <v>74</v>
      </c>
      <c r="AY502" t="s">
        <v>74</v>
      </c>
      <c r="AZ502" t="s">
        <v>74</v>
      </c>
      <c r="BA502" t="s">
        <v>74</v>
      </c>
      <c r="BB502">
        <v>84</v>
      </c>
      <c r="BC502">
        <v>92</v>
      </c>
      <c r="BD502" t="s">
        <v>74</v>
      </c>
      <c r="BE502" t="s">
        <v>10100</v>
      </c>
      <c r="BF502" t="str">
        <f>HYPERLINK("http://dx.doi.org/10.1016/j.fishres.2018.01.001","http://dx.doi.org/10.1016/j.fishres.2018.01.001")</f>
        <v>http://dx.doi.org/10.1016/j.fishres.2018.01.001</v>
      </c>
      <c r="BG502" t="s">
        <v>74</v>
      </c>
      <c r="BH502" t="s">
        <v>74</v>
      </c>
      <c r="BI502">
        <v>9</v>
      </c>
      <c r="BJ502" t="s">
        <v>5873</v>
      </c>
      <c r="BK502" t="s">
        <v>101</v>
      </c>
      <c r="BL502" t="s">
        <v>5873</v>
      </c>
      <c r="BM502" t="s">
        <v>10101</v>
      </c>
      <c r="BN502" t="s">
        <v>74</v>
      </c>
      <c r="BO502" t="s">
        <v>74</v>
      </c>
      <c r="BP502" t="s">
        <v>74</v>
      </c>
      <c r="BQ502" t="s">
        <v>74</v>
      </c>
      <c r="BR502" t="s">
        <v>105</v>
      </c>
      <c r="BS502" t="s">
        <v>10102</v>
      </c>
      <c r="BT502" t="str">
        <f>HYPERLINK("https%3A%2F%2Fwww.webofscience.com%2Fwos%2Fwoscc%2Ffull-record%2FWOS:000424185300011","View Full Record in Web of Science")</f>
        <v>View Full Record in Web of Science</v>
      </c>
    </row>
    <row r="503" spans="1:72" x14ac:dyDescent="0.15">
      <c r="A503" t="s">
        <v>72</v>
      </c>
      <c r="B503" t="s">
        <v>10103</v>
      </c>
      <c r="C503" t="s">
        <v>74</v>
      </c>
      <c r="D503" t="s">
        <v>74</v>
      </c>
      <c r="E503" t="s">
        <v>74</v>
      </c>
      <c r="F503" t="s">
        <v>10104</v>
      </c>
      <c r="G503" t="s">
        <v>74</v>
      </c>
      <c r="H503" t="s">
        <v>74</v>
      </c>
      <c r="I503" t="s">
        <v>10105</v>
      </c>
      <c r="J503" t="s">
        <v>10106</v>
      </c>
      <c r="K503" t="s">
        <v>74</v>
      </c>
      <c r="L503" t="s">
        <v>74</v>
      </c>
      <c r="M503" t="s">
        <v>78</v>
      </c>
      <c r="N503" t="s">
        <v>79</v>
      </c>
      <c r="O503" t="s">
        <v>74</v>
      </c>
      <c r="P503" t="s">
        <v>74</v>
      </c>
      <c r="Q503" t="s">
        <v>74</v>
      </c>
      <c r="R503" t="s">
        <v>74</v>
      </c>
      <c r="S503" t="s">
        <v>74</v>
      </c>
      <c r="T503" t="s">
        <v>10107</v>
      </c>
      <c r="U503" t="s">
        <v>10108</v>
      </c>
      <c r="V503" t="s">
        <v>10109</v>
      </c>
      <c r="W503" t="s">
        <v>10110</v>
      </c>
      <c r="X503" t="s">
        <v>10111</v>
      </c>
      <c r="Y503" t="s">
        <v>10112</v>
      </c>
      <c r="Z503" t="s">
        <v>10113</v>
      </c>
      <c r="AA503" t="s">
        <v>10114</v>
      </c>
      <c r="AB503" t="s">
        <v>74</v>
      </c>
      <c r="AC503" t="s">
        <v>74</v>
      </c>
      <c r="AD503" t="s">
        <v>74</v>
      </c>
      <c r="AE503" t="s">
        <v>74</v>
      </c>
      <c r="AF503" t="s">
        <v>74</v>
      </c>
      <c r="AG503">
        <v>35</v>
      </c>
      <c r="AH503">
        <v>2</v>
      </c>
      <c r="AI503">
        <v>2</v>
      </c>
      <c r="AJ503">
        <v>2</v>
      </c>
      <c r="AK503">
        <v>11</v>
      </c>
      <c r="AL503" t="s">
        <v>10115</v>
      </c>
      <c r="AM503" t="s">
        <v>10116</v>
      </c>
      <c r="AN503" t="s">
        <v>10117</v>
      </c>
      <c r="AO503" t="s">
        <v>10118</v>
      </c>
      <c r="AP503" t="s">
        <v>10119</v>
      </c>
      <c r="AQ503" t="s">
        <v>74</v>
      </c>
      <c r="AR503" t="s">
        <v>10120</v>
      </c>
      <c r="AS503" t="s">
        <v>10121</v>
      </c>
      <c r="AT503" t="s">
        <v>7235</v>
      </c>
      <c r="AU503">
        <v>2018</v>
      </c>
      <c r="AV503">
        <v>18</v>
      </c>
      <c r="AW503">
        <v>4</v>
      </c>
      <c r="AX503" t="s">
        <v>74</v>
      </c>
      <c r="AY503" t="s">
        <v>74</v>
      </c>
      <c r="AZ503" t="s">
        <v>74</v>
      </c>
      <c r="BA503" t="s">
        <v>74</v>
      </c>
      <c r="BB503">
        <v>539</v>
      </c>
      <c r="BC503">
        <v>546</v>
      </c>
      <c r="BD503" t="s">
        <v>74</v>
      </c>
      <c r="BE503" t="s">
        <v>10122</v>
      </c>
      <c r="BF503" t="str">
        <f>HYPERLINK("http://dx.doi.org/10.4194/1303-2712-v18_4_05","http://dx.doi.org/10.4194/1303-2712-v18_4_05")</f>
        <v>http://dx.doi.org/10.4194/1303-2712-v18_4_05</v>
      </c>
      <c r="BG503" t="s">
        <v>74</v>
      </c>
      <c r="BH503" t="s">
        <v>74</v>
      </c>
      <c r="BI503">
        <v>8</v>
      </c>
      <c r="BJ503" t="s">
        <v>3627</v>
      </c>
      <c r="BK503" t="s">
        <v>101</v>
      </c>
      <c r="BL503" t="s">
        <v>3627</v>
      </c>
      <c r="BM503" t="s">
        <v>10123</v>
      </c>
      <c r="BN503" t="s">
        <v>74</v>
      </c>
      <c r="BO503" t="s">
        <v>162</v>
      </c>
      <c r="BP503" t="s">
        <v>74</v>
      </c>
      <c r="BQ503" t="s">
        <v>74</v>
      </c>
      <c r="BR503" t="s">
        <v>105</v>
      </c>
      <c r="BS503" t="s">
        <v>10124</v>
      </c>
      <c r="BT503" t="str">
        <f>HYPERLINK("https%3A%2F%2Fwww.webofscience.com%2Fwos%2Fwoscc%2Ffull-record%2FWOS:000422953000005","View Full Record in Web of Science")</f>
        <v>View Full Record in Web of Science</v>
      </c>
    </row>
    <row r="504" spans="1:72" x14ac:dyDescent="0.15">
      <c r="A504" t="s">
        <v>72</v>
      </c>
      <c r="B504" t="s">
        <v>10125</v>
      </c>
      <c r="C504" t="s">
        <v>74</v>
      </c>
      <c r="D504" t="s">
        <v>74</v>
      </c>
      <c r="E504" t="s">
        <v>74</v>
      </c>
      <c r="F504" t="s">
        <v>10126</v>
      </c>
      <c r="G504" t="s">
        <v>74</v>
      </c>
      <c r="H504" t="s">
        <v>74</v>
      </c>
      <c r="I504" t="s">
        <v>10127</v>
      </c>
      <c r="J504" t="s">
        <v>10106</v>
      </c>
      <c r="K504" t="s">
        <v>74</v>
      </c>
      <c r="L504" t="s">
        <v>74</v>
      </c>
      <c r="M504" t="s">
        <v>78</v>
      </c>
      <c r="N504" t="s">
        <v>79</v>
      </c>
      <c r="O504" t="s">
        <v>74</v>
      </c>
      <c r="P504" t="s">
        <v>74</v>
      </c>
      <c r="Q504" t="s">
        <v>74</v>
      </c>
      <c r="R504" t="s">
        <v>74</v>
      </c>
      <c r="S504" t="s">
        <v>74</v>
      </c>
      <c r="T504" t="s">
        <v>10128</v>
      </c>
      <c r="U504" t="s">
        <v>10129</v>
      </c>
      <c r="V504" t="s">
        <v>10130</v>
      </c>
      <c r="W504" t="s">
        <v>10131</v>
      </c>
      <c r="X504" t="s">
        <v>10132</v>
      </c>
      <c r="Y504" t="s">
        <v>10133</v>
      </c>
      <c r="Z504" t="s">
        <v>10134</v>
      </c>
      <c r="AA504" t="s">
        <v>10135</v>
      </c>
      <c r="AB504" t="s">
        <v>10136</v>
      </c>
      <c r="AC504" t="s">
        <v>10137</v>
      </c>
      <c r="AD504" t="s">
        <v>10138</v>
      </c>
      <c r="AE504" t="s">
        <v>10139</v>
      </c>
      <c r="AF504" t="s">
        <v>74</v>
      </c>
      <c r="AG504">
        <v>19</v>
      </c>
      <c r="AH504">
        <v>2</v>
      </c>
      <c r="AI504">
        <v>2</v>
      </c>
      <c r="AJ504">
        <v>1</v>
      </c>
      <c r="AK504">
        <v>31</v>
      </c>
      <c r="AL504" t="s">
        <v>10115</v>
      </c>
      <c r="AM504" t="s">
        <v>10116</v>
      </c>
      <c r="AN504" t="s">
        <v>10117</v>
      </c>
      <c r="AO504" t="s">
        <v>10118</v>
      </c>
      <c r="AP504" t="s">
        <v>10119</v>
      </c>
      <c r="AQ504" t="s">
        <v>74</v>
      </c>
      <c r="AR504" t="s">
        <v>10120</v>
      </c>
      <c r="AS504" t="s">
        <v>10121</v>
      </c>
      <c r="AT504" t="s">
        <v>7235</v>
      </c>
      <c r="AU504">
        <v>2018</v>
      </c>
      <c r="AV504">
        <v>18</v>
      </c>
      <c r="AW504">
        <v>4</v>
      </c>
      <c r="AX504" t="s">
        <v>74</v>
      </c>
      <c r="AY504" t="s">
        <v>74</v>
      </c>
      <c r="AZ504" t="s">
        <v>74</v>
      </c>
      <c r="BA504" t="s">
        <v>74</v>
      </c>
      <c r="BB504">
        <v>577</v>
      </c>
      <c r="BC504">
        <v>584</v>
      </c>
      <c r="BD504" t="s">
        <v>74</v>
      </c>
      <c r="BE504" t="s">
        <v>10140</v>
      </c>
      <c r="BF504" t="str">
        <f>HYPERLINK("http://dx.doi.org/10.4194/1303-2712-v18_4_09","http://dx.doi.org/10.4194/1303-2712-v18_4_09")</f>
        <v>http://dx.doi.org/10.4194/1303-2712-v18_4_09</v>
      </c>
      <c r="BG504" t="s">
        <v>74</v>
      </c>
      <c r="BH504" t="s">
        <v>74</v>
      </c>
      <c r="BI504">
        <v>8</v>
      </c>
      <c r="BJ504" t="s">
        <v>3627</v>
      </c>
      <c r="BK504" t="s">
        <v>101</v>
      </c>
      <c r="BL504" t="s">
        <v>3627</v>
      </c>
      <c r="BM504" t="s">
        <v>10123</v>
      </c>
      <c r="BN504" t="s">
        <v>74</v>
      </c>
      <c r="BO504" t="s">
        <v>584</v>
      </c>
      <c r="BP504" t="s">
        <v>74</v>
      </c>
      <c r="BQ504" t="s">
        <v>74</v>
      </c>
      <c r="BR504" t="s">
        <v>105</v>
      </c>
      <c r="BS504" t="s">
        <v>10141</v>
      </c>
      <c r="BT504" t="str">
        <f>HYPERLINK("https%3A%2F%2Fwww.webofscience.com%2Fwos%2Fwoscc%2Ffull-record%2FWOS:000422953000009","View Full Record in Web of Science")</f>
        <v>View Full Record in Web of Science</v>
      </c>
    </row>
    <row r="505" spans="1:72" x14ac:dyDescent="0.15">
      <c r="A505" t="s">
        <v>72</v>
      </c>
      <c r="B505" t="s">
        <v>10142</v>
      </c>
      <c r="C505" t="s">
        <v>74</v>
      </c>
      <c r="D505" t="s">
        <v>74</v>
      </c>
      <c r="E505" t="s">
        <v>74</v>
      </c>
      <c r="F505" t="s">
        <v>10143</v>
      </c>
      <c r="G505" t="s">
        <v>74</v>
      </c>
      <c r="H505" t="s">
        <v>74</v>
      </c>
      <c r="I505" t="s">
        <v>10144</v>
      </c>
      <c r="J505" t="s">
        <v>7432</v>
      </c>
      <c r="K505" t="s">
        <v>74</v>
      </c>
      <c r="L505" t="s">
        <v>74</v>
      </c>
      <c r="M505" t="s">
        <v>78</v>
      </c>
      <c r="N505" t="s">
        <v>79</v>
      </c>
      <c r="O505" t="s">
        <v>74</v>
      </c>
      <c r="P505" t="s">
        <v>74</v>
      </c>
      <c r="Q505" t="s">
        <v>74</v>
      </c>
      <c r="R505" t="s">
        <v>74</v>
      </c>
      <c r="S505" t="s">
        <v>74</v>
      </c>
      <c r="T505" t="s">
        <v>10145</v>
      </c>
      <c r="U505" t="s">
        <v>10146</v>
      </c>
      <c r="V505" t="s">
        <v>10147</v>
      </c>
      <c r="W505" t="s">
        <v>10148</v>
      </c>
      <c r="X505" t="s">
        <v>10149</v>
      </c>
      <c r="Y505" t="s">
        <v>10150</v>
      </c>
      <c r="Z505" t="s">
        <v>10151</v>
      </c>
      <c r="AA505" t="s">
        <v>10152</v>
      </c>
      <c r="AB505" t="s">
        <v>74</v>
      </c>
      <c r="AC505" t="s">
        <v>10153</v>
      </c>
      <c r="AD505" t="s">
        <v>10154</v>
      </c>
      <c r="AE505" t="s">
        <v>10155</v>
      </c>
      <c r="AF505" t="s">
        <v>74</v>
      </c>
      <c r="AG505">
        <v>74</v>
      </c>
      <c r="AH505">
        <v>10</v>
      </c>
      <c r="AI505">
        <v>11</v>
      </c>
      <c r="AJ505">
        <v>0</v>
      </c>
      <c r="AK505">
        <v>22</v>
      </c>
      <c r="AL505" t="s">
        <v>179</v>
      </c>
      <c r="AM505" t="s">
        <v>180</v>
      </c>
      <c r="AN505" t="s">
        <v>181</v>
      </c>
      <c r="AO505" t="s">
        <v>7445</v>
      </c>
      <c r="AP505" t="s">
        <v>7446</v>
      </c>
      <c r="AQ505" t="s">
        <v>74</v>
      </c>
      <c r="AR505" t="s">
        <v>7447</v>
      </c>
      <c r="AS505" t="s">
        <v>7448</v>
      </c>
      <c r="AT505" t="s">
        <v>10156</v>
      </c>
      <c r="AU505">
        <v>2018</v>
      </c>
      <c r="AV505">
        <v>38</v>
      </c>
      <c r="AW505">
        <v>4</v>
      </c>
      <c r="AX505" t="s">
        <v>74</v>
      </c>
      <c r="AY505" t="s">
        <v>74</v>
      </c>
      <c r="AZ505" t="s">
        <v>74</v>
      </c>
      <c r="BA505" t="s">
        <v>74</v>
      </c>
      <c r="BB505">
        <v>1706</v>
      </c>
      <c r="BC505">
        <v>1717</v>
      </c>
      <c r="BD505" t="s">
        <v>74</v>
      </c>
      <c r="BE505" t="s">
        <v>10157</v>
      </c>
      <c r="BF505" t="str">
        <f>HYPERLINK("http://dx.doi.org/10.1002/joc.5290","http://dx.doi.org/10.1002/joc.5290")</f>
        <v>http://dx.doi.org/10.1002/joc.5290</v>
      </c>
      <c r="BG505" t="s">
        <v>74</v>
      </c>
      <c r="BH505" t="s">
        <v>74</v>
      </c>
      <c r="BI505">
        <v>12</v>
      </c>
      <c r="BJ505" t="s">
        <v>131</v>
      </c>
      <c r="BK505" t="s">
        <v>101</v>
      </c>
      <c r="BL505" t="s">
        <v>131</v>
      </c>
      <c r="BM505" t="s">
        <v>10158</v>
      </c>
      <c r="BN505" t="s">
        <v>74</v>
      </c>
      <c r="BO505" t="s">
        <v>74</v>
      </c>
      <c r="BP505" t="s">
        <v>74</v>
      </c>
      <c r="BQ505" t="s">
        <v>74</v>
      </c>
      <c r="BR505" t="s">
        <v>105</v>
      </c>
      <c r="BS505" t="s">
        <v>10159</v>
      </c>
      <c r="BT505" t="str">
        <f>HYPERLINK("https%3A%2F%2Fwww.webofscience.com%2Fwos%2Fwoscc%2Ffull-record%2FWOS:000427011700008","View Full Record in Web of Science")</f>
        <v>View Full Record in Web of Science</v>
      </c>
    </row>
    <row r="506" spans="1:72" x14ac:dyDescent="0.15">
      <c r="A506" t="s">
        <v>72</v>
      </c>
      <c r="B506" t="s">
        <v>10160</v>
      </c>
      <c r="C506" t="s">
        <v>74</v>
      </c>
      <c r="D506" t="s">
        <v>74</v>
      </c>
      <c r="E506" t="s">
        <v>74</v>
      </c>
      <c r="F506" t="s">
        <v>10161</v>
      </c>
      <c r="G506" t="s">
        <v>74</v>
      </c>
      <c r="H506" t="s">
        <v>74</v>
      </c>
      <c r="I506" t="s">
        <v>10162</v>
      </c>
      <c r="J506" t="s">
        <v>2139</v>
      </c>
      <c r="K506" t="s">
        <v>74</v>
      </c>
      <c r="L506" t="s">
        <v>74</v>
      </c>
      <c r="M506" t="s">
        <v>78</v>
      </c>
      <c r="N506" t="s">
        <v>466</v>
      </c>
      <c r="O506" t="s">
        <v>74</v>
      </c>
      <c r="P506" t="s">
        <v>74</v>
      </c>
      <c r="Q506" t="s">
        <v>74</v>
      </c>
      <c r="R506" t="s">
        <v>74</v>
      </c>
      <c r="S506" t="s">
        <v>74</v>
      </c>
      <c r="T506" t="s">
        <v>10163</v>
      </c>
      <c r="U506" t="s">
        <v>10164</v>
      </c>
      <c r="V506" t="s">
        <v>10165</v>
      </c>
      <c r="W506" t="s">
        <v>10166</v>
      </c>
      <c r="X506" t="s">
        <v>10167</v>
      </c>
      <c r="Y506" t="s">
        <v>10168</v>
      </c>
      <c r="Z506" t="s">
        <v>10169</v>
      </c>
      <c r="AA506" t="s">
        <v>10170</v>
      </c>
      <c r="AB506" t="s">
        <v>10171</v>
      </c>
      <c r="AC506" t="s">
        <v>10172</v>
      </c>
      <c r="AD506" t="s">
        <v>10173</v>
      </c>
      <c r="AE506" t="s">
        <v>10174</v>
      </c>
      <c r="AF506" t="s">
        <v>74</v>
      </c>
      <c r="AG506">
        <v>124</v>
      </c>
      <c r="AH506">
        <v>31</v>
      </c>
      <c r="AI506">
        <v>32</v>
      </c>
      <c r="AJ506">
        <v>4</v>
      </c>
      <c r="AK506">
        <v>35</v>
      </c>
      <c r="AL506" t="s">
        <v>2152</v>
      </c>
      <c r="AM506" t="s">
        <v>2153</v>
      </c>
      <c r="AN506" t="s">
        <v>2154</v>
      </c>
      <c r="AO506" t="s">
        <v>74</v>
      </c>
      <c r="AP506" t="s">
        <v>2155</v>
      </c>
      <c r="AQ506" t="s">
        <v>74</v>
      </c>
      <c r="AR506" t="s">
        <v>2156</v>
      </c>
      <c r="AS506" t="s">
        <v>2157</v>
      </c>
      <c r="AT506" t="s">
        <v>10175</v>
      </c>
      <c r="AU506">
        <v>2018</v>
      </c>
      <c r="AV506">
        <v>5</v>
      </c>
      <c r="AW506" t="s">
        <v>74</v>
      </c>
      <c r="AX506" t="s">
        <v>74</v>
      </c>
      <c r="AY506" t="s">
        <v>74</v>
      </c>
      <c r="AZ506" t="s">
        <v>74</v>
      </c>
      <c r="BA506" t="s">
        <v>74</v>
      </c>
      <c r="BB506" t="s">
        <v>74</v>
      </c>
      <c r="BC506" t="s">
        <v>74</v>
      </c>
      <c r="BD506">
        <v>109</v>
      </c>
      <c r="BE506" t="s">
        <v>10176</v>
      </c>
      <c r="BF506" t="str">
        <f>HYPERLINK("http://dx.doi.org/10.3389/fmars.2018.00109","http://dx.doi.org/10.3389/fmars.2018.00109")</f>
        <v>http://dx.doi.org/10.3389/fmars.2018.00109</v>
      </c>
      <c r="BG506" t="s">
        <v>74</v>
      </c>
      <c r="BH506" t="s">
        <v>74</v>
      </c>
      <c r="BI506">
        <v>9</v>
      </c>
      <c r="BJ506" t="s">
        <v>2159</v>
      </c>
      <c r="BK506" t="s">
        <v>101</v>
      </c>
      <c r="BL506" t="s">
        <v>1268</v>
      </c>
      <c r="BM506" t="s">
        <v>10177</v>
      </c>
      <c r="BN506" t="s">
        <v>74</v>
      </c>
      <c r="BO506" t="s">
        <v>487</v>
      </c>
      <c r="BP506" t="s">
        <v>74</v>
      </c>
      <c r="BQ506" t="s">
        <v>74</v>
      </c>
      <c r="BR506" t="s">
        <v>105</v>
      </c>
      <c r="BS506" t="s">
        <v>10178</v>
      </c>
      <c r="BT506" t="str">
        <f>HYPERLINK("https%3A%2F%2Fwww.webofscience.com%2Fwos%2Fwoscc%2Ffull-record%2FWOS:000456941200001","View Full Record in Web of Science")</f>
        <v>View Full Record in Web of Science</v>
      </c>
    </row>
    <row r="507" spans="1:72" x14ac:dyDescent="0.15">
      <c r="A507" t="s">
        <v>72</v>
      </c>
      <c r="B507" t="s">
        <v>10179</v>
      </c>
      <c r="C507" t="s">
        <v>74</v>
      </c>
      <c r="D507" t="s">
        <v>74</v>
      </c>
      <c r="E507" t="s">
        <v>74</v>
      </c>
      <c r="F507" t="s">
        <v>10180</v>
      </c>
      <c r="G507" t="s">
        <v>74</v>
      </c>
      <c r="H507" t="s">
        <v>74</v>
      </c>
      <c r="I507" t="s">
        <v>10181</v>
      </c>
      <c r="J507" t="s">
        <v>2322</v>
      </c>
      <c r="K507" t="s">
        <v>74</v>
      </c>
      <c r="L507" t="s">
        <v>74</v>
      </c>
      <c r="M507" t="s">
        <v>78</v>
      </c>
      <c r="N507" t="s">
        <v>79</v>
      </c>
      <c r="O507" t="s">
        <v>74</v>
      </c>
      <c r="P507" t="s">
        <v>74</v>
      </c>
      <c r="Q507" t="s">
        <v>74</v>
      </c>
      <c r="R507" t="s">
        <v>74</v>
      </c>
      <c r="S507" t="s">
        <v>74</v>
      </c>
      <c r="T507" t="s">
        <v>74</v>
      </c>
      <c r="U507" t="s">
        <v>10182</v>
      </c>
      <c r="V507" t="s">
        <v>10183</v>
      </c>
      <c r="W507" t="s">
        <v>10184</v>
      </c>
      <c r="X507" t="s">
        <v>10185</v>
      </c>
      <c r="Y507" t="s">
        <v>10186</v>
      </c>
      <c r="Z507" t="s">
        <v>10187</v>
      </c>
      <c r="AA507" t="s">
        <v>10188</v>
      </c>
      <c r="AB507" t="s">
        <v>10189</v>
      </c>
      <c r="AC507" t="s">
        <v>10190</v>
      </c>
      <c r="AD507" t="s">
        <v>10191</v>
      </c>
      <c r="AE507" t="s">
        <v>10192</v>
      </c>
      <c r="AF507" t="s">
        <v>74</v>
      </c>
      <c r="AG507">
        <v>127</v>
      </c>
      <c r="AH507">
        <v>16</v>
      </c>
      <c r="AI507">
        <v>18</v>
      </c>
      <c r="AJ507">
        <v>2</v>
      </c>
      <c r="AK507">
        <v>28</v>
      </c>
      <c r="AL507" t="s">
        <v>1563</v>
      </c>
      <c r="AM507" t="s">
        <v>1564</v>
      </c>
      <c r="AN507" t="s">
        <v>1565</v>
      </c>
      <c r="AO507" t="s">
        <v>2334</v>
      </c>
      <c r="AP507" t="s">
        <v>2335</v>
      </c>
      <c r="AQ507" t="s">
        <v>74</v>
      </c>
      <c r="AR507" t="s">
        <v>2322</v>
      </c>
      <c r="AS507" t="s">
        <v>2336</v>
      </c>
      <c r="AT507" t="s">
        <v>10175</v>
      </c>
      <c r="AU507">
        <v>2018</v>
      </c>
      <c r="AV507">
        <v>15</v>
      </c>
      <c r="AW507">
        <v>6</v>
      </c>
      <c r="AX507" t="s">
        <v>74</v>
      </c>
      <c r="AY507" t="s">
        <v>74</v>
      </c>
      <c r="AZ507" t="s">
        <v>74</v>
      </c>
      <c r="BA507" t="s">
        <v>74</v>
      </c>
      <c r="BB507">
        <v>1843</v>
      </c>
      <c r="BC507">
        <v>1862</v>
      </c>
      <c r="BD507" t="s">
        <v>74</v>
      </c>
      <c r="BE507" t="s">
        <v>10193</v>
      </c>
      <c r="BF507" t="str">
        <f>HYPERLINK("http://dx.doi.org/10.5194/bg-15-1843-2018","http://dx.doi.org/10.5194/bg-15-1843-2018")</f>
        <v>http://dx.doi.org/10.5194/bg-15-1843-2018</v>
      </c>
      <c r="BG507" t="s">
        <v>74</v>
      </c>
      <c r="BH507" t="s">
        <v>74</v>
      </c>
      <c r="BI507">
        <v>20</v>
      </c>
      <c r="BJ507" t="s">
        <v>803</v>
      </c>
      <c r="BK507" t="s">
        <v>101</v>
      </c>
      <c r="BL507" t="s">
        <v>804</v>
      </c>
      <c r="BM507" t="s">
        <v>10194</v>
      </c>
      <c r="BN507" t="s">
        <v>74</v>
      </c>
      <c r="BO507" t="s">
        <v>830</v>
      </c>
      <c r="BP507" t="s">
        <v>74</v>
      </c>
      <c r="BQ507" t="s">
        <v>74</v>
      </c>
      <c r="BR507" t="s">
        <v>105</v>
      </c>
      <c r="BS507" t="s">
        <v>10195</v>
      </c>
      <c r="BT507" t="str">
        <f>HYPERLINK("https%3A%2F%2Fwww.webofscience.com%2Fwos%2Fwoscc%2Ffull-record%2FWOS:000428904900002","View Full Record in Web of Science")</f>
        <v>View Full Record in Web of Science</v>
      </c>
    </row>
    <row r="508" spans="1:72" x14ac:dyDescent="0.15">
      <c r="A508" t="s">
        <v>72</v>
      </c>
      <c r="B508" t="s">
        <v>10196</v>
      </c>
      <c r="C508" t="s">
        <v>74</v>
      </c>
      <c r="D508" t="s">
        <v>74</v>
      </c>
      <c r="E508" t="s">
        <v>74</v>
      </c>
      <c r="F508" t="s">
        <v>10197</v>
      </c>
      <c r="G508" t="s">
        <v>74</v>
      </c>
      <c r="H508" t="s">
        <v>74</v>
      </c>
      <c r="I508" t="s">
        <v>10198</v>
      </c>
      <c r="J508" t="s">
        <v>6165</v>
      </c>
      <c r="K508" t="s">
        <v>74</v>
      </c>
      <c r="L508" t="s">
        <v>74</v>
      </c>
      <c r="M508" t="s">
        <v>78</v>
      </c>
      <c r="N508" t="s">
        <v>79</v>
      </c>
      <c r="O508" t="s">
        <v>74</v>
      </c>
      <c r="P508" t="s">
        <v>74</v>
      </c>
      <c r="Q508" t="s">
        <v>74</v>
      </c>
      <c r="R508" t="s">
        <v>74</v>
      </c>
      <c r="S508" t="s">
        <v>74</v>
      </c>
      <c r="T508" t="s">
        <v>74</v>
      </c>
      <c r="U508" t="s">
        <v>10199</v>
      </c>
      <c r="V508" t="s">
        <v>10200</v>
      </c>
      <c r="W508" t="s">
        <v>10201</v>
      </c>
      <c r="X508" t="s">
        <v>10202</v>
      </c>
      <c r="Y508" t="s">
        <v>10203</v>
      </c>
      <c r="Z508" t="s">
        <v>10204</v>
      </c>
      <c r="AA508" t="s">
        <v>10205</v>
      </c>
      <c r="AB508" t="s">
        <v>10206</v>
      </c>
      <c r="AC508" t="s">
        <v>10207</v>
      </c>
      <c r="AD508" t="s">
        <v>10208</v>
      </c>
      <c r="AE508" t="s">
        <v>10209</v>
      </c>
      <c r="AF508" t="s">
        <v>74</v>
      </c>
      <c r="AG508">
        <v>101</v>
      </c>
      <c r="AH508">
        <v>97</v>
      </c>
      <c r="AI508">
        <v>106</v>
      </c>
      <c r="AJ508">
        <v>3</v>
      </c>
      <c r="AK508">
        <v>61</v>
      </c>
      <c r="AL508" t="s">
        <v>1563</v>
      </c>
      <c r="AM508" t="s">
        <v>1564</v>
      </c>
      <c r="AN508" t="s">
        <v>1565</v>
      </c>
      <c r="AO508" t="s">
        <v>6177</v>
      </c>
      <c r="AP508" t="s">
        <v>6178</v>
      </c>
      <c r="AQ508" t="s">
        <v>74</v>
      </c>
      <c r="AR508" t="s">
        <v>6179</v>
      </c>
      <c r="AS508" t="s">
        <v>6180</v>
      </c>
      <c r="AT508" t="s">
        <v>10175</v>
      </c>
      <c r="AU508">
        <v>2018</v>
      </c>
      <c r="AV508">
        <v>11</v>
      </c>
      <c r="AW508">
        <v>3</v>
      </c>
      <c r="AX508" t="s">
        <v>74</v>
      </c>
      <c r="AY508" t="s">
        <v>74</v>
      </c>
      <c r="AZ508" t="s">
        <v>74</v>
      </c>
      <c r="BA508" t="s">
        <v>74</v>
      </c>
      <c r="BB508">
        <v>1133</v>
      </c>
      <c r="BC508">
        <v>1160</v>
      </c>
      <c r="BD508" t="s">
        <v>74</v>
      </c>
      <c r="BE508" t="s">
        <v>10210</v>
      </c>
      <c r="BF508" t="str">
        <f>HYPERLINK("http://dx.doi.org/10.5194/gmd-11-1133-2018","http://dx.doi.org/10.5194/gmd-11-1133-2018")</f>
        <v>http://dx.doi.org/10.5194/gmd-11-1133-2018</v>
      </c>
      <c r="BG508" t="s">
        <v>74</v>
      </c>
      <c r="BH508" t="s">
        <v>74</v>
      </c>
      <c r="BI508">
        <v>28</v>
      </c>
      <c r="BJ508" t="s">
        <v>1243</v>
      </c>
      <c r="BK508" t="s">
        <v>101</v>
      </c>
      <c r="BL508" t="s">
        <v>1181</v>
      </c>
      <c r="BM508" t="s">
        <v>10211</v>
      </c>
      <c r="BN508" t="s">
        <v>74</v>
      </c>
      <c r="BO508" t="s">
        <v>2339</v>
      </c>
      <c r="BP508" t="s">
        <v>74</v>
      </c>
      <c r="BQ508" t="s">
        <v>74</v>
      </c>
      <c r="BR508" t="s">
        <v>105</v>
      </c>
      <c r="BS508" t="s">
        <v>10212</v>
      </c>
      <c r="BT508" t="str">
        <f>HYPERLINK("https%3A%2F%2Fwww.webofscience.com%2Fwos%2Fwoscc%2Ffull-record%2FWOS:000428836100001","View Full Record in Web of Science")</f>
        <v>View Full Record in Web of Science</v>
      </c>
    </row>
    <row r="509" spans="1:72" x14ac:dyDescent="0.15">
      <c r="A509" t="s">
        <v>72</v>
      </c>
      <c r="B509" t="s">
        <v>10213</v>
      </c>
      <c r="C509" t="s">
        <v>74</v>
      </c>
      <c r="D509" t="s">
        <v>74</v>
      </c>
      <c r="E509" t="s">
        <v>74</v>
      </c>
      <c r="F509" t="s">
        <v>10214</v>
      </c>
      <c r="G509" t="s">
        <v>74</v>
      </c>
      <c r="H509" t="s">
        <v>74</v>
      </c>
      <c r="I509" t="s">
        <v>10215</v>
      </c>
      <c r="J509" t="s">
        <v>1598</v>
      </c>
      <c r="K509" t="s">
        <v>74</v>
      </c>
      <c r="L509" t="s">
        <v>74</v>
      </c>
      <c r="M509" t="s">
        <v>78</v>
      </c>
      <c r="N509" t="s">
        <v>79</v>
      </c>
      <c r="O509" t="s">
        <v>74</v>
      </c>
      <c r="P509" t="s">
        <v>74</v>
      </c>
      <c r="Q509" t="s">
        <v>74</v>
      </c>
      <c r="R509" t="s">
        <v>74</v>
      </c>
      <c r="S509" t="s">
        <v>74</v>
      </c>
      <c r="T509" t="s">
        <v>10216</v>
      </c>
      <c r="U509" t="s">
        <v>10217</v>
      </c>
      <c r="V509" t="s">
        <v>10218</v>
      </c>
      <c r="W509" t="s">
        <v>10219</v>
      </c>
      <c r="X509" t="s">
        <v>10220</v>
      </c>
      <c r="Y509" t="s">
        <v>10221</v>
      </c>
      <c r="Z509" t="s">
        <v>10222</v>
      </c>
      <c r="AA509" t="s">
        <v>74</v>
      </c>
      <c r="AB509" t="s">
        <v>10223</v>
      </c>
      <c r="AC509" t="s">
        <v>10224</v>
      </c>
      <c r="AD509" t="s">
        <v>10225</v>
      </c>
      <c r="AE509" t="s">
        <v>10226</v>
      </c>
      <c r="AF509" t="s">
        <v>74</v>
      </c>
      <c r="AG509">
        <v>125</v>
      </c>
      <c r="AH509">
        <v>8</v>
      </c>
      <c r="AI509">
        <v>8</v>
      </c>
      <c r="AJ509">
        <v>2</v>
      </c>
      <c r="AK509">
        <v>13</v>
      </c>
      <c r="AL509" t="s">
        <v>123</v>
      </c>
      <c r="AM509" t="s">
        <v>124</v>
      </c>
      <c r="AN509" t="s">
        <v>125</v>
      </c>
      <c r="AO509" t="s">
        <v>1609</v>
      </c>
      <c r="AP509" t="s">
        <v>1610</v>
      </c>
      <c r="AQ509" t="s">
        <v>74</v>
      </c>
      <c r="AR509" t="s">
        <v>1611</v>
      </c>
      <c r="AS509" t="s">
        <v>1612</v>
      </c>
      <c r="AT509" t="s">
        <v>10175</v>
      </c>
      <c r="AU509">
        <v>2018</v>
      </c>
      <c r="AV509">
        <v>50</v>
      </c>
      <c r="AW509">
        <v>1</v>
      </c>
      <c r="AX509" t="s">
        <v>74</v>
      </c>
      <c r="AY509" t="s">
        <v>74</v>
      </c>
      <c r="AZ509" t="s">
        <v>74</v>
      </c>
      <c r="BA509" t="s">
        <v>74</v>
      </c>
      <c r="BB509" t="s">
        <v>74</v>
      </c>
      <c r="BC509" t="s">
        <v>74</v>
      </c>
      <c r="BD509" t="s">
        <v>10227</v>
      </c>
      <c r="BE509" t="s">
        <v>10228</v>
      </c>
      <c r="BF509" t="str">
        <f>HYPERLINK("http://dx.doi.org/10.1080/15230430.2017.1420863","http://dx.doi.org/10.1080/15230430.2017.1420863")</f>
        <v>http://dx.doi.org/10.1080/15230430.2017.1420863</v>
      </c>
      <c r="BG509" t="s">
        <v>74</v>
      </c>
      <c r="BH509" t="s">
        <v>74</v>
      </c>
      <c r="BI509">
        <v>20</v>
      </c>
      <c r="BJ509" t="s">
        <v>1616</v>
      </c>
      <c r="BK509" t="s">
        <v>101</v>
      </c>
      <c r="BL509" t="s">
        <v>1617</v>
      </c>
      <c r="BM509" t="s">
        <v>10229</v>
      </c>
      <c r="BN509" t="s">
        <v>74</v>
      </c>
      <c r="BO509" t="s">
        <v>133</v>
      </c>
      <c r="BP509" t="s">
        <v>74</v>
      </c>
      <c r="BQ509" t="s">
        <v>74</v>
      </c>
      <c r="BR509" t="s">
        <v>105</v>
      </c>
      <c r="BS509" t="s">
        <v>10230</v>
      </c>
      <c r="BT509" t="str">
        <f>HYPERLINK("https%3A%2F%2Fwww.webofscience.com%2Fwos%2Fwoscc%2Ffull-record%2FWOS:000438747000001","View Full Record in Web of Science")</f>
        <v>View Full Record in Web of Science</v>
      </c>
    </row>
    <row r="510" spans="1:72" x14ac:dyDescent="0.15">
      <c r="A510" t="s">
        <v>72</v>
      </c>
      <c r="B510" t="s">
        <v>10231</v>
      </c>
      <c r="C510" t="s">
        <v>74</v>
      </c>
      <c r="D510" t="s">
        <v>74</v>
      </c>
      <c r="E510" t="s">
        <v>74</v>
      </c>
      <c r="F510" t="s">
        <v>10232</v>
      </c>
      <c r="G510" t="s">
        <v>74</v>
      </c>
      <c r="H510" t="s">
        <v>74</v>
      </c>
      <c r="I510" t="s">
        <v>10233</v>
      </c>
      <c r="J510" t="s">
        <v>10234</v>
      </c>
      <c r="K510" t="s">
        <v>74</v>
      </c>
      <c r="L510" t="s">
        <v>74</v>
      </c>
      <c r="M510" t="s">
        <v>78</v>
      </c>
      <c r="N510" t="s">
        <v>79</v>
      </c>
      <c r="O510" t="s">
        <v>74</v>
      </c>
      <c r="P510" t="s">
        <v>74</v>
      </c>
      <c r="Q510" t="s">
        <v>74</v>
      </c>
      <c r="R510" t="s">
        <v>74</v>
      </c>
      <c r="S510" t="s">
        <v>74</v>
      </c>
      <c r="T510" t="s">
        <v>10235</v>
      </c>
      <c r="U510" t="s">
        <v>10236</v>
      </c>
      <c r="V510" t="s">
        <v>10237</v>
      </c>
      <c r="W510" t="s">
        <v>10238</v>
      </c>
      <c r="X510" t="s">
        <v>10239</v>
      </c>
      <c r="Y510" t="s">
        <v>10240</v>
      </c>
      <c r="Z510" t="s">
        <v>10241</v>
      </c>
      <c r="AA510" t="s">
        <v>10242</v>
      </c>
      <c r="AB510" t="s">
        <v>10243</v>
      </c>
      <c r="AC510" t="s">
        <v>10244</v>
      </c>
      <c r="AD510" t="s">
        <v>10244</v>
      </c>
      <c r="AE510" t="s">
        <v>10245</v>
      </c>
      <c r="AF510" t="s">
        <v>74</v>
      </c>
      <c r="AG510">
        <v>50</v>
      </c>
      <c r="AH510">
        <v>5</v>
      </c>
      <c r="AI510">
        <v>6</v>
      </c>
      <c r="AJ510">
        <v>0</v>
      </c>
      <c r="AK510">
        <v>11</v>
      </c>
      <c r="AL510" t="s">
        <v>10246</v>
      </c>
      <c r="AM510" t="s">
        <v>10247</v>
      </c>
      <c r="AN510" t="s">
        <v>10248</v>
      </c>
      <c r="AO510" t="s">
        <v>10249</v>
      </c>
      <c r="AP510" t="s">
        <v>10250</v>
      </c>
      <c r="AQ510" t="s">
        <v>74</v>
      </c>
      <c r="AR510" t="s">
        <v>10234</v>
      </c>
      <c r="AS510" t="s">
        <v>10251</v>
      </c>
      <c r="AT510" t="s">
        <v>10175</v>
      </c>
      <c r="AU510">
        <v>2018</v>
      </c>
      <c r="AV510">
        <v>40</v>
      </c>
      <c r="AW510">
        <v>6</v>
      </c>
      <c r="AX510" t="s">
        <v>74</v>
      </c>
      <c r="AY510" t="s">
        <v>74</v>
      </c>
      <c r="AZ510" t="s">
        <v>74</v>
      </c>
      <c r="BA510" t="s">
        <v>74</v>
      </c>
      <c r="BB510">
        <v>135</v>
      </c>
      <c r="BC510">
        <v>160</v>
      </c>
      <c r="BD510" t="s">
        <v>74</v>
      </c>
      <c r="BE510" t="s">
        <v>10252</v>
      </c>
      <c r="BF510" t="str">
        <f>HYPERLINK("http://dx.doi.org/10.5252/geodiversitas2018v40a6","http://dx.doi.org/10.5252/geodiversitas2018v40a6")</f>
        <v>http://dx.doi.org/10.5252/geodiversitas2018v40a6</v>
      </c>
      <c r="BG510" t="s">
        <v>74</v>
      </c>
      <c r="BH510" t="s">
        <v>74</v>
      </c>
      <c r="BI510">
        <v>26</v>
      </c>
      <c r="BJ510" t="s">
        <v>4323</v>
      </c>
      <c r="BK510" t="s">
        <v>101</v>
      </c>
      <c r="BL510" t="s">
        <v>4323</v>
      </c>
      <c r="BM510" t="s">
        <v>10253</v>
      </c>
      <c r="BN510" t="s">
        <v>74</v>
      </c>
      <c r="BO510" t="s">
        <v>1933</v>
      </c>
      <c r="BP510" t="s">
        <v>74</v>
      </c>
      <c r="BQ510" t="s">
        <v>74</v>
      </c>
      <c r="BR510" t="s">
        <v>105</v>
      </c>
      <c r="BS510" t="s">
        <v>10254</v>
      </c>
      <c r="BT510" t="str">
        <f>HYPERLINK("https%3A%2F%2Fwww.webofscience.com%2Fwos%2Fwoscc%2Ffull-record%2FWOS:000431541200001","View Full Record in Web of Science")</f>
        <v>View Full Record in Web of Science</v>
      </c>
    </row>
    <row r="511" spans="1:72" x14ac:dyDescent="0.15">
      <c r="A511" t="s">
        <v>72</v>
      </c>
      <c r="B511" t="s">
        <v>10255</v>
      </c>
      <c r="C511" t="s">
        <v>74</v>
      </c>
      <c r="D511" t="s">
        <v>74</v>
      </c>
      <c r="E511" t="s">
        <v>74</v>
      </c>
      <c r="F511" t="s">
        <v>10256</v>
      </c>
      <c r="G511" t="s">
        <v>74</v>
      </c>
      <c r="H511" t="s">
        <v>74</v>
      </c>
      <c r="I511" t="s">
        <v>10257</v>
      </c>
      <c r="J511" t="s">
        <v>2298</v>
      </c>
      <c r="K511" t="s">
        <v>74</v>
      </c>
      <c r="L511" t="s">
        <v>74</v>
      </c>
      <c r="M511" t="s">
        <v>78</v>
      </c>
      <c r="N511" t="s">
        <v>79</v>
      </c>
      <c r="O511" t="s">
        <v>74</v>
      </c>
      <c r="P511" t="s">
        <v>74</v>
      </c>
      <c r="Q511" t="s">
        <v>74</v>
      </c>
      <c r="R511" t="s">
        <v>74</v>
      </c>
      <c r="S511" t="s">
        <v>74</v>
      </c>
      <c r="T511" t="s">
        <v>74</v>
      </c>
      <c r="U511" t="s">
        <v>10258</v>
      </c>
      <c r="V511" t="s">
        <v>10259</v>
      </c>
      <c r="W511" t="s">
        <v>10260</v>
      </c>
      <c r="X511" t="s">
        <v>10261</v>
      </c>
      <c r="Y511" t="s">
        <v>10262</v>
      </c>
      <c r="Z511" t="s">
        <v>10263</v>
      </c>
      <c r="AA511" t="s">
        <v>10264</v>
      </c>
      <c r="AB511" t="s">
        <v>10265</v>
      </c>
      <c r="AC511" t="s">
        <v>74</v>
      </c>
      <c r="AD511" t="s">
        <v>74</v>
      </c>
      <c r="AE511" t="s">
        <v>74</v>
      </c>
      <c r="AF511" t="s">
        <v>74</v>
      </c>
      <c r="AG511">
        <v>88</v>
      </c>
      <c r="AH511">
        <v>18</v>
      </c>
      <c r="AI511">
        <v>18</v>
      </c>
      <c r="AJ511">
        <v>0</v>
      </c>
      <c r="AK511">
        <v>16</v>
      </c>
      <c r="AL511" t="s">
        <v>2310</v>
      </c>
      <c r="AM511" t="s">
        <v>2311</v>
      </c>
      <c r="AN511" t="s">
        <v>2312</v>
      </c>
      <c r="AO511" t="s">
        <v>2313</v>
      </c>
      <c r="AP511" t="s">
        <v>74</v>
      </c>
      <c r="AQ511" t="s">
        <v>74</v>
      </c>
      <c r="AR511" t="s">
        <v>2298</v>
      </c>
      <c r="AS511" t="s">
        <v>2314</v>
      </c>
      <c r="AT511" t="s">
        <v>10175</v>
      </c>
      <c r="AU511">
        <v>2018</v>
      </c>
      <c r="AV511">
        <v>13</v>
      </c>
      <c r="AW511">
        <v>3</v>
      </c>
      <c r="AX511" t="s">
        <v>74</v>
      </c>
      <c r="AY511" t="s">
        <v>74</v>
      </c>
      <c r="AZ511" t="s">
        <v>74</v>
      </c>
      <c r="BA511" t="s">
        <v>74</v>
      </c>
      <c r="BB511" t="s">
        <v>74</v>
      </c>
      <c r="BC511" t="s">
        <v>74</v>
      </c>
      <c r="BD511" t="s">
        <v>10266</v>
      </c>
      <c r="BE511" t="s">
        <v>10267</v>
      </c>
      <c r="BF511" t="str">
        <f>HYPERLINK("http://dx.doi.org/10.1371/journal.pone.0194950","http://dx.doi.org/10.1371/journal.pone.0194950")</f>
        <v>http://dx.doi.org/10.1371/journal.pone.0194950</v>
      </c>
      <c r="BG511" t="s">
        <v>74</v>
      </c>
      <c r="BH511" t="s">
        <v>74</v>
      </c>
      <c r="BI511">
        <v>37</v>
      </c>
      <c r="BJ511" t="s">
        <v>1670</v>
      </c>
      <c r="BK511" t="s">
        <v>101</v>
      </c>
      <c r="BL511" t="s">
        <v>1671</v>
      </c>
      <c r="BM511" t="s">
        <v>10268</v>
      </c>
      <c r="BN511">
        <v>29596456</v>
      </c>
      <c r="BO511" t="s">
        <v>10269</v>
      </c>
      <c r="BP511" t="s">
        <v>74</v>
      </c>
      <c r="BQ511" t="s">
        <v>74</v>
      </c>
      <c r="BR511" t="s">
        <v>105</v>
      </c>
      <c r="BS511" t="s">
        <v>10270</v>
      </c>
      <c r="BT511" t="str">
        <f>HYPERLINK("https%3A%2F%2Fwww.webofscience.com%2Fwos%2Fwoscc%2Ffull-record%2FWOS:000428630000057","View Full Record in Web of Science")</f>
        <v>View Full Record in Web of Science</v>
      </c>
    </row>
    <row r="512" spans="1:72" x14ac:dyDescent="0.15">
      <c r="A512" t="s">
        <v>72</v>
      </c>
      <c r="B512" t="s">
        <v>10271</v>
      </c>
      <c r="C512" t="s">
        <v>74</v>
      </c>
      <c r="D512" t="s">
        <v>74</v>
      </c>
      <c r="E512" t="s">
        <v>74</v>
      </c>
      <c r="F512" t="s">
        <v>10272</v>
      </c>
      <c r="G512" t="s">
        <v>74</v>
      </c>
      <c r="H512" t="s">
        <v>74</v>
      </c>
      <c r="I512" t="s">
        <v>10273</v>
      </c>
      <c r="J512" t="s">
        <v>1651</v>
      </c>
      <c r="K512" t="s">
        <v>74</v>
      </c>
      <c r="L512" t="s">
        <v>74</v>
      </c>
      <c r="M512" t="s">
        <v>78</v>
      </c>
      <c r="N512" t="s">
        <v>79</v>
      </c>
      <c r="O512" t="s">
        <v>74</v>
      </c>
      <c r="P512" t="s">
        <v>74</v>
      </c>
      <c r="Q512" t="s">
        <v>74</v>
      </c>
      <c r="R512" t="s">
        <v>74</v>
      </c>
      <c r="S512" t="s">
        <v>74</v>
      </c>
      <c r="T512" t="s">
        <v>74</v>
      </c>
      <c r="U512" t="s">
        <v>10274</v>
      </c>
      <c r="V512" t="s">
        <v>10275</v>
      </c>
      <c r="W512" t="s">
        <v>10276</v>
      </c>
      <c r="X512" t="s">
        <v>10277</v>
      </c>
      <c r="Y512" t="s">
        <v>10278</v>
      </c>
      <c r="Z512" t="s">
        <v>10279</v>
      </c>
      <c r="AA512" t="s">
        <v>10280</v>
      </c>
      <c r="AB512" t="s">
        <v>10281</v>
      </c>
      <c r="AC512" t="s">
        <v>10282</v>
      </c>
      <c r="AD512" t="s">
        <v>10283</v>
      </c>
      <c r="AE512" t="s">
        <v>10284</v>
      </c>
      <c r="AF512" t="s">
        <v>74</v>
      </c>
      <c r="AG512">
        <v>63</v>
      </c>
      <c r="AH512">
        <v>25</v>
      </c>
      <c r="AI512">
        <v>28</v>
      </c>
      <c r="AJ512">
        <v>3</v>
      </c>
      <c r="AK512">
        <v>32</v>
      </c>
      <c r="AL512" t="s">
        <v>1663</v>
      </c>
      <c r="AM512" t="s">
        <v>1664</v>
      </c>
      <c r="AN512" t="s">
        <v>1665</v>
      </c>
      <c r="AO512" t="s">
        <v>1666</v>
      </c>
      <c r="AP512" t="s">
        <v>74</v>
      </c>
      <c r="AQ512" t="s">
        <v>74</v>
      </c>
      <c r="AR512" t="s">
        <v>1667</v>
      </c>
      <c r="AS512" t="s">
        <v>1668</v>
      </c>
      <c r="AT512" t="s">
        <v>10175</v>
      </c>
      <c r="AU512">
        <v>2018</v>
      </c>
      <c r="AV512">
        <v>8</v>
      </c>
      <c r="AW512" t="s">
        <v>74</v>
      </c>
      <c r="AX512" t="s">
        <v>74</v>
      </c>
      <c r="AY512" t="s">
        <v>74</v>
      </c>
      <c r="AZ512" t="s">
        <v>74</v>
      </c>
      <c r="BA512" t="s">
        <v>74</v>
      </c>
      <c r="BB512" t="s">
        <v>74</v>
      </c>
      <c r="BC512" t="s">
        <v>74</v>
      </c>
      <c r="BD512">
        <v>5386</v>
      </c>
      <c r="BE512" t="s">
        <v>10285</v>
      </c>
      <c r="BF512" t="str">
        <f>HYPERLINK("http://dx.doi.org/10.1038/s41598-018-23606-w","http://dx.doi.org/10.1038/s41598-018-23606-w")</f>
        <v>http://dx.doi.org/10.1038/s41598-018-23606-w</v>
      </c>
      <c r="BG512" t="s">
        <v>74</v>
      </c>
      <c r="BH512" t="s">
        <v>74</v>
      </c>
      <c r="BI512">
        <v>10</v>
      </c>
      <c r="BJ512" t="s">
        <v>1670</v>
      </c>
      <c r="BK512" t="s">
        <v>101</v>
      </c>
      <c r="BL512" t="s">
        <v>1671</v>
      </c>
      <c r="BM512" t="s">
        <v>10286</v>
      </c>
      <c r="BN512">
        <v>29599428</v>
      </c>
      <c r="BO512" t="s">
        <v>764</v>
      </c>
      <c r="BP512" t="s">
        <v>74</v>
      </c>
      <c r="BQ512" t="s">
        <v>74</v>
      </c>
      <c r="BR512" t="s">
        <v>105</v>
      </c>
      <c r="BS512" t="s">
        <v>10287</v>
      </c>
      <c r="BT512" t="str">
        <f>HYPERLINK("https%3A%2F%2Fwww.webofscience.com%2Fwos%2Fwoscc%2Ffull-record%2FWOS:000428618900029","View Full Record in Web of Science")</f>
        <v>View Full Record in Web of Science</v>
      </c>
    </row>
    <row r="513" spans="1:72" x14ac:dyDescent="0.15">
      <c r="A513" t="s">
        <v>72</v>
      </c>
      <c r="B513" t="s">
        <v>10288</v>
      </c>
      <c r="C513" t="s">
        <v>74</v>
      </c>
      <c r="D513" t="s">
        <v>74</v>
      </c>
      <c r="E513" t="s">
        <v>74</v>
      </c>
      <c r="F513" t="s">
        <v>10289</v>
      </c>
      <c r="G513" t="s">
        <v>74</v>
      </c>
      <c r="H513" t="s">
        <v>74</v>
      </c>
      <c r="I513" t="s">
        <v>10290</v>
      </c>
      <c r="J513" t="s">
        <v>2096</v>
      </c>
      <c r="K513" t="s">
        <v>74</v>
      </c>
      <c r="L513" t="s">
        <v>74</v>
      </c>
      <c r="M513" t="s">
        <v>78</v>
      </c>
      <c r="N513" t="s">
        <v>79</v>
      </c>
      <c r="O513" t="s">
        <v>74</v>
      </c>
      <c r="P513" t="s">
        <v>74</v>
      </c>
      <c r="Q513" t="s">
        <v>74</v>
      </c>
      <c r="R513" t="s">
        <v>74</v>
      </c>
      <c r="S513" t="s">
        <v>74</v>
      </c>
      <c r="T513" t="s">
        <v>10291</v>
      </c>
      <c r="U513" t="s">
        <v>10292</v>
      </c>
      <c r="V513" t="s">
        <v>10293</v>
      </c>
      <c r="W513" t="s">
        <v>10294</v>
      </c>
      <c r="X513" t="s">
        <v>10295</v>
      </c>
      <c r="Y513" t="s">
        <v>10296</v>
      </c>
      <c r="Z513" t="s">
        <v>10297</v>
      </c>
      <c r="AA513" t="s">
        <v>10298</v>
      </c>
      <c r="AB513" t="s">
        <v>10299</v>
      </c>
      <c r="AC513" t="s">
        <v>10300</v>
      </c>
      <c r="AD513" t="s">
        <v>10301</v>
      </c>
      <c r="AE513" t="s">
        <v>10302</v>
      </c>
      <c r="AF513" t="s">
        <v>74</v>
      </c>
      <c r="AG513">
        <v>70</v>
      </c>
      <c r="AH513">
        <v>21</v>
      </c>
      <c r="AI513">
        <v>22</v>
      </c>
      <c r="AJ513">
        <v>2</v>
      </c>
      <c r="AK513">
        <v>47</v>
      </c>
      <c r="AL513" t="s">
        <v>2109</v>
      </c>
      <c r="AM513" t="s">
        <v>1540</v>
      </c>
      <c r="AN513" t="s">
        <v>2110</v>
      </c>
      <c r="AO513" t="s">
        <v>2111</v>
      </c>
      <c r="AP513" t="s">
        <v>74</v>
      </c>
      <c r="AQ513" t="s">
        <v>74</v>
      </c>
      <c r="AR513" t="s">
        <v>2096</v>
      </c>
      <c r="AS513" t="s">
        <v>2112</v>
      </c>
      <c r="AT513" t="s">
        <v>10175</v>
      </c>
      <c r="AU513">
        <v>2018</v>
      </c>
      <c r="AV513">
        <v>6</v>
      </c>
      <c r="AW513" t="s">
        <v>74</v>
      </c>
      <c r="AX513" t="s">
        <v>74</v>
      </c>
      <c r="AY513" t="s">
        <v>74</v>
      </c>
      <c r="AZ513" t="s">
        <v>74</v>
      </c>
      <c r="BA513" t="s">
        <v>74</v>
      </c>
      <c r="BB513" t="s">
        <v>74</v>
      </c>
      <c r="BC513" t="s">
        <v>74</v>
      </c>
      <c r="BD513" t="s">
        <v>10303</v>
      </c>
      <c r="BE513" t="s">
        <v>10304</v>
      </c>
      <c r="BF513" t="str">
        <f>HYPERLINK("http://dx.doi.org/10.7717/peerj.4455","http://dx.doi.org/10.7717/peerj.4455")</f>
        <v>http://dx.doi.org/10.7717/peerj.4455</v>
      </c>
      <c r="BG513" t="s">
        <v>74</v>
      </c>
      <c r="BH513" t="s">
        <v>74</v>
      </c>
      <c r="BI513">
        <v>22</v>
      </c>
      <c r="BJ513" t="s">
        <v>1670</v>
      </c>
      <c r="BK513" t="s">
        <v>101</v>
      </c>
      <c r="BL513" t="s">
        <v>1671</v>
      </c>
      <c r="BM513" t="s">
        <v>10305</v>
      </c>
      <c r="BN513">
        <v>29610704</v>
      </c>
      <c r="BO513" t="s">
        <v>764</v>
      </c>
      <c r="BP513" t="s">
        <v>74</v>
      </c>
      <c r="BQ513" t="s">
        <v>74</v>
      </c>
      <c r="BR513" t="s">
        <v>105</v>
      </c>
      <c r="BS513" t="s">
        <v>10306</v>
      </c>
      <c r="BT513" t="str">
        <f>HYPERLINK("https%3A%2F%2Fwww.webofscience.com%2Fwos%2Fwoscc%2Ffull-record%2FWOS:000428699300001","View Full Record in Web of Science")</f>
        <v>View Full Record in Web of Science</v>
      </c>
    </row>
    <row r="514" spans="1:72" x14ac:dyDescent="0.15">
      <c r="A514" t="s">
        <v>72</v>
      </c>
      <c r="B514" t="s">
        <v>10307</v>
      </c>
      <c r="C514" t="s">
        <v>74</v>
      </c>
      <c r="D514" t="s">
        <v>74</v>
      </c>
      <c r="E514" t="s">
        <v>74</v>
      </c>
      <c r="F514" t="s">
        <v>10308</v>
      </c>
      <c r="G514" t="s">
        <v>74</v>
      </c>
      <c r="H514" t="s">
        <v>10309</v>
      </c>
      <c r="I514" t="s">
        <v>10310</v>
      </c>
      <c r="J514" t="s">
        <v>1598</v>
      </c>
      <c r="K514" t="s">
        <v>74</v>
      </c>
      <c r="L514" t="s">
        <v>74</v>
      </c>
      <c r="M514" t="s">
        <v>78</v>
      </c>
      <c r="N514" t="s">
        <v>79</v>
      </c>
      <c r="O514" t="s">
        <v>74</v>
      </c>
      <c r="P514" t="s">
        <v>74</v>
      </c>
      <c r="Q514" t="s">
        <v>74</v>
      </c>
      <c r="R514" t="s">
        <v>74</v>
      </c>
      <c r="S514" t="s">
        <v>74</v>
      </c>
      <c r="T514" t="s">
        <v>10311</v>
      </c>
      <c r="U514" t="s">
        <v>10312</v>
      </c>
      <c r="V514" t="s">
        <v>10313</v>
      </c>
      <c r="W514" t="s">
        <v>10314</v>
      </c>
      <c r="X514" t="s">
        <v>10315</v>
      </c>
      <c r="Y514" t="s">
        <v>10316</v>
      </c>
      <c r="Z514" t="s">
        <v>10317</v>
      </c>
      <c r="AA514" t="s">
        <v>10318</v>
      </c>
      <c r="AB514" t="s">
        <v>10319</v>
      </c>
      <c r="AC514" t="s">
        <v>10320</v>
      </c>
      <c r="AD514" t="s">
        <v>10321</v>
      </c>
      <c r="AE514" t="s">
        <v>10322</v>
      </c>
      <c r="AF514" t="s">
        <v>74</v>
      </c>
      <c r="AG514">
        <v>59</v>
      </c>
      <c r="AH514">
        <v>16</v>
      </c>
      <c r="AI514">
        <v>17</v>
      </c>
      <c r="AJ514">
        <v>1</v>
      </c>
      <c r="AK514">
        <v>13</v>
      </c>
      <c r="AL514" t="s">
        <v>123</v>
      </c>
      <c r="AM514" t="s">
        <v>124</v>
      </c>
      <c r="AN514" t="s">
        <v>125</v>
      </c>
      <c r="AO514" t="s">
        <v>1609</v>
      </c>
      <c r="AP514" t="s">
        <v>1610</v>
      </c>
      <c r="AQ514" t="s">
        <v>74</v>
      </c>
      <c r="AR514" t="s">
        <v>1611</v>
      </c>
      <c r="AS514" t="s">
        <v>1612</v>
      </c>
      <c r="AT514" t="s">
        <v>10323</v>
      </c>
      <c r="AU514">
        <v>2018</v>
      </c>
      <c r="AV514">
        <v>50</v>
      </c>
      <c r="AW514">
        <v>1</v>
      </c>
      <c r="AX514" t="s">
        <v>74</v>
      </c>
      <c r="AY514" t="s">
        <v>74</v>
      </c>
      <c r="AZ514" t="s">
        <v>74</v>
      </c>
      <c r="BA514" t="s">
        <v>74</v>
      </c>
      <c r="BB514" t="s">
        <v>74</v>
      </c>
      <c r="BC514" t="s">
        <v>74</v>
      </c>
      <c r="BD514" t="s">
        <v>10324</v>
      </c>
      <c r="BE514" t="s">
        <v>10325</v>
      </c>
      <c r="BF514" t="str">
        <f>HYPERLINK("http://dx.doi.org/10.1080/15230430.2017.1420859","http://dx.doi.org/10.1080/15230430.2017.1420859")</f>
        <v>http://dx.doi.org/10.1080/15230430.2017.1420859</v>
      </c>
      <c r="BG514" t="s">
        <v>74</v>
      </c>
      <c r="BH514" t="s">
        <v>74</v>
      </c>
      <c r="BI514">
        <v>14</v>
      </c>
      <c r="BJ514" t="s">
        <v>1616</v>
      </c>
      <c r="BK514" t="s">
        <v>101</v>
      </c>
      <c r="BL514" t="s">
        <v>1617</v>
      </c>
      <c r="BM514" t="s">
        <v>10326</v>
      </c>
      <c r="BN514" t="s">
        <v>74</v>
      </c>
      <c r="BO514" t="s">
        <v>487</v>
      </c>
      <c r="BP514" t="s">
        <v>74</v>
      </c>
      <c r="BQ514" t="s">
        <v>74</v>
      </c>
      <c r="BR514" t="s">
        <v>105</v>
      </c>
      <c r="BS514" t="s">
        <v>10327</v>
      </c>
      <c r="BT514" t="str">
        <f>HYPERLINK("https%3A%2F%2Fwww.webofscience.com%2Fwos%2Fwoscc%2Ffull-record%2FWOS:000438746000001","View Full Record in Web of Science")</f>
        <v>View Full Record in Web of Science</v>
      </c>
    </row>
    <row r="515" spans="1:72" x14ac:dyDescent="0.15">
      <c r="A515" t="s">
        <v>72</v>
      </c>
      <c r="B515" t="s">
        <v>10328</v>
      </c>
      <c r="C515" t="s">
        <v>74</v>
      </c>
      <c r="D515" t="s">
        <v>74</v>
      </c>
      <c r="E515" t="s">
        <v>74</v>
      </c>
      <c r="F515" t="s">
        <v>10329</v>
      </c>
      <c r="G515" t="s">
        <v>74</v>
      </c>
      <c r="H515" t="s">
        <v>74</v>
      </c>
      <c r="I515" t="s">
        <v>10330</v>
      </c>
      <c r="J515" t="s">
        <v>1598</v>
      </c>
      <c r="K515" t="s">
        <v>74</v>
      </c>
      <c r="L515" t="s">
        <v>74</v>
      </c>
      <c r="M515" t="s">
        <v>78</v>
      </c>
      <c r="N515" t="s">
        <v>79</v>
      </c>
      <c r="O515" t="s">
        <v>74</v>
      </c>
      <c r="P515" t="s">
        <v>74</v>
      </c>
      <c r="Q515" t="s">
        <v>74</v>
      </c>
      <c r="R515" t="s">
        <v>74</v>
      </c>
      <c r="S515" t="s">
        <v>74</v>
      </c>
      <c r="T515" t="s">
        <v>10331</v>
      </c>
      <c r="U515" t="s">
        <v>10332</v>
      </c>
      <c r="V515" t="s">
        <v>10333</v>
      </c>
      <c r="W515" t="s">
        <v>10334</v>
      </c>
      <c r="X515" t="s">
        <v>10335</v>
      </c>
      <c r="Y515" t="s">
        <v>10336</v>
      </c>
      <c r="Z515" t="s">
        <v>10337</v>
      </c>
      <c r="AA515" t="s">
        <v>10338</v>
      </c>
      <c r="AB515" t="s">
        <v>10339</v>
      </c>
      <c r="AC515" t="s">
        <v>10340</v>
      </c>
      <c r="AD515" t="s">
        <v>10341</v>
      </c>
      <c r="AE515" t="s">
        <v>10342</v>
      </c>
      <c r="AF515" t="s">
        <v>74</v>
      </c>
      <c r="AG515">
        <v>28</v>
      </c>
      <c r="AH515">
        <v>6</v>
      </c>
      <c r="AI515">
        <v>7</v>
      </c>
      <c r="AJ515">
        <v>1</v>
      </c>
      <c r="AK515">
        <v>18</v>
      </c>
      <c r="AL515" t="s">
        <v>123</v>
      </c>
      <c r="AM515" t="s">
        <v>124</v>
      </c>
      <c r="AN515" t="s">
        <v>125</v>
      </c>
      <c r="AO515" t="s">
        <v>1609</v>
      </c>
      <c r="AP515" t="s">
        <v>1610</v>
      </c>
      <c r="AQ515" t="s">
        <v>74</v>
      </c>
      <c r="AR515" t="s">
        <v>1611</v>
      </c>
      <c r="AS515" t="s">
        <v>1612</v>
      </c>
      <c r="AT515" t="s">
        <v>10323</v>
      </c>
      <c r="AU515">
        <v>2018</v>
      </c>
      <c r="AV515">
        <v>50</v>
      </c>
      <c r="AW515">
        <v>1</v>
      </c>
      <c r="AX515" t="s">
        <v>74</v>
      </c>
      <c r="AY515" t="s">
        <v>74</v>
      </c>
      <c r="AZ515" t="s">
        <v>74</v>
      </c>
      <c r="BA515" t="s">
        <v>74</v>
      </c>
      <c r="BB515" t="s">
        <v>74</v>
      </c>
      <c r="BC515" t="s">
        <v>74</v>
      </c>
      <c r="BD515" t="s">
        <v>10343</v>
      </c>
      <c r="BE515" t="s">
        <v>10344</v>
      </c>
      <c r="BF515" t="str">
        <f>HYPERLINK("http://dx.doi.org/10.1080/15230430.2017.1420949","http://dx.doi.org/10.1080/15230430.2017.1420949")</f>
        <v>http://dx.doi.org/10.1080/15230430.2017.1420949</v>
      </c>
      <c r="BG515" t="s">
        <v>74</v>
      </c>
      <c r="BH515" t="s">
        <v>74</v>
      </c>
      <c r="BI515">
        <v>11</v>
      </c>
      <c r="BJ515" t="s">
        <v>1616</v>
      </c>
      <c r="BK515" t="s">
        <v>101</v>
      </c>
      <c r="BL515" t="s">
        <v>1617</v>
      </c>
      <c r="BM515" t="s">
        <v>10345</v>
      </c>
      <c r="BN515" t="s">
        <v>74</v>
      </c>
      <c r="BO515" t="s">
        <v>9837</v>
      </c>
      <c r="BP515" t="s">
        <v>74</v>
      </c>
      <c r="BQ515" t="s">
        <v>74</v>
      </c>
      <c r="BR515" t="s">
        <v>105</v>
      </c>
      <c r="BS515" t="s">
        <v>10346</v>
      </c>
      <c r="BT515" t="str">
        <f>HYPERLINK("https%3A%2F%2Fwww.webofscience.com%2Fwos%2Fwoscc%2Ffull-record%2FWOS:000438744100001","View Full Record in Web of Science")</f>
        <v>View Full Record in Web of Science</v>
      </c>
    </row>
    <row r="516" spans="1:72" x14ac:dyDescent="0.15">
      <c r="A516" t="s">
        <v>72</v>
      </c>
      <c r="B516" t="s">
        <v>10347</v>
      </c>
      <c r="C516" t="s">
        <v>74</v>
      </c>
      <c r="D516" t="s">
        <v>74</v>
      </c>
      <c r="E516" t="s">
        <v>74</v>
      </c>
      <c r="F516" t="s">
        <v>10348</v>
      </c>
      <c r="G516" t="s">
        <v>74</v>
      </c>
      <c r="H516" t="s">
        <v>74</v>
      </c>
      <c r="I516" t="s">
        <v>10349</v>
      </c>
      <c r="J516" t="s">
        <v>1749</v>
      </c>
      <c r="K516" t="s">
        <v>74</v>
      </c>
      <c r="L516" t="s">
        <v>74</v>
      </c>
      <c r="M516" t="s">
        <v>78</v>
      </c>
      <c r="N516" t="s">
        <v>79</v>
      </c>
      <c r="O516" t="s">
        <v>74</v>
      </c>
      <c r="P516" t="s">
        <v>74</v>
      </c>
      <c r="Q516" t="s">
        <v>74</v>
      </c>
      <c r="R516" t="s">
        <v>74</v>
      </c>
      <c r="S516" t="s">
        <v>74</v>
      </c>
      <c r="T516" t="s">
        <v>74</v>
      </c>
      <c r="U516" t="s">
        <v>10350</v>
      </c>
      <c r="V516" t="s">
        <v>10351</v>
      </c>
      <c r="W516" t="s">
        <v>10352</v>
      </c>
      <c r="X516" t="s">
        <v>10353</v>
      </c>
      <c r="Y516" t="s">
        <v>10354</v>
      </c>
      <c r="Z516" t="s">
        <v>10355</v>
      </c>
      <c r="AA516" t="s">
        <v>10356</v>
      </c>
      <c r="AB516" t="s">
        <v>10357</v>
      </c>
      <c r="AC516" t="s">
        <v>10358</v>
      </c>
      <c r="AD516" t="s">
        <v>10359</v>
      </c>
      <c r="AE516" t="s">
        <v>10360</v>
      </c>
      <c r="AF516" t="s">
        <v>74</v>
      </c>
      <c r="AG516">
        <v>47</v>
      </c>
      <c r="AH516">
        <v>10</v>
      </c>
      <c r="AI516">
        <v>10</v>
      </c>
      <c r="AJ516">
        <v>0</v>
      </c>
      <c r="AK516">
        <v>8</v>
      </c>
      <c r="AL516" t="s">
        <v>574</v>
      </c>
      <c r="AM516" t="s">
        <v>575</v>
      </c>
      <c r="AN516" t="s">
        <v>576</v>
      </c>
      <c r="AO516" t="s">
        <v>1761</v>
      </c>
      <c r="AP516" t="s">
        <v>1762</v>
      </c>
      <c r="AQ516" t="s">
        <v>74</v>
      </c>
      <c r="AR516" t="s">
        <v>1763</v>
      </c>
      <c r="AS516" t="s">
        <v>1764</v>
      </c>
      <c r="AT516" t="s">
        <v>10323</v>
      </c>
      <c r="AU516">
        <v>2018</v>
      </c>
      <c r="AV516">
        <v>45</v>
      </c>
      <c r="AW516">
        <v>6</v>
      </c>
      <c r="AX516" t="s">
        <v>74</v>
      </c>
      <c r="AY516" t="s">
        <v>74</v>
      </c>
      <c r="AZ516" t="s">
        <v>74</v>
      </c>
      <c r="BA516" t="s">
        <v>74</v>
      </c>
      <c r="BB516">
        <v>2706</v>
      </c>
      <c r="BC516">
        <v>2715</v>
      </c>
      <c r="BD516" t="s">
        <v>74</v>
      </c>
      <c r="BE516" t="s">
        <v>10361</v>
      </c>
      <c r="BF516" t="str">
        <f>HYPERLINK("http://dx.doi.org/10.1002/2017GL076601","http://dx.doi.org/10.1002/2017GL076601")</f>
        <v>http://dx.doi.org/10.1002/2017GL076601</v>
      </c>
      <c r="BG516" t="s">
        <v>74</v>
      </c>
      <c r="BH516" t="s">
        <v>74</v>
      </c>
      <c r="BI516">
        <v>10</v>
      </c>
      <c r="BJ516" t="s">
        <v>1243</v>
      </c>
      <c r="BK516" t="s">
        <v>101</v>
      </c>
      <c r="BL516" t="s">
        <v>1181</v>
      </c>
      <c r="BM516" t="s">
        <v>10362</v>
      </c>
      <c r="BN516" t="s">
        <v>74</v>
      </c>
      <c r="BO516" t="s">
        <v>8485</v>
      </c>
      <c r="BP516" t="s">
        <v>74</v>
      </c>
      <c r="BQ516" t="s">
        <v>74</v>
      </c>
      <c r="BR516" t="s">
        <v>105</v>
      </c>
      <c r="BS516" t="s">
        <v>10363</v>
      </c>
      <c r="BT516" t="str">
        <f>HYPERLINK("https%3A%2F%2Fwww.webofscience.com%2Fwos%2Fwoscc%2Ffull-record%2FWOS:000430106000018","View Full Record in Web of Science")</f>
        <v>View Full Record in Web of Science</v>
      </c>
    </row>
    <row r="517" spans="1:72" x14ac:dyDescent="0.15">
      <c r="A517" t="s">
        <v>72</v>
      </c>
      <c r="B517" t="s">
        <v>10364</v>
      </c>
      <c r="C517" t="s">
        <v>74</v>
      </c>
      <c r="D517" t="s">
        <v>74</v>
      </c>
      <c r="E517" t="s">
        <v>74</v>
      </c>
      <c r="F517" t="s">
        <v>10365</v>
      </c>
      <c r="G517" t="s">
        <v>74</v>
      </c>
      <c r="H517" t="s">
        <v>74</v>
      </c>
      <c r="I517" t="s">
        <v>10366</v>
      </c>
      <c r="J517" t="s">
        <v>6165</v>
      </c>
      <c r="K517" t="s">
        <v>74</v>
      </c>
      <c r="L517" t="s">
        <v>74</v>
      </c>
      <c r="M517" t="s">
        <v>78</v>
      </c>
      <c r="N517" t="s">
        <v>79</v>
      </c>
      <c r="O517" t="s">
        <v>74</v>
      </c>
      <c r="P517" t="s">
        <v>74</v>
      </c>
      <c r="Q517" t="s">
        <v>74</v>
      </c>
      <c r="R517" t="s">
        <v>74</v>
      </c>
      <c r="S517" t="s">
        <v>74</v>
      </c>
      <c r="T517" t="s">
        <v>74</v>
      </c>
      <c r="U517" t="s">
        <v>10367</v>
      </c>
      <c r="V517" t="s">
        <v>10368</v>
      </c>
      <c r="W517" t="s">
        <v>10369</v>
      </c>
      <c r="X517" t="s">
        <v>10370</v>
      </c>
      <c r="Y517" t="s">
        <v>10371</v>
      </c>
      <c r="Z517" t="s">
        <v>10372</v>
      </c>
      <c r="AA517" t="s">
        <v>10373</v>
      </c>
      <c r="AB517" t="s">
        <v>10374</v>
      </c>
      <c r="AC517" t="s">
        <v>10375</v>
      </c>
      <c r="AD517" t="s">
        <v>10376</v>
      </c>
      <c r="AE517" t="s">
        <v>10377</v>
      </c>
      <c r="AF517" t="s">
        <v>74</v>
      </c>
      <c r="AG517">
        <v>47</v>
      </c>
      <c r="AH517">
        <v>26</v>
      </c>
      <c r="AI517">
        <v>28</v>
      </c>
      <c r="AJ517">
        <v>0</v>
      </c>
      <c r="AK517">
        <v>15</v>
      </c>
      <c r="AL517" t="s">
        <v>1563</v>
      </c>
      <c r="AM517" t="s">
        <v>1564</v>
      </c>
      <c r="AN517" t="s">
        <v>1565</v>
      </c>
      <c r="AO517" t="s">
        <v>6177</v>
      </c>
      <c r="AP517" t="s">
        <v>6178</v>
      </c>
      <c r="AQ517" t="s">
        <v>74</v>
      </c>
      <c r="AR517" t="s">
        <v>6179</v>
      </c>
      <c r="AS517" t="s">
        <v>6180</v>
      </c>
      <c r="AT517" t="s">
        <v>10323</v>
      </c>
      <c r="AU517">
        <v>2018</v>
      </c>
      <c r="AV517">
        <v>11</v>
      </c>
      <c r="AW517">
        <v>3</v>
      </c>
      <c r="AX517" t="s">
        <v>74</v>
      </c>
      <c r="AY517" t="s">
        <v>74</v>
      </c>
      <c r="AZ517" t="s">
        <v>74</v>
      </c>
      <c r="BA517" t="s">
        <v>74</v>
      </c>
      <c r="BB517">
        <v>1115</v>
      </c>
      <c r="BC517">
        <v>1131</v>
      </c>
      <c r="BD517" t="s">
        <v>74</v>
      </c>
      <c r="BE517" t="s">
        <v>10378</v>
      </c>
      <c r="BF517" t="str">
        <f>HYPERLINK("http://dx.doi.org/10.5194/gmd-11-1115-2018","http://dx.doi.org/10.5194/gmd-11-1115-2018")</f>
        <v>http://dx.doi.org/10.5194/gmd-11-1115-2018</v>
      </c>
      <c r="BG517" t="s">
        <v>74</v>
      </c>
      <c r="BH517" t="s">
        <v>74</v>
      </c>
      <c r="BI517">
        <v>17</v>
      </c>
      <c r="BJ517" t="s">
        <v>1243</v>
      </c>
      <c r="BK517" t="s">
        <v>101</v>
      </c>
      <c r="BL517" t="s">
        <v>1181</v>
      </c>
      <c r="BM517" t="s">
        <v>10379</v>
      </c>
      <c r="BN517" t="s">
        <v>74</v>
      </c>
      <c r="BO517" t="s">
        <v>3277</v>
      </c>
      <c r="BP517" t="s">
        <v>74</v>
      </c>
      <c r="BQ517" t="s">
        <v>74</v>
      </c>
      <c r="BR517" t="s">
        <v>105</v>
      </c>
      <c r="BS517" t="s">
        <v>10380</v>
      </c>
      <c r="BT517" t="str">
        <f>HYPERLINK("https%3A%2F%2Fwww.webofscience.com%2Fwos%2Fwoscc%2Ffull-record%2FWOS:000429371300001","View Full Record in Web of Science")</f>
        <v>View Full Record in Web of Science</v>
      </c>
    </row>
    <row r="518" spans="1:72" x14ac:dyDescent="0.15">
      <c r="A518" t="s">
        <v>72</v>
      </c>
      <c r="B518" t="s">
        <v>10381</v>
      </c>
      <c r="C518" t="s">
        <v>74</v>
      </c>
      <c r="D518" t="s">
        <v>74</v>
      </c>
      <c r="E518" t="s">
        <v>74</v>
      </c>
      <c r="F518" t="s">
        <v>10382</v>
      </c>
      <c r="G518" t="s">
        <v>74</v>
      </c>
      <c r="H518" t="s">
        <v>74</v>
      </c>
      <c r="I518" t="s">
        <v>10383</v>
      </c>
      <c r="J518" t="s">
        <v>2298</v>
      </c>
      <c r="K518" t="s">
        <v>74</v>
      </c>
      <c r="L518" t="s">
        <v>74</v>
      </c>
      <c r="M518" t="s">
        <v>78</v>
      </c>
      <c r="N518" t="s">
        <v>79</v>
      </c>
      <c r="O518" t="s">
        <v>74</v>
      </c>
      <c r="P518" t="s">
        <v>74</v>
      </c>
      <c r="Q518" t="s">
        <v>74</v>
      </c>
      <c r="R518" t="s">
        <v>74</v>
      </c>
      <c r="S518" t="s">
        <v>74</v>
      </c>
      <c r="T518" t="s">
        <v>74</v>
      </c>
      <c r="U518" t="s">
        <v>10384</v>
      </c>
      <c r="V518" t="s">
        <v>10385</v>
      </c>
      <c r="W518" t="s">
        <v>10386</v>
      </c>
      <c r="X518" t="s">
        <v>4732</v>
      </c>
      <c r="Y518" t="s">
        <v>10387</v>
      </c>
      <c r="Z518" t="s">
        <v>10388</v>
      </c>
      <c r="AA518" t="s">
        <v>74</v>
      </c>
      <c r="AB518" t="s">
        <v>74</v>
      </c>
      <c r="AC518" t="s">
        <v>10389</v>
      </c>
      <c r="AD518" t="s">
        <v>10390</v>
      </c>
      <c r="AE518" t="s">
        <v>10391</v>
      </c>
      <c r="AF518" t="s">
        <v>74</v>
      </c>
      <c r="AG518">
        <v>79</v>
      </c>
      <c r="AH518">
        <v>9</v>
      </c>
      <c r="AI518">
        <v>9</v>
      </c>
      <c r="AJ518">
        <v>1</v>
      </c>
      <c r="AK518">
        <v>4</v>
      </c>
      <c r="AL518" t="s">
        <v>2310</v>
      </c>
      <c r="AM518" t="s">
        <v>2311</v>
      </c>
      <c r="AN518" t="s">
        <v>2312</v>
      </c>
      <c r="AO518" t="s">
        <v>2313</v>
      </c>
      <c r="AP518" t="s">
        <v>74</v>
      </c>
      <c r="AQ518" t="s">
        <v>74</v>
      </c>
      <c r="AR518" t="s">
        <v>2298</v>
      </c>
      <c r="AS518" t="s">
        <v>2314</v>
      </c>
      <c r="AT518" t="s">
        <v>10323</v>
      </c>
      <c r="AU518">
        <v>2018</v>
      </c>
      <c r="AV518">
        <v>13</v>
      </c>
      <c r="AW518">
        <v>3</v>
      </c>
      <c r="AX518" t="s">
        <v>74</v>
      </c>
      <c r="AY518" t="s">
        <v>74</v>
      </c>
      <c r="AZ518" t="s">
        <v>74</v>
      </c>
      <c r="BA518" t="s">
        <v>74</v>
      </c>
      <c r="BB518" t="s">
        <v>74</v>
      </c>
      <c r="BC518" t="s">
        <v>74</v>
      </c>
      <c r="BD518" t="s">
        <v>10392</v>
      </c>
      <c r="BE518" t="s">
        <v>10393</v>
      </c>
      <c r="BF518" t="str">
        <f>HYPERLINK("http://dx.doi.org/10.1371/journal.pone.0194502","http://dx.doi.org/10.1371/journal.pone.0194502")</f>
        <v>http://dx.doi.org/10.1371/journal.pone.0194502</v>
      </c>
      <c r="BG518" t="s">
        <v>74</v>
      </c>
      <c r="BH518" t="s">
        <v>74</v>
      </c>
      <c r="BI518">
        <v>17</v>
      </c>
      <c r="BJ518" t="s">
        <v>1670</v>
      </c>
      <c r="BK518" t="s">
        <v>101</v>
      </c>
      <c r="BL518" t="s">
        <v>1671</v>
      </c>
      <c r="BM518" t="s">
        <v>10394</v>
      </c>
      <c r="BN518">
        <v>29590185</v>
      </c>
      <c r="BO518" t="s">
        <v>636</v>
      </c>
      <c r="BP518" t="s">
        <v>74</v>
      </c>
      <c r="BQ518" t="s">
        <v>74</v>
      </c>
      <c r="BR518" t="s">
        <v>105</v>
      </c>
      <c r="BS518" t="s">
        <v>10395</v>
      </c>
      <c r="BT518" t="str">
        <f>HYPERLINK("https%3A%2F%2Fwww.webofscience.com%2Fwos%2Fwoscc%2Ffull-record%2FWOS:000428603100063","View Full Record in Web of Science")</f>
        <v>View Full Record in Web of Science</v>
      </c>
    </row>
    <row r="519" spans="1:72" x14ac:dyDescent="0.15">
      <c r="A519" t="s">
        <v>72</v>
      </c>
      <c r="B519" t="s">
        <v>10396</v>
      </c>
      <c r="C519" t="s">
        <v>74</v>
      </c>
      <c r="D519" t="s">
        <v>74</v>
      </c>
      <c r="E519" t="s">
        <v>74</v>
      </c>
      <c r="F519" t="s">
        <v>10397</v>
      </c>
      <c r="G519" t="s">
        <v>74</v>
      </c>
      <c r="H519" t="s">
        <v>74</v>
      </c>
      <c r="I519" t="s">
        <v>10398</v>
      </c>
      <c r="J519" t="s">
        <v>1576</v>
      </c>
      <c r="K519" t="s">
        <v>74</v>
      </c>
      <c r="L519" t="s">
        <v>74</v>
      </c>
      <c r="M519" t="s">
        <v>78</v>
      </c>
      <c r="N519" t="s">
        <v>79</v>
      </c>
      <c r="O519" t="s">
        <v>74</v>
      </c>
      <c r="P519" t="s">
        <v>74</v>
      </c>
      <c r="Q519" t="s">
        <v>74</v>
      </c>
      <c r="R519" t="s">
        <v>74</v>
      </c>
      <c r="S519" t="s">
        <v>74</v>
      </c>
      <c r="T519" t="s">
        <v>74</v>
      </c>
      <c r="U519" t="s">
        <v>10399</v>
      </c>
      <c r="V519" t="s">
        <v>10400</v>
      </c>
      <c r="W519" t="s">
        <v>10401</v>
      </c>
      <c r="X519" t="s">
        <v>10402</v>
      </c>
      <c r="Y519" t="s">
        <v>10403</v>
      </c>
      <c r="Z519" t="s">
        <v>10404</v>
      </c>
      <c r="AA519" t="s">
        <v>10405</v>
      </c>
      <c r="AB519" t="s">
        <v>10406</v>
      </c>
      <c r="AC519" t="s">
        <v>10407</v>
      </c>
      <c r="AD519" t="s">
        <v>10408</v>
      </c>
      <c r="AE519" t="s">
        <v>10409</v>
      </c>
      <c r="AF519" t="s">
        <v>74</v>
      </c>
      <c r="AG519">
        <v>53</v>
      </c>
      <c r="AH519">
        <v>98</v>
      </c>
      <c r="AI519">
        <v>108</v>
      </c>
      <c r="AJ519">
        <v>1</v>
      </c>
      <c r="AK519">
        <v>32</v>
      </c>
      <c r="AL519" t="s">
        <v>1563</v>
      </c>
      <c r="AM519" t="s">
        <v>1564</v>
      </c>
      <c r="AN519" t="s">
        <v>1565</v>
      </c>
      <c r="AO519" t="s">
        <v>1588</v>
      </c>
      <c r="AP519" t="s">
        <v>1589</v>
      </c>
      <c r="AQ519" t="s">
        <v>74</v>
      </c>
      <c r="AR519" t="s">
        <v>1576</v>
      </c>
      <c r="AS519" t="s">
        <v>1590</v>
      </c>
      <c r="AT519" t="s">
        <v>10323</v>
      </c>
      <c r="AU519">
        <v>2018</v>
      </c>
      <c r="AV519">
        <v>12</v>
      </c>
      <c r="AW519">
        <v>3</v>
      </c>
      <c r="AX519" t="s">
        <v>74</v>
      </c>
      <c r="AY519" t="s">
        <v>74</v>
      </c>
      <c r="AZ519" t="s">
        <v>74</v>
      </c>
      <c r="BA519" t="s">
        <v>74</v>
      </c>
      <c r="BB519">
        <v>1103</v>
      </c>
      <c r="BC519">
        <v>1119</v>
      </c>
      <c r="BD519" t="s">
        <v>74</v>
      </c>
      <c r="BE519" t="s">
        <v>10410</v>
      </c>
      <c r="BF519" t="str">
        <f>HYPERLINK("http://dx.doi.org/10.5194/tc-12-1103-2018","http://dx.doi.org/10.5194/tc-12-1103-2018")</f>
        <v>http://dx.doi.org/10.5194/tc-12-1103-2018</v>
      </c>
      <c r="BG519" t="s">
        <v>74</v>
      </c>
      <c r="BH519" t="s">
        <v>74</v>
      </c>
      <c r="BI519">
        <v>17</v>
      </c>
      <c r="BJ519" t="s">
        <v>338</v>
      </c>
      <c r="BK519" t="s">
        <v>101</v>
      </c>
      <c r="BL519" t="s">
        <v>339</v>
      </c>
      <c r="BM519" t="s">
        <v>10411</v>
      </c>
      <c r="BN519" t="s">
        <v>74</v>
      </c>
      <c r="BO519" t="s">
        <v>2339</v>
      </c>
      <c r="BP519" t="s">
        <v>74</v>
      </c>
      <c r="BQ519" t="s">
        <v>74</v>
      </c>
      <c r="BR519" t="s">
        <v>105</v>
      </c>
      <c r="BS519" t="s">
        <v>10412</v>
      </c>
      <c r="BT519" t="str">
        <f>HYPERLINK("https%3A%2F%2Fwww.webofscience.com%2Fwos%2Fwoscc%2Ffull-record%2FWOS:000428551200001","View Full Record in Web of Science")</f>
        <v>View Full Record in Web of Science</v>
      </c>
    </row>
    <row r="520" spans="1:72" x14ac:dyDescent="0.15">
      <c r="A520" t="s">
        <v>72</v>
      </c>
      <c r="B520" t="s">
        <v>10413</v>
      </c>
      <c r="C520" t="s">
        <v>74</v>
      </c>
      <c r="D520" t="s">
        <v>74</v>
      </c>
      <c r="E520" t="s">
        <v>74</v>
      </c>
      <c r="F520" t="s">
        <v>10414</v>
      </c>
      <c r="G520" t="s">
        <v>74</v>
      </c>
      <c r="H520" t="s">
        <v>74</v>
      </c>
      <c r="I520" t="s">
        <v>10415</v>
      </c>
      <c r="J520" t="s">
        <v>1938</v>
      </c>
      <c r="K520" t="s">
        <v>74</v>
      </c>
      <c r="L520" t="s">
        <v>74</v>
      </c>
      <c r="M520" t="s">
        <v>78</v>
      </c>
      <c r="N520" t="s">
        <v>79</v>
      </c>
      <c r="O520" t="s">
        <v>74</v>
      </c>
      <c r="P520" t="s">
        <v>74</v>
      </c>
      <c r="Q520" t="s">
        <v>74</v>
      </c>
      <c r="R520" t="s">
        <v>74</v>
      </c>
      <c r="S520" t="s">
        <v>74</v>
      </c>
      <c r="T520" t="s">
        <v>10416</v>
      </c>
      <c r="U520" t="s">
        <v>10417</v>
      </c>
      <c r="V520" t="s">
        <v>10418</v>
      </c>
      <c r="W520" t="s">
        <v>10419</v>
      </c>
      <c r="X520" t="s">
        <v>10420</v>
      </c>
      <c r="Y520" t="s">
        <v>10421</v>
      </c>
      <c r="Z520" t="s">
        <v>10422</v>
      </c>
      <c r="AA520" t="s">
        <v>10423</v>
      </c>
      <c r="AB520" t="s">
        <v>10424</v>
      </c>
      <c r="AC520" t="s">
        <v>10425</v>
      </c>
      <c r="AD520" t="s">
        <v>10426</v>
      </c>
      <c r="AE520" t="s">
        <v>10427</v>
      </c>
      <c r="AF520" t="s">
        <v>74</v>
      </c>
      <c r="AG520">
        <v>53</v>
      </c>
      <c r="AH520">
        <v>15</v>
      </c>
      <c r="AI520">
        <v>15</v>
      </c>
      <c r="AJ520">
        <v>0</v>
      </c>
      <c r="AK520">
        <v>14</v>
      </c>
      <c r="AL520" t="s">
        <v>574</v>
      </c>
      <c r="AM520" t="s">
        <v>575</v>
      </c>
      <c r="AN520" t="s">
        <v>576</v>
      </c>
      <c r="AO520" t="s">
        <v>1951</v>
      </c>
      <c r="AP520" t="s">
        <v>1952</v>
      </c>
      <c r="AQ520" t="s">
        <v>74</v>
      </c>
      <c r="AR520" t="s">
        <v>1953</v>
      </c>
      <c r="AS520" t="s">
        <v>1954</v>
      </c>
      <c r="AT520" t="s">
        <v>10428</v>
      </c>
      <c r="AU520">
        <v>2018</v>
      </c>
      <c r="AV520">
        <v>123</v>
      </c>
      <c r="AW520">
        <v>6</v>
      </c>
      <c r="AX520" t="s">
        <v>74</v>
      </c>
      <c r="AY520" t="s">
        <v>74</v>
      </c>
      <c r="AZ520" t="s">
        <v>74</v>
      </c>
      <c r="BA520" t="s">
        <v>74</v>
      </c>
      <c r="BB520">
        <v>3009</v>
      </c>
      <c r="BC520">
        <v>3018</v>
      </c>
      <c r="BD520" t="s">
        <v>74</v>
      </c>
      <c r="BE520" t="s">
        <v>10429</v>
      </c>
      <c r="BF520" t="str">
        <f>HYPERLINK("http://dx.doi.org/10.1002/2018JD028304","http://dx.doi.org/10.1002/2018JD028304")</f>
        <v>http://dx.doi.org/10.1002/2018JD028304</v>
      </c>
      <c r="BG520" t="s">
        <v>74</v>
      </c>
      <c r="BH520" t="s">
        <v>74</v>
      </c>
      <c r="BI520">
        <v>10</v>
      </c>
      <c r="BJ520" t="s">
        <v>131</v>
      </c>
      <c r="BK520" t="s">
        <v>101</v>
      </c>
      <c r="BL520" t="s">
        <v>131</v>
      </c>
      <c r="BM520" t="s">
        <v>10430</v>
      </c>
      <c r="BN520" t="s">
        <v>74</v>
      </c>
      <c r="BO520" t="s">
        <v>980</v>
      </c>
      <c r="BP520" t="s">
        <v>74</v>
      </c>
      <c r="BQ520" t="s">
        <v>74</v>
      </c>
      <c r="BR520" t="s">
        <v>105</v>
      </c>
      <c r="BS520" t="s">
        <v>10431</v>
      </c>
      <c r="BT520" t="str">
        <f>HYPERLINK("https%3A%2F%2Fwww.webofscience.com%2Fwos%2Fwoscc%2Ffull-record%2FWOS:000430108900004","View Full Record in Web of Science")</f>
        <v>View Full Record in Web of Science</v>
      </c>
    </row>
    <row r="521" spans="1:72" x14ac:dyDescent="0.15">
      <c r="A521" t="s">
        <v>72</v>
      </c>
      <c r="B521" t="s">
        <v>10432</v>
      </c>
      <c r="C521" t="s">
        <v>74</v>
      </c>
      <c r="D521" t="s">
        <v>74</v>
      </c>
      <c r="E521" t="s">
        <v>74</v>
      </c>
      <c r="F521" t="s">
        <v>10433</v>
      </c>
      <c r="G521" t="s">
        <v>74</v>
      </c>
      <c r="H521" t="s">
        <v>74</v>
      </c>
      <c r="I521" t="s">
        <v>10434</v>
      </c>
      <c r="J521" t="s">
        <v>1938</v>
      </c>
      <c r="K521" t="s">
        <v>74</v>
      </c>
      <c r="L521" t="s">
        <v>74</v>
      </c>
      <c r="M521" t="s">
        <v>78</v>
      </c>
      <c r="N521" t="s">
        <v>79</v>
      </c>
      <c r="O521" t="s">
        <v>74</v>
      </c>
      <c r="P521" t="s">
        <v>74</v>
      </c>
      <c r="Q521" t="s">
        <v>74</v>
      </c>
      <c r="R521" t="s">
        <v>74</v>
      </c>
      <c r="S521" t="s">
        <v>74</v>
      </c>
      <c r="T521" t="s">
        <v>10435</v>
      </c>
      <c r="U521" t="s">
        <v>10436</v>
      </c>
      <c r="V521" t="s">
        <v>10437</v>
      </c>
      <c r="W521" t="s">
        <v>10438</v>
      </c>
      <c r="X521" t="s">
        <v>10439</v>
      </c>
      <c r="Y521" t="s">
        <v>10440</v>
      </c>
      <c r="Z521" t="s">
        <v>10441</v>
      </c>
      <c r="AA521" t="s">
        <v>10442</v>
      </c>
      <c r="AB521" t="s">
        <v>10443</v>
      </c>
      <c r="AC521" t="s">
        <v>10444</v>
      </c>
      <c r="AD521" t="s">
        <v>10445</v>
      </c>
      <c r="AE521" t="s">
        <v>10446</v>
      </c>
      <c r="AF521" t="s">
        <v>74</v>
      </c>
      <c r="AG521">
        <v>21</v>
      </c>
      <c r="AH521">
        <v>7</v>
      </c>
      <c r="AI521">
        <v>7</v>
      </c>
      <c r="AJ521">
        <v>0</v>
      </c>
      <c r="AK521">
        <v>3</v>
      </c>
      <c r="AL521" t="s">
        <v>574</v>
      </c>
      <c r="AM521" t="s">
        <v>575</v>
      </c>
      <c r="AN521" t="s">
        <v>576</v>
      </c>
      <c r="AO521" t="s">
        <v>1951</v>
      </c>
      <c r="AP521" t="s">
        <v>1952</v>
      </c>
      <c r="AQ521" t="s">
        <v>74</v>
      </c>
      <c r="AR521" t="s">
        <v>1953</v>
      </c>
      <c r="AS521" t="s">
        <v>1954</v>
      </c>
      <c r="AT521" t="s">
        <v>10428</v>
      </c>
      <c r="AU521">
        <v>2018</v>
      </c>
      <c r="AV521">
        <v>123</v>
      </c>
      <c r="AW521">
        <v>6</v>
      </c>
      <c r="AX521" t="s">
        <v>74</v>
      </c>
      <c r="AY521" t="s">
        <v>74</v>
      </c>
      <c r="AZ521" t="s">
        <v>74</v>
      </c>
      <c r="BA521" t="s">
        <v>74</v>
      </c>
      <c r="BB521">
        <v>3205</v>
      </c>
      <c r="BC521">
        <v>3211</v>
      </c>
      <c r="BD521" t="s">
        <v>74</v>
      </c>
      <c r="BE521" t="s">
        <v>10447</v>
      </c>
      <c r="BF521" t="str">
        <f>HYPERLINK("http://dx.doi.org/10.1002/2017JD027874","http://dx.doi.org/10.1002/2017JD027874")</f>
        <v>http://dx.doi.org/10.1002/2017JD027874</v>
      </c>
      <c r="BG521" t="s">
        <v>74</v>
      </c>
      <c r="BH521" t="s">
        <v>74</v>
      </c>
      <c r="BI521">
        <v>7</v>
      </c>
      <c r="BJ521" t="s">
        <v>131</v>
      </c>
      <c r="BK521" t="s">
        <v>101</v>
      </c>
      <c r="BL521" t="s">
        <v>131</v>
      </c>
      <c r="BM521" t="s">
        <v>10430</v>
      </c>
      <c r="BN521" t="s">
        <v>74</v>
      </c>
      <c r="BO521" t="s">
        <v>74</v>
      </c>
      <c r="BP521" t="s">
        <v>74</v>
      </c>
      <c r="BQ521" t="s">
        <v>74</v>
      </c>
      <c r="BR521" t="s">
        <v>105</v>
      </c>
      <c r="BS521" t="s">
        <v>10448</v>
      </c>
      <c r="BT521" t="str">
        <f>HYPERLINK("https%3A%2F%2Fwww.webofscience.com%2Fwos%2Fwoscc%2Ffull-record%2FWOS:000430108900016","View Full Record in Web of Science")</f>
        <v>View Full Record in Web of Science</v>
      </c>
    </row>
    <row r="522" spans="1:72" x14ac:dyDescent="0.15">
      <c r="A522" t="s">
        <v>72</v>
      </c>
      <c r="B522" t="s">
        <v>10449</v>
      </c>
      <c r="C522" t="s">
        <v>74</v>
      </c>
      <c r="D522" t="s">
        <v>74</v>
      </c>
      <c r="E522" t="s">
        <v>74</v>
      </c>
      <c r="F522" t="s">
        <v>10450</v>
      </c>
      <c r="G522" t="s">
        <v>74</v>
      </c>
      <c r="H522" t="s">
        <v>74</v>
      </c>
      <c r="I522" t="s">
        <v>10451</v>
      </c>
      <c r="J522" t="s">
        <v>6968</v>
      </c>
      <c r="K522" t="s">
        <v>74</v>
      </c>
      <c r="L522" t="s">
        <v>74</v>
      </c>
      <c r="M522" t="s">
        <v>78</v>
      </c>
      <c r="N522" t="s">
        <v>79</v>
      </c>
      <c r="O522" t="s">
        <v>74</v>
      </c>
      <c r="P522" t="s">
        <v>74</v>
      </c>
      <c r="Q522" t="s">
        <v>74</v>
      </c>
      <c r="R522" t="s">
        <v>74</v>
      </c>
      <c r="S522" t="s">
        <v>74</v>
      </c>
      <c r="T522" t="s">
        <v>74</v>
      </c>
      <c r="U522" t="s">
        <v>10452</v>
      </c>
      <c r="V522" t="s">
        <v>10453</v>
      </c>
      <c r="W522" t="s">
        <v>10454</v>
      </c>
      <c r="X522" t="s">
        <v>10455</v>
      </c>
      <c r="Y522" t="s">
        <v>10456</v>
      </c>
      <c r="Z522" t="s">
        <v>10457</v>
      </c>
      <c r="AA522" t="s">
        <v>74</v>
      </c>
      <c r="AB522" t="s">
        <v>10458</v>
      </c>
      <c r="AC522" t="s">
        <v>10459</v>
      </c>
      <c r="AD522" t="s">
        <v>10460</v>
      </c>
      <c r="AE522" t="s">
        <v>10461</v>
      </c>
      <c r="AF522" t="s">
        <v>74</v>
      </c>
      <c r="AG522">
        <v>39</v>
      </c>
      <c r="AH522">
        <v>4</v>
      </c>
      <c r="AI522">
        <v>4</v>
      </c>
      <c r="AJ522">
        <v>1</v>
      </c>
      <c r="AK522">
        <v>11</v>
      </c>
      <c r="AL522" t="s">
        <v>1563</v>
      </c>
      <c r="AM522" t="s">
        <v>1564</v>
      </c>
      <c r="AN522" t="s">
        <v>1565</v>
      </c>
      <c r="AO522" t="s">
        <v>6980</v>
      </c>
      <c r="AP522" t="s">
        <v>6981</v>
      </c>
      <c r="AQ522" t="s">
        <v>74</v>
      </c>
      <c r="AR522" t="s">
        <v>6982</v>
      </c>
      <c r="AS522" t="s">
        <v>6983</v>
      </c>
      <c r="AT522" t="s">
        <v>10428</v>
      </c>
      <c r="AU522">
        <v>2018</v>
      </c>
      <c r="AV522">
        <v>10</v>
      </c>
      <c r="AW522">
        <v>1</v>
      </c>
      <c r="AX522" t="s">
        <v>74</v>
      </c>
      <c r="AY522" t="s">
        <v>74</v>
      </c>
      <c r="AZ522" t="s">
        <v>74</v>
      </c>
      <c r="BA522" t="s">
        <v>74</v>
      </c>
      <c r="BB522">
        <v>609</v>
      </c>
      <c r="BC522">
        <v>626</v>
      </c>
      <c r="BD522" t="s">
        <v>74</v>
      </c>
      <c r="BE522" t="s">
        <v>10462</v>
      </c>
      <c r="BF522" t="str">
        <f>HYPERLINK("http://dx.doi.org/10.5194/essd-10-609-2018","http://dx.doi.org/10.5194/essd-10-609-2018")</f>
        <v>http://dx.doi.org/10.5194/essd-10-609-2018</v>
      </c>
      <c r="BG522" t="s">
        <v>74</v>
      </c>
      <c r="BH522" t="s">
        <v>74</v>
      </c>
      <c r="BI522">
        <v>18</v>
      </c>
      <c r="BJ522" t="s">
        <v>6986</v>
      </c>
      <c r="BK522" t="s">
        <v>101</v>
      </c>
      <c r="BL522" t="s">
        <v>6987</v>
      </c>
      <c r="BM522" t="s">
        <v>10463</v>
      </c>
      <c r="BN522" t="s">
        <v>74</v>
      </c>
      <c r="BO522" t="s">
        <v>2695</v>
      </c>
      <c r="BP522" t="s">
        <v>74</v>
      </c>
      <c r="BQ522" t="s">
        <v>74</v>
      </c>
      <c r="BR522" t="s">
        <v>105</v>
      </c>
      <c r="BS522" t="s">
        <v>10464</v>
      </c>
      <c r="BT522" t="str">
        <f>HYPERLINK("https%3A%2F%2Fwww.webofscience.com%2Fwos%2Fwoscc%2Ffull-record%2FWOS:000428478600001","View Full Record in Web of Science")</f>
        <v>View Full Record in Web of Science</v>
      </c>
    </row>
    <row r="523" spans="1:72" x14ac:dyDescent="0.15">
      <c r="A523" t="s">
        <v>72</v>
      </c>
      <c r="B523" t="s">
        <v>10465</v>
      </c>
      <c r="C523" t="s">
        <v>74</v>
      </c>
      <c r="D523" t="s">
        <v>74</v>
      </c>
      <c r="E523" t="s">
        <v>74</v>
      </c>
      <c r="F523" t="s">
        <v>10466</v>
      </c>
      <c r="G523" t="s">
        <v>74</v>
      </c>
      <c r="H523" t="s">
        <v>74</v>
      </c>
      <c r="I523" t="s">
        <v>10467</v>
      </c>
      <c r="J523" t="s">
        <v>10468</v>
      </c>
      <c r="K523" t="s">
        <v>74</v>
      </c>
      <c r="L523" t="s">
        <v>74</v>
      </c>
      <c r="M523" t="s">
        <v>78</v>
      </c>
      <c r="N523" t="s">
        <v>79</v>
      </c>
      <c r="O523" t="s">
        <v>74</v>
      </c>
      <c r="P523" t="s">
        <v>74</v>
      </c>
      <c r="Q523" t="s">
        <v>74</v>
      </c>
      <c r="R523" t="s">
        <v>74</v>
      </c>
      <c r="S523" t="s">
        <v>74</v>
      </c>
      <c r="T523" t="s">
        <v>10469</v>
      </c>
      <c r="U523" t="s">
        <v>10470</v>
      </c>
      <c r="V523" t="s">
        <v>10471</v>
      </c>
      <c r="W523" t="s">
        <v>10472</v>
      </c>
      <c r="X523" t="s">
        <v>10473</v>
      </c>
      <c r="Y523" t="s">
        <v>10474</v>
      </c>
      <c r="Z523" t="s">
        <v>10475</v>
      </c>
      <c r="AA523" t="s">
        <v>10476</v>
      </c>
      <c r="AB523" t="s">
        <v>10477</v>
      </c>
      <c r="AC523" t="s">
        <v>10478</v>
      </c>
      <c r="AD523" t="s">
        <v>10479</v>
      </c>
      <c r="AE523" t="s">
        <v>10480</v>
      </c>
      <c r="AF523" t="s">
        <v>74</v>
      </c>
      <c r="AG523">
        <v>45</v>
      </c>
      <c r="AH523">
        <v>19</v>
      </c>
      <c r="AI523">
        <v>21</v>
      </c>
      <c r="AJ523">
        <v>1</v>
      </c>
      <c r="AK523">
        <v>15</v>
      </c>
      <c r="AL523" t="s">
        <v>10481</v>
      </c>
      <c r="AM523" t="s">
        <v>10482</v>
      </c>
      <c r="AN523" t="s">
        <v>10483</v>
      </c>
      <c r="AO523" t="s">
        <v>10484</v>
      </c>
      <c r="AP523" t="s">
        <v>10485</v>
      </c>
      <c r="AQ523" t="s">
        <v>74</v>
      </c>
      <c r="AR523" t="s">
        <v>10486</v>
      </c>
      <c r="AS523" t="s">
        <v>10487</v>
      </c>
      <c r="AT523" t="s">
        <v>10428</v>
      </c>
      <c r="AU523">
        <v>2018</v>
      </c>
      <c r="AV523">
        <v>51</v>
      </c>
      <c r="AW523" t="s">
        <v>74</v>
      </c>
      <c r="AX523" t="s">
        <v>74</v>
      </c>
      <c r="AY523" t="s">
        <v>74</v>
      </c>
      <c r="AZ523" t="s">
        <v>74</v>
      </c>
      <c r="BA523" t="s">
        <v>74</v>
      </c>
      <c r="BB523" t="s">
        <v>74</v>
      </c>
      <c r="BC523" t="s">
        <v>74</v>
      </c>
      <c r="BD523">
        <v>8</v>
      </c>
      <c r="BE523" t="s">
        <v>10488</v>
      </c>
      <c r="BF523" t="str">
        <f>HYPERLINK("http://dx.doi.org/10.1186/s40659-018-0156-9","http://dx.doi.org/10.1186/s40659-018-0156-9")</f>
        <v>http://dx.doi.org/10.1186/s40659-018-0156-9</v>
      </c>
      <c r="BG523" t="s">
        <v>74</v>
      </c>
      <c r="BH523" t="s">
        <v>74</v>
      </c>
      <c r="BI523">
        <v>10</v>
      </c>
      <c r="BJ523" t="s">
        <v>4108</v>
      </c>
      <c r="BK523" t="s">
        <v>101</v>
      </c>
      <c r="BL523" t="s">
        <v>4109</v>
      </c>
      <c r="BM523" t="s">
        <v>10489</v>
      </c>
      <c r="BN523">
        <v>29587857</v>
      </c>
      <c r="BO523" t="s">
        <v>764</v>
      </c>
      <c r="BP523" t="s">
        <v>74</v>
      </c>
      <c r="BQ523" t="s">
        <v>74</v>
      </c>
      <c r="BR523" t="s">
        <v>105</v>
      </c>
      <c r="BS523" t="s">
        <v>10490</v>
      </c>
      <c r="BT523" t="str">
        <f>HYPERLINK("https%3A%2F%2Fwww.webofscience.com%2Fwos%2Fwoscc%2Ffull-record%2FWOS:000430746500001","View Full Record in Web of Science")</f>
        <v>View Full Record in Web of Science</v>
      </c>
    </row>
    <row r="524" spans="1:72" x14ac:dyDescent="0.15">
      <c r="A524" t="s">
        <v>72</v>
      </c>
      <c r="B524" t="s">
        <v>10491</v>
      </c>
      <c r="C524" t="s">
        <v>74</v>
      </c>
      <c r="D524" t="s">
        <v>74</v>
      </c>
      <c r="E524" t="s">
        <v>74</v>
      </c>
      <c r="F524" t="s">
        <v>10492</v>
      </c>
      <c r="G524" t="s">
        <v>74</v>
      </c>
      <c r="H524" t="s">
        <v>74</v>
      </c>
      <c r="I524" t="s">
        <v>10493</v>
      </c>
      <c r="J524" t="s">
        <v>1552</v>
      </c>
      <c r="K524" t="s">
        <v>74</v>
      </c>
      <c r="L524" t="s">
        <v>74</v>
      </c>
      <c r="M524" t="s">
        <v>78</v>
      </c>
      <c r="N524" t="s">
        <v>79</v>
      </c>
      <c r="O524" t="s">
        <v>74</v>
      </c>
      <c r="P524" t="s">
        <v>74</v>
      </c>
      <c r="Q524" t="s">
        <v>74</v>
      </c>
      <c r="R524" t="s">
        <v>74</v>
      </c>
      <c r="S524" t="s">
        <v>74</v>
      </c>
      <c r="T524" t="s">
        <v>74</v>
      </c>
      <c r="U524" t="s">
        <v>10494</v>
      </c>
      <c r="V524" t="s">
        <v>10495</v>
      </c>
      <c r="W524" t="s">
        <v>10496</v>
      </c>
      <c r="X524" t="s">
        <v>10497</v>
      </c>
      <c r="Y524" t="s">
        <v>10498</v>
      </c>
      <c r="Z524" t="s">
        <v>10499</v>
      </c>
      <c r="AA524" t="s">
        <v>10500</v>
      </c>
      <c r="AB524" t="s">
        <v>10501</v>
      </c>
      <c r="AC524" t="s">
        <v>10502</v>
      </c>
      <c r="AD524" t="s">
        <v>10503</v>
      </c>
      <c r="AE524" t="s">
        <v>10504</v>
      </c>
      <c r="AF524" t="s">
        <v>74</v>
      </c>
      <c r="AG524">
        <v>61</v>
      </c>
      <c r="AH524">
        <v>22</v>
      </c>
      <c r="AI524">
        <v>24</v>
      </c>
      <c r="AJ524">
        <v>4</v>
      </c>
      <c r="AK524">
        <v>50</v>
      </c>
      <c r="AL524" t="s">
        <v>1563</v>
      </c>
      <c r="AM524" t="s">
        <v>1564</v>
      </c>
      <c r="AN524" t="s">
        <v>1565</v>
      </c>
      <c r="AO524" t="s">
        <v>1566</v>
      </c>
      <c r="AP524" t="s">
        <v>1567</v>
      </c>
      <c r="AQ524" t="s">
        <v>74</v>
      </c>
      <c r="AR524" t="s">
        <v>1568</v>
      </c>
      <c r="AS524" t="s">
        <v>1569</v>
      </c>
      <c r="AT524" t="s">
        <v>10505</v>
      </c>
      <c r="AU524">
        <v>2018</v>
      </c>
      <c r="AV524">
        <v>18</v>
      </c>
      <c r="AW524">
        <v>6</v>
      </c>
      <c r="AX524" t="s">
        <v>74</v>
      </c>
      <c r="AY524" t="s">
        <v>74</v>
      </c>
      <c r="AZ524" t="s">
        <v>74</v>
      </c>
      <c r="BA524" t="s">
        <v>74</v>
      </c>
      <c r="BB524">
        <v>4153</v>
      </c>
      <c r="BC524">
        <v>4169</v>
      </c>
      <c r="BD524" t="s">
        <v>74</v>
      </c>
      <c r="BE524" t="s">
        <v>10506</v>
      </c>
      <c r="BF524" t="str">
        <f>HYPERLINK("http://dx.doi.org/10.5194/acp-18-4153-2018","http://dx.doi.org/10.5194/acp-18-4153-2018")</f>
        <v>http://dx.doi.org/10.5194/acp-18-4153-2018</v>
      </c>
      <c r="BG524" t="s">
        <v>74</v>
      </c>
      <c r="BH524" t="s">
        <v>74</v>
      </c>
      <c r="BI524">
        <v>17</v>
      </c>
      <c r="BJ524" t="s">
        <v>285</v>
      </c>
      <c r="BK524" t="s">
        <v>101</v>
      </c>
      <c r="BL524" t="s">
        <v>286</v>
      </c>
      <c r="BM524" t="s">
        <v>10507</v>
      </c>
      <c r="BN524" t="s">
        <v>74</v>
      </c>
      <c r="BO524" t="s">
        <v>3020</v>
      </c>
      <c r="BP524" t="s">
        <v>74</v>
      </c>
      <c r="BQ524" t="s">
        <v>74</v>
      </c>
      <c r="BR524" t="s">
        <v>105</v>
      </c>
      <c r="BS524" t="s">
        <v>10508</v>
      </c>
      <c r="BT524" t="str">
        <f>HYPERLINK("https%3A%2F%2Fwww.webofscience.com%2Fwos%2Fwoscc%2Ffull-record%2FWOS:000428375100003","View Full Record in Web of Science")</f>
        <v>View Full Record in Web of Science</v>
      </c>
    </row>
    <row r="525" spans="1:72" x14ac:dyDescent="0.15">
      <c r="A525" t="s">
        <v>72</v>
      </c>
      <c r="B525" t="s">
        <v>10509</v>
      </c>
      <c r="C525" t="s">
        <v>74</v>
      </c>
      <c r="D525" t="s">
        <v>74</v>
      </c>
      <c r="E525" t="s">
        <v>74</v>
      </c>
      <c r="F525" t="s">
        <v>10510</v>
      </c>
      <c r="G525" t="s">
        <v>74</v>
      </c>
      <c r="H525" t="s">
        <v>74</v>
      </c>
      <c r="I525" t="s">
        <v>10511</v>
      </c>
      <c r="J525" t="s">
        <v>1598</v>
      </c>
      <c r="K525" t="s">
        <v>74</v>
      </c>
      <c r="L525" t="s">
        <v>74</v>
      </c>
      <c r="M525" t="s">
        <v>78</v>
      </c>
      <c r="N525" t="s">
        <v>79</v>
      </c>
      <c r="O525" t="s">
        <v>74</v>
      </c>
      <c r="P525" t="s">
        <v>74</v>
      </c>
      <c r="Q525" t="s">
        <v>74</v>
      </c>
      <c r="R525" t="s">
        <v>74</v>
      </c>
      <c r="S525" t="s">
        <v>74</v>
      </c>
      <c r="T525" t="s">
        <v>10512</v>
      </c>
      <c r="U525" t="s">
        <v>10513</v>
      </c>
      <c r="V525" t="s">
        <v>10514</v>
      </c>
      <c r="W525" t="s">
        <v>10515</v>
      </c>
      <c r="X525" t="s">
        <v>10516</v>
      </c>
      <c r="Y525" t="s">
        <v>10517</v>
      </c>
      <c r="Z525" t="s">
        <v>10518</v>
      </c>
      <c r="AA525" t="s">
        <v>74</v>
      </c>
      <c r="AB525" t="s">
        <v>74</v>
      </c>
      <c r="AC525" t="s">
        <v>10519</v>
      </c>
      <c r="AD525" t="s">
        <v>10520</v>
      </c>
      <c r="AE525" t="s">
        <v>10521</v>
      </c>
      <c r="AF525" t="s">
        <v>74</v>
      </c>
      <c r="AG525">
        <v>71</v>
      </c>
      <c r="AH525">
        <v>29</v>
      </c>
      <c r="AI525">
        <v>30</v>
      </c>
      <c r="AJ525">
        <v>1</v>
      </c>
      <c r="AK525">
        <v>7</v>
      </c>
      <c r="AL525" t="s">
        <v>123</v>
      </c>
      <c r="AM525" t="s">
        <v>124</v>
      </c>
      <c r="AN525" t="s">
        <v>125</v>
      </c>
      <c r="AO525" t="s">
        <v>1609</v>
      </c>
      <c r="AP525" t="s">
        <v>1610</v>
      </c>
      <c r="AQ525" t="s">
        <v>74</v>
      </c>
      <c r="AR525" t="s">
        <v>1611</v>
      </c>
      <c r="AS525" t="s">
        <v>1612</v>
      </c>
      <c r="AT525" t="s">
        <v>10505</v>
      </c>
      <c r="AU525">
        <v>2018</v>
      </c>
      <c r="AV525">
        <v>50</v>
      </c>
      <c r="AW525">
        <v>1</v>
      </c>
      <c r="AX525" t="s">
        <v>74</v>
      </c>
      <c r="AY525" t="s">
        <v>74</v>
      </c>
      <c r="AZ525" t="s">
        <v>74</v>
      </c>
      <c r="BA525" t="s">
        <v>74</v>
      </c>
      <c r="BB525" t="s">
        <v>74</v>
      </c>
      <c r="BC525" t="s">
        <v>74</v>
      </c>
      <c r="BD525" t="s">
        <v>10522</v>
      </c>
      <c r="BE525" t="s">
        <v>10523</v>
      </c>
      <c r="BF525" t="str">
        <f>HYPERLINK("http://dx.doi.org/10.1080/15230430.2017.1415854","http://dx.doi.org/10.1080/15230430.2017.1415854")</f>
        <v>http://dx.doi.org/10.1080/15230430.2017.1415854</v>
      </c>
      <c r="BG525" t="s">
        <v>74</v>
      </c>
      <c r="BH525" t="s">
        <v>74</v>
      </c>
      <c r="BI525">
        <v>15</v>
      </c>
      <c r="BJ525" t="s">
        <v>1616</v>
      </c>
      <c r="BK525" t="s">
        <v>101</v>
      </c>
      <c r="BL525" t="s">
        <v>1617</v>
      </c>
      <c r="BM525" t="s">
        <v>10524</v>
      </c>
      <c r="BN525" t="s">
        <v>74</v>
      </c>
      <c r="BO525" t="s">
        <v>764</v>
      </c>
      <c r="BP525" t="s">
        <v>74</v>
      </c>
      <c r="BQ525" t="s">
        <v>74</v>
      </c>
      <c r="BR525" t="s">
        <v>105</v>
      </c>
      <c r="BS525" t="s">
        <v>10525</v>
      </c>
      <c r="BT525" t="str">
        <f>HYPERLINK("https%3A%2F%2Fwww.webofscience.com%2Fwos%2Fwoscc%2Ffull-record%2FWOS:000438745100001","View Full Record in Web of Science")</f>
        <v>View Full Record in Web of Science</v>
      </c>
    </row>
    <row r="526" spans="1:72" x14ac:dyDescent="0.15">
      <c r="A526" t="s">
        <v>72</v>
      </c>
      <c r="B526" t="s">
        <v>10526</v>
      </c>
      <c r="C526" t="s">
        <v>74</v>
      </c>
      <c r="D526" t="s">
        <v>74</v>
      </c>
      <c r="E526" t="s">
        <v>74</v>
      </c>
      <c r="F526" t="s">
        <v>10527</v>
      </c>
      <c r="G526" t="s">
        <v>74</v>
      </c>
      <c r="H526" t="s">
        <v>74</v>
      </c>
      <c r="I526" t="s">
        <v>10528</v>
      </c>
      <c r="J526" t="s">
        <v>1598</v>
      </c>
      <c r="K526" t="s">
        <v>74</v>
      </c>
      <c r="L526" t="s">
        <v>74</v>
      </c>
      <c r="M526" t="s">
        <v>78</v>
      </c>
      <c r="N526" t="s">
        <v>79</v>
      </c>
      <c r="O526" t="s">
        <v>74</v>
      </c>
      <c r="P526" t="s">
        <v>74</v>
      </c>
      <c r="Q526" t="s">
        <v>74</v>
      </c>
      <c r="R526" t="s">
        <v>74</v>
      </c>
      <c r="S526" t="s">
        <v>74</v>
      </c>
      <c r="T526" t="s">
        <v>10529</v>
      </c>
      <c r="U526" t="s">
        <v>10530</v>
      </c>
      <c r="V526" t="s">
        <v>10531</v>
      </c>
      <c r="W526" t="s">
        <v>10532</v>
      </c>
      <c r="X526" t="s">
        <v>10533</v>
      </c>
      <c r="Y526" t="s">
        <v>10534</v>
      </c>
      <c r="Z526" t="s">
        <v>10535</v>
      </c>
      <c r="AA526" t="s">
        <v>10536</v>
      </c>
      <c r="AB526" t="s">
        <v>10537</v>
      </c>
      <c r="AC526" t="s">
        <v>74</v>
      </c>
      <c r="AD526" t="s">
        <v>74</v>
      </c>
      <c r="AE526" t="s">
        <v>74</v>
      </c>
      <c r="AF526" t="s">
        <v>74</v>
      </c>
      <c r="AG526">
        <v>92</v>
      </c>
      <c r="AH526">
        <v>8</v>
      </c>
      <c r="AI526">
        <v>9</v>
      </c>
      <c r="AJ526">
        <v>0</v>
      </c>
      <c r="AK526">
        <v>15</v>
      </c>
      <c r="AL526" t="s">
        <v>123</v>
      </c>
      <c r="AM526" t="s">
        <v>124</v>
      </c>
      <c r="AN526" t="s">
        <v>125</v>
      </c>
      <c r="AO526" t="s">
        <v>1609</v>
      </c>
      <c r="AP526" t="s">
        <v>1610</v>
      </c>
      <c r="AQ526" t="s">
        <v>74</v>
      </c>
      <c r="AR526" t="s">
        <v>1611</v>
      </c>
      <c r="AS526" t="s">
        <v>1612</v>
      </c>
      <c r="AT526" t="s">
        <v>10505</v>
      </c>
      <c r="AU526">
        <v>2018</v>
      </c>
      <c r="AV526">
        <v>50</v>
      </c>
      <c r="AW526">
        <v>1</v>
      </c>
      <c r="AX526" t="s">
        <v>74</v>
      </c>
      <c r="AY526" t="s">
        <v>74</v>
      </c>
      <c r="AZ526" t="s">
        <v>74</v>
      </c>
      <c r="BA526" t="s">
        <v>74</v>
      </c>
      <c r="BB526" t="s">
        <v>74</v>
      </c>
      <c r="BC526" t="s">
        <v>74</v>
      </c>
      <c r="BD526" t="s">
        <v>10538</v>
      </c>
      <c r="BE526" t="s">
        <v>10539</v>
      </c>
      <c r="BF526" t="str">
        <f>HYPERLINK("http://dx.doi.org/10.1080/15230430.2017.1415856","http://dx.doi.org/10.1080/15230430.2017.1415856")</f>
        <v>http://dx.doi.org/10.1080/15230430.2017.1415856</v>
      </c>
      <c r="BG526" t="s">
        <v>74</v>
      </c>
      <c r="BH526" t="s">
        <v>74</v>
      </c>
      <c r="BI526">
        <v>21</v>
      </c>
      <c r="BJ526" t="s">
        <v>1616</v>
      </c>
      <c r="BK526" t="s">
        <v>101</v>
      </c>
      <c r="BL526" t="s">
        <v>1617</v>
      </c>
      <c r="BM526" t="s">
        <v>10540</v>
      </c>
      <c r="BN526" t="s">
        <v>74</v>
      </c>
      <c r="BO526" t="s">
        <v>764</v>
      </c>
      <c r="BP526" t="s">
        <v>74</v>
      </c>
      <c r="BQ526" t="s">
        <v>74</v>
      </c>
      <c r="BR526" t="s">
        <v>105</v>
      </c>
      <c r="BS526" t="s">
        <v>10541</v>
      </c>
      <c r="BT526" t="str">
        <f>HYPERLINK("https%3A%2F%2Fwww.webofscience.com%2Fwos%2Fwoscc%2Ffull-record%2FWOS:000438744400001","View Full Record in Web of Science")</f>
        <v>View Full Record in Web of Science</v>
      </c>
    </row>
    <row r="527" spans="1:72" x14ac:dyDescent="0.15">
      <c r="A527" t="s">
        <v>72</v>
      </c>
      <c r="B527" t="s">
        <v>10542</v>
      </c>
      <c r="C527" t="s">
        <v>74</v>
      </c>
      <c r="D527" t="s">
        <v>74</v>
      </c>
      <c r="E527" t="s">
        <v>74</v>
      </c>
      <c r="F527" t="s">
        <v>10543</v>
      </c>
      <c r="G527" t="s">
        <v>74</v>
      </c>
      <c r="H527" t="s">
        <v>74</v>
      </c>
      <c r="I527" t="s">
        <v>10544</v>
      </c>
      <c r="J527" t="s">
        <v>1576</v>
      </c>
      <c r="K527" t="s">
        <v>74</v>
      </c>
      <c r="L527" t="s">
        <v>74</v>
      </c>
      <c r="M527" t="s">
        <v>78</v>
      </c>
      <c r="N527" t="s">
        <v>79</v>
      </c>
      <c r="O527" t="s">
        <v>74</v>
      </c>
      <c r="P527" t="s">
        <v>74</v>
      </c>
      <c r="Q527" t="s">
        <v>74</v>
      </c>
      <c r="R527" t="s">
        <v>74</v>
      </c>
      <c r="S527" t="s">
        <v>74</v>
      </c>
      <c r="T527" t="s">
        <v>74</v>
      </c>
      <c r="U527" t="s">
        <v>10545</v>
      </c>
      <c r="V527" t="s">
        <v>10546</v>
      </c>
      <c r="W527" t="s">
        <v>10547</v>
      </c>
      <c r="X527" t="s">
        <v>10548</v>
      </c>
      <c r="Y527" t="s">
        <v>10549</v>
      </c>
      <c r="Z527" t="s">
        <v>10550</v>
      </c>
      <c r="AA527" t="s">
        <v>10551</v>
      </c>
      <c r="AB527" t="s">
        <v>10552</v>
      </c>
      <c r="AC527" t="s">
        <v>10553</v>
      </c>
      <c r="AD527" t="s">
        <v>10554</v>
      </c>
      <c r="AE527" t="s">
        <v>10555</v>
      </c>
      <c r="AF527" t="s">
        <v>74</v>
      </c>
      <c r="AG527">
        <v>75</v>
      </c>
      <c r="AH527">
        <v>12</v>
      </c>
      <c r="AI527">
        <v>12</v>
      </c>
      <c r="AJ527">
        <v>0</v>
      </c>
      <c r="AK527">
        <v>24</v>
      </c>
      <c r="AL527" t="s">
        <v>1563</v>
      </c>
      <c r="AM527" t="s">
        <v>1564</v>
      </c>
      <c r="AN527" t="s">
        <v>1565</v>
      </c>
      <c r="AO527" t="s">
        <v>1588</v>
      </c>
      <c r="AP527" t="s">
        <v>1589</v>
      </c>
      <c r="AQ527" t="s">
        <v>74</v>
      </c>
      <c r="AR527" t="s">
        <v>1576</v>
      </c>
      <c r="AS527" t="s">
        <v>1590</v>
      </c>
      <c r="AT527" t="s">
        <v>10505</v>
      </c>
      <c r="AU527">
        <v>2018</v>
      </c>
      <c r="AV527">
        <v>12</v>
      </c>
      <c r="AW527">
        <v>3</v>
      </c>
      <c r="AX527" t="s">
        <v>74</v>
      </c>
      <c r="AY527" t="s">
        <v>74</v>
      </c>
      <c r="AZ527" t="s">
        <v>74</v>
      </c>
      <c r="BA527" t="s">
        <v>74</v>
      </c>
      <c r="BB527">
        <v>1069</v>
      </c>
      <c r="BC527">
        <v>1090</v>
      </c>
      <c r="BD527" t="s">
        <v>74</v>
      </c>
      <c r="BE527" t="s">
        <v>10556</v>
      </c>
      <c r="BF527" t="str">
        <f>HYPERLINK("http://dx.doi.org/10.5194/tc-12-1069-2018","http://dx.doi.org/10.5194/tc-12-1069-2018")</f>
        <v>http://dx.doi.org/10.5194/tc-12-1069-2018</v>
      </c>
      <c r="BG527" t="s">
        <v>74</v>
      </c>
      <c r="BH527" t="s">
        <v>74</v>
      </c>
      <c r="BI527">
        <v>22</v>
      </c>
      <c r="BJ527" t="s">
        <v>338</v>
      </c>
      <c r="BK527" t="s">
        <v>101</v>
      </c>
      <c r="BL527" t="s">
        <v>339</v>
      </c>
      <c r="BM527" t="s">
        <v>10557</v>
      </c>
      <c r="BN527" t="s">
        <v>74</v>
      </c>
      <c r="BO527" t="s">
        <v>830</v>
      </c>
      <c r="BP527" t="s">
        <v>74</v>
      </c>
      <c r="BQ527" t="s">
        <v>74</v>
      </c>
      <c r="BR527" t="s">
        <v>105</v>
      </c>
      <c r="BS527" t="s">
        <v>10558</v>
      </c>
      <c r="BT527" t="str">
        <f>HYPERLINK("https%3A%2F%2Fwww.webofscience.com%2Fwos%2Fwoscc%2Ffull-record%2FWOS:000428433800001","View Full Record in Web of Science")</f>
        <v>View Full Record in Web of Science</v>
      </c>
    </row>
    <row r="528" spans="1:72" x14ac:dyDescent="0.15">
      <c r="A528" t="s">
        <v>72</v>
      </c>
      <c r="B528" t="s">
        <v>10559</v>
      </c>
      <c r="C528" t="s">
        <v>74</v>
      </c>
      <c r="D528" t="s">
        <v>74</v>
      </c>
      <c r="E528" t="s">
        <v>74</v>
      </c>
      <c r="F528" t="s">
        <v>10560</v>
      </c>
      <c r="G528" t="s">
        <v>74</v>
      </c>
      <c r="H528" t="s">
        <v>74</v>
      </c>
      <c r="I528" t="s">
        <v>10561</v>
      </c>
      <c r="J528" t="s">
        <v>6071</v>
      </c>
      <c r="K528" t="s">
        <v>74</v>
      </c>
      <c r="L528" t="s">
        <v>74</v>
      </c>
      <c r="M528" t="s">
        <v>78</v>
      </c>
      <c r="N528" t="s">
        <v>79</v>
      </c>
      <c r="O528" t="s">
        <v>74</v>
      </c>
      <c r="P528" t="s">
        <v>74</v>
      </c>
      <c r="Q528" t="s">
        <v>74</v>
      </c>
      <c r="R528" t="s">
        <v>74</v>
      </c>
      <c r="S528" t="s">
        <v>74</v>
      </c>
      <c r="T528" t="s">
        <v>10562</v>
      </c>
      <c r="U528" t="s">
        <v>10563</v>
      </c>
      <c r="V528" t="s">
        <v>10564</v>
      </c>
      <c r="W528" t="s">
        <v>10565</v>
      </c>
      <c r="X528" t="s">
        <v>10566</v>
      </c>
      <c r="Y528" t="s">
        <v>10567</v>
      </c>
      <c r="Z528" t="s">
        <v>10568</v>
      </c>
      <c r="AA528" t="s">
        <v>10569</v>
      </c>
      <c r="AB528" t="s">
        <v>10570</v>
      </c>
      <c r="AC528" t="s">
        <v>10571</v>
      </c>
      <c r="AD528" t="s">
        <v>10572</v>
      </c>
      <c r="AE528" t="s">
        <v>10573</v>
      </c>
      <c r="AF528" t="s">
        <v>74</v>
      </c>
      <c r="AG528">
        <v>35</v>
      </c>
      <c r="AH528">
        <v>24</v>
      </c>
      <c r="AI528">
        <v>25</v>
      </c>
      <c r="AJ528">
        <v>0</v>
      </c>
      <c r="AK528">
        <v>15</v>
      </c>
      <c r="AL528" t="s">
        <v>372</v>
      </c>
      <c r="AM528" t="s">
        <v>92</v>
      </c>
      <c r="AN528" t="s">
        <v>373</v>
      </c>
      <c r="AO528" t="s">
        <v>6084</v>
      </c>
      <c r="AP528" t="s">
        <v>6085</v>
      </c>
      <c r="AQ528" t="s">
        <v>74</v>
      </c>
      <c r="AR528" t="s">
        <v>6086</v>
      </c>
      <c r="AS528" t="s">
        <v>6087</v>
      </c>
      <c r="AT528" t="s">
        <v>10574</v>
      </c>
      <c r="AU528">
        <v>2018</v>
      </c>
      <c r="AV528">
        <v>839</v>
      </c>
      <c r="AW528" t="s">
        <v>74</v>
      </c>
      <c r="AX528" t="s">
        <v>74</v>
      </c>
      <c r="AY528" t="s">
        <v>74</v>
      </c>
      <c r="AZ528" t="s">
        <v>74</v>
      </c>
      <c r="BA528" t="s">
        <v>74</v>
      </c>
      <c r="BB528">
        <v>293</v>
      </c>
      <c r="BC528">
        <v>312</v>
      </c>
      <c r="BD528" t="s">
        <v>74</v>
      </c>
      <c r="BE528" t="s">
        <v>10575</v>
      </c>
      <c r="BF528" t="str">
        <f>HYPERLINK("http://dx.doi.org/10.1017/jfm.2017.857","http://dx.doi.org/10.1017/jfm.2017.857")</f>
        <v>http://dx.doi.org/10.1017/jfm.2017.857</v>
      </c>
      <c r="BG528" t="s">
        <v>74</v>
      </c>
      <c r="BH528" t="s">
        <v>74</v>
      </c>
      <c r="BI528">
        <v>20</v>
      </c>
      <c r="BJ528" t="s">
        <v>6089</v>
      </c>
      <c r="BK528" t="s">
        <v>101</v>
      </c>
      <c r="BL528" t="s">
        <v>6090</v>
      </c>
      <c r="BM528" t="s">
        <v>10576</v>
      </c>
      <c r="BN528" t="s">
        <v>74</v>
      </c>
      <c r="BO528" t="s">
        <v>74</v>
      </c>
      <c r="BP528" t="s">
        <v>74</v>
      </c>
      <c r="BQ528" t="s">
        <v>74</v>
      </c>
      <c r="BR528" t="s">
        <v>105</v>
      </c>
      <c r="BS528" t="s">
        <v>10577</v>
      </c>
      <c r="BT528" t="str">
        <f>HYPERLINK("https%3A%2F%2Fwww.webofscience.com%2Fwos%2Fwoscc%2Ffull-record%2FWOS:000423552400001","View Full Record in Web of Science")</f>
        <v>View Full Record in Web of Science</v>
      </c>
    </row>
    <row r="529" spans="1:72" x14ac:dyDescent="0.15">
      <c r="A529" t="s">
        <v>72</v>
      </c>
      <c r="B529" t="s">
        <v>10578</v>
      </c>
      <c r="C529" t="s">
        <v>74</v>
      </c>
      <c r="D529" t="s">
        <v>74</v>
      </c>
      <c r="E529" t="s">
        <v>74</v>
      </c>
      <c r="F529" t="s">
        <v>10579</v>
      </c>
      <c r="G529" t="s">
        <v>74</v>
      </c>
      <c r="H529" t="s">
        <v>74</v>
      </c>
      <c r="I529" t="s">
        <v>10580</v>
      </c>
      <c r="J529" t="s">
        <v>1576</v>
      </c>
      <c r="K529" t="s">
        <v>74</v>
      </c>
      <c r="L529" t="s">
        <v>74</v>
      </c>
      <c r="M529" t="s">
        <v>78</v>
      </c>
      <c r="N529" t="s">
        <v>79</v>
      </c>
      <c r="O529" t="s">
        <v>74</v>
      </c>
      <c r="P529" t="s">
        <v>74</v>
      </c>
      <c r="Q529" t="s">
        <v>74</v>
      </c>
      <c r="R529" t="s">
        <v>74</v>
      </c>
      <c r="S529" t="s">
        <v>74</v>
      </c>
      <c r="T529" t="s">
        <v>74</v>
      </c>
      <c r="U529" t="s">
        <v>10581</v>
      </c>
      <c r="V529" t="s">
        <v>10582</v>
      </c>
      <c r="W529" t="s">
        <v>10583</v>
      </c>
      <c r="X529" t="s">
        <v>10584</v>
      </c>
      <c r="Y529" t="s">
        <v>10585</v>
      </c>
      <c r="Z529" t="s">
        <v>10586</v>
      </c>
      <c r="AA529" t="s">
        <v>10587</v>
      </c>
      <c r="AB529" t="s">
        <v>10588</v>
      </c>
      <c r="AC529" t="s">
        <v>10589</v>
      </c>
      <c r="AD529" t="s">
        <v>10590</v>
      </c>
      <c r="AE529" t="s">
        <v>10591</v>
      </c>
      <c r="AF529" t="s">
        <v>74</v>
      </c>
      <c r="AG529">
        <v>78</v>
      </c>
      <c r="AH529">
        <v>17</v>
      </c>
      <c r="AI529">
        <v>18</v>
      </c>
      <c r="AJ529">
        <v>0</v>
      </c>
      <c r="AK529">
        <v>8</v>
      </c>
      <c r="AL529" t="s">
        <v>1563</v>
      </c>
      <c r="AM529" t="s">
        <v>1564</v>
      </c>
      <c r="AN529" t="s">
        <v>1565</v>
      </c>
      <c r="AO529" t="s">
        <v>1588</v>
      </c>
      <c r="AP529" t="s">
        <v>1589</v>
      </c>
      <c r="AQ529" t="s">
        <v>74</v>
      </c>
      <c r="AR529" t="s">
        <v>1576</v>
      </c>
      <c r="AS529" t="s">
        <v>1590</v>
      </c>
      <c r="AT529" t="s">
        <v>10592</v>
      </c>
      <c r="AU529">
        <v>2018</v>
      </c>
      <c r="AV529">
        <v>12</v>
      </c>
      <c r="AW529">
        <v>3</v>
      </c>
      <c r="AX529" t="s">
        <v>74</v>
      </c>
      <c r="AY529" t="s">
        <v>74</v>
      </c>
      <c r="AZ529" t="s">
        <v>74</v>
      </c>
      <c r="BA529" t="s">
        <v>74</v>
      </c>
      <c r="BB529">
        <v>1047</v>
      </c>
      <c r="BC529">
        <v>1067</v>
      </c>
      <c r="BD529" t="s">
        <v>74</v>
      </c>
      <c r="BE529" t="s">
        <v>10593</v>
      </c>
      <c r="BF529" t="str">
        <f>HYPERLINK("http://dx.doi.org/10.5194/tc-12-1047-2018","http://dx.doi.org/10.5194/tc-12-1047-2018")</f>
        <v>http://dx.doi.org/10.5194/tc-12-1047-2018</v>
      </c>
      <c r="BG529" t="s">
        <v>74</v>
      </c>
      <c r="BH529" t="s">
        <v>74</v>
      </c>
      <c r="BI529">
        <v>21</v>
      </c>
      <c r="BJ529" t="s">
        <v>338</v>
      </c>
      <c r="BK529" t="s">
        <v>101</v>
      </c>
      <c r="BL529" t="s">
        <v>339</v>
      </c>
      <c r="BM529" t="s">
        <v>10594</v>
      </c>
      <c r="BN529" t="s">
        <v>74</v>
      </c>
      <c r="BO529" t="s">
        <v>2339</v>
      </c>
      <c r="BP529" t="s">
        <v>74</v>
      </c>
      <c r="BQ529" t="s">
        <v>74</v>
      </c>
      <c r="BR529" t="s">
        <v>105</v>
      </c>
      <c r="BS529" t="s">
        <v>10595</v>
      </c>
      <c r="BT529" t="str">
        <f>HYPERLINK("https%3A%2F%2Fwww.webofscience.com%2Fwos%2Fwoscc%2Ffull-record%2FWOS:000437971400001","View Full Record in Web of Science")</f>
        <v>View Full Record in Web of Science</v>
      </c>
    </row>
    <row r="530" spans="1:72" x14ac:dyDescent="0.15">
      <c r="A530" t="s">
        <v>72</v>
      </c>
      <c r="B530" t="s">
        <v>10596</v>
      </c>
      <c r="C530" t="s">
        <v>74</v>
      </c>
      <c r="D530" t="s">
        <v>74</v>
      </c>
      <c r="E530" t="s">
        <v>74</v>
      </c>
      <c r="F530" t="s">
        <v>10597</v>
      </c>
      <c r="G530" t="s">
        <v>74</v>
      </c>
      <c r="H530" t="s">
        <v>74</v>
      </c>
      <c r="I530" t="s">
        <v>10598</v>
      </c>
      <c r="J530" t="s">
        <v>2298</v>
      </c>
      <c r="K530" t="s">
        <v>74</v>
      </c>
      <c r="L530" t="s">
        <v>74</v>
      </c>
      <c r="M530" t="s">
        <v>78</v>
      </c>
      <c r="N530" t="s">
        <v>79</v>
      </c>
      <c r="O530" t="s">
        <v>74</v>
      </c>
      <c r="P530" t="s">
        <v>74</v>
      </c>
      <c r="Q530" t="s">
        <v>74</v>
      </c>
      <c r="R530" t="s">
        <v>74</v>
      </c>
      <c r="S530" t="s">
        <v>74</v>
      </c>
      <c r="T530" t="s">
        <v>74</v>
      </c>
      <c r="U530" t="s">
        <v>10599</v>
      </c>
      <c r="V530" t="s">
        <v>10600</v>
      </c>
      <c r="W530" t="s">
        <v>10601</v>
      </c>
      <c r="X530" t="s">
        <v>10602</v>
      </c>
      <c r="Y530" t="s">
        <v>10603</v>
      </c>
      <c r="Z530" t="s">
        <v>10604</v>
      </c>
      <c r="AA530" t="s">
        <v>10605</v>
      </c>
      <c r="AB530" t="s">
        <v>10606</v>
      </c>
      <c r="AC530" t="s">
        <v>10607</v>
      </c>
      <c r="AD530" t="s">
        <v>10608</v>
      </c>
      <c r="AE530" t="s">
        <v>10609</v>
      </c>
      <c r="AF530" t="s">
        <v>74</v>
      </c>
      <c r="AG530">
        <v>64</v>
      </c>
      <c r="AH530">
        <v>30</v>
      </c>
      <c r="AI530">
        <v>30</v>
      </c>
      <c r="AJ530">
        <v>1</v>
      </c>
      <c r="AK530">
        <v>21</v>
      </c>
      <c r="AL530" t="s">
        <v>2310</v>
      </c>
      <c r="AM530" t="s">
        <v>2311</v>
      </c>
      <c r="AN530" t="s">
        <v>2312</v>
      </c>
      <c r="AO530" t="s">
        <v>2313</v>
      </c>
      <c r="AP530" t="s">
        <v>74</v>
      </c>
      <c r="AQ530" t="s">
        <v>74</v>
      </c>
      <c r="AR530" t="s">
        <v>2298</v>
      </c>
      <c r="AS530" t="s">
        <v>2314</v>
      </c>
      <c r="AT530" t="s">
        <v>10592</v>
      </c>
      <c r="AU530">
        <v>2018</v>
      </c>
      <c r="AV530">
        <v>13</v>
      </c>
      <c r="AW530">
        <v>3</v>
      </c>
      <c r="AX530" t="s">
        <v>74</v>
      </c>
      <c r="AY530" t="s">
        <v>74</v>
      </c>
      <c r="AZ530" t="s">
        <v>74</v>
      </c>
      <c r="BA530" t="s">
        <v>74</v>
      </c>
      <c r="BB530" t="s">
        <v>74</v>
      </c>
      <c r="BC530" t="s">
        <v>74</v>
      </c>
      <c r="BD530" t="s">
        <v>10610</v>
      </c>
      <c r="BE530" t="s">
        <v>10611</v>
      </c>
      <c r="BF530" t="str">
        <f>HYPERLINK("http://dx.doi.org/10.1371/journal.pone.0194796","http://dx.doi.org/10.1371/journal.pone.0194796")</f>
        <v>http://dx.doi.org/10.1371/journal.pone.0194796</v>
      </c>
      <c r="BG530" t="s">
        <v>74</v>
      </c>
      <c r="BH530" t="s">
        <v>74</v>
      </c>
      <c r="BI530">
        <v>17</v>
      </c>
      <c r="BJ530" t="s">
        <v>1670</v>
      </c>
      <c r="BK530" t="s">
        <v>101</v>
      </c>
      <c r="BL530" t="s">
        <v>1671</v>
      </c>
      <c r="BM530" t="s">
        <v>10612</v>
      </c>
      <c r="BN530">
        <v>29570741</v>
      </c>
      <c r="BO530" t="s">
        <v>672</v>
      </c>
      <c r="BP530" t="s">
        <v>74</v>
      </c>
      <c r="BQ530" t="s">
        <v>74</v>
      </c>
      <c r="BR530" t="s">
        <v>105</v>
      </c>
      <c r="BS530" t="s">
        <v>10613</v>
      </c>
      <c r="BT530" t="str">
        <f>HYPERLINK("https%3A%2F%2Fwww.webofscience.com%2Fwos%2Fwoscc%2Ffull-record%2FWOS:000428168400032","View Full Record in Web of Science")</f>
        <v>View Full Record in Web of Science</v>
      </c>
    </row>
    <row r="531" spans="1:72" x14ac:dyDescent="0.15">
      <c r="A531" t="s">
        <v>72</v>
      </c>
      <c r="B531" t="s">
        <v>10614</v>
      </c>
      <c r="C531" t="s">
        <v>74</v>
      </c>
      <c r="D531" t="s">
        <v>74</v>
      </c>
      <c r="E531" t="s">
        <v>74</v>
      </c>
      <c r="F531" t="s">
        <v>10615</v>
      </c>
      <c r="G531" t="s">
        <v>74</v>
      </c>
      <c r="H531" t="s">
        <v>74</v>
      </c>
      <c r="I531" t="s">
        <v>10616</v>
      </c>
      <c r="J531" t="s">
        <v>2322</v>
      </c>
      <c r="K531" t="s">
        <v>74</v>
      </c>
      <c r="L531" t="s">
        <v>74</v>
      </c>
      <c r="M531" t="s">
        <v>78</v>
      </c>
      <c r="N531" t="s">
        <v>79</v>
      </c>
      <c r="O531" t="s">
        <v>74</v>
      </c>
      <c r="P531" t="s">
        <v>74</v>
      </c>
      <c r="Q531" t="s">
        <v>74</v>
      </c>
      <c r="R531" t="s">
        <v>74</v>
      </c>
      <c r="S531" t="s">
        <v>74</v>
      </c>
      <c r="T531" t="s">
        <v>74</v>
      </c>
      <c r="U531" t="s">
        <v>10617</v>
      </c>
      <c r="V531" t="s">
        <v>10618</v>
      </c>
      <c r="W531" t="s">
        <v>10619</v>
      </c>
      <c r="X531" t="s">
        <v>10620</v>
      </c>
      <c r="Y531" t="s">
        <v>10621</v>
      </c>
      <c r="Z531" t="s">
        <v>10622</v>
      </c>
      <c r="AA531" t="s">
        <v>10623</v>
      </c>
      <c r="AB531" t="s">
        <v>10624</v>
      </c>
      <c r="AC531" t="s">
        <v>10625</v>
      </c>
      <c r="AD531" t="s">
        <v>10625</v>
      </c>
      <c r="AE531" t="s">
        <v>10626</v>
      </c>
      <c r="AF531" t="s">
        <v>74</v>
      </c>
      <c r="AG531">
        <v>55</v>
      </c>
      <c r="AH531">
        <v>6</v>
      </c>
      <c r="AI531">
        <v>6</v>
      </c>
      <c r="AJ531">
        <v>3</v>
      </c>
      <c r="AK531">
        <v>31</v>
      </c>
      <c r="AL531" t="s">
        <v>1563</v>
      </c>
      <c r="AM531" t="s">
        <v>1564</v>
      </c>
      <c r="AN531" t="s">
        <v>1565</v>
      </c>
      <c r="AO531" t="s">
        <v>2334</v>
      </c>
      <c r="AP531" t="s">
        <v>2335</v>
      </c>
      <c r="AQ531" t="s">
        <v>74</v>
      </c>
      <c r="AR531" t="s">
        <v>2322</v>
      </c>
      <c r="AS531" t="s">
        <v>2336</v>
      </c>
      <c r="AT531" t="s">
        <v>10627</v>
      </c>
      <c r="AU531">
        <v>2018</v>
      </c>
      <c r="AV531">
        <v>15</v>
      </c>
      <c r="AW531">
        <v>6</v>
      </c>
      <c r="AX531" t="s">
        <v>74</v>
      </c>
      <c r="AY531" t="s">
        <v>74</v>
      </c>
      <c r="AZ531" t="s">
        <v>74</v>
      </c>
      <c r="BA531" t="s">
        <v>74</v>
      </c>
      <c r="BB531">
        <v>1721</v>
      </c>
      <c r="BC531">
        <v>1732</v>
      </c>
      <c r="BD531" t="s">
        <v>74</v>
      </c>
      <c r="BE531" t="s">
        <v>10628</v>
      </c>
      <c r="BF531" t="str">
        <f>HYPERLINK("http://dx.doi.org/10.5194/bg-15-1721-2018","http://dx.doi.org/10.5194/bg-15-1721-2018")</f>
        <v>http://dx.doi.org/10.5194/bg-15-1721-2018</v>
      </c>
      <c r="BG531" t="s">
        <v>74</v>
      </c>
      <c r="BH531" t="s">
        <v>74</v>
      </c>
      <c r="BI531">
        <v>12</v>
      </c>
      <c r="BJ531" t="s">
        <v>803</v>
      </c>
      <c r="BK531" t="s">
        <v>101</v>
      </c>
      <c r="BL531" t="s">
        <v>804</v>
      </c>
      <c r="BM531" t="s">
        <v>10629</v>
      </c>
      <c r="BN531" t="s">
        <v>74</v>
      </c>
      <c r="BO531" t="s">
        <v>830</v>
      </c>
      <c r="BP531" t="s">
        <v>74</v>
      </c>
      <c r="BQ531" t="s">
        <v>74</v>
      </c>
      <c r="BR531" t="s">
        <v>105</v>
      </c>
      <c r="BS531" t="s">
        <v>10630</v>
      </c>
      <c r="BT531" t="str">
        <f>HYPERLINK("https%3A%2F%2Fwww.webofscience.com%2Fwos%2Fwoscc%2Ffull-record%2FWOS:000428391600002","View Full Record in Web of Science")</f>
        <v>View Full Record in Web of Science</v>
      </c>
    </row>
    <row r="532" spans="1:72" x14ac:dyDescent="0.15">
      <c r="A532" t="s">
        <v>72</v>
      </c>
      <c r="B532" t="s">
        <v>10631</v>
      </c>
      <c r="C532" t="s">
        <v>74</v>
      </c>
      <c r="D532" t="s">
        <v>74</v>
      </c>
      <c r="E532" t="s">
        <v>74</v>
      </c>
      <c r="F532" t="s">
        <v>10632</v>
      </c>
      <c r="G532" t="s">
        <v>74</v>
      </c>
      <c r="H532" t="s">
        <v>74</v>
      </c>
      <c r="I532" t="s">
        <v>10633</v>
      </c>
      <c r="J532" t="s">
        <v>5917</v>
      </c>
      <c r="K532" t="s">
        <v>74</v>
      </c>
      <c r="L532" t="s">
        <v>74</v>
      </c>
      <c r="M532" t="s">
        <v>78</v>
      </c>
      <c r="N532" t="s">
        <v>79</v>
      </c>
      <c r="O532" t="s">
        <v>74</v>
      </c>
      <c r="P532" t="s">
        <v>74</v>
      </c>
      <c r="Q532" t="s">
        <v>74</v>
      </c>
      <c r="R532" t="s">
        <v>74</v>
      </c>
      <c r="S532" t="s">
        <v>74</v>
      </c>
      <c r="T532" t="s">
        <v>10634</v>
      </c>
      <c r="U532" t="s">
        <v>10635</v>
      </c>
      <c r="V532" t="s">
        <v>10636</v>
      </c>
      <c r="W532" t="s">
        <v>10637</v>
      </c>
      <c r="X532" t="s">
        <v>10638</v>
      </c>
      <c r="Y532" t="s">
        <v>10639</v>
      </c>
      <c r="Z532" t="s">
        <v>10640</v>
      </c>
      <c r="AA532" t="s">
        <v>74</v>
      </c>
      <c r="AB532" t="s">
        <v>74</v>
      </c>
      <c r="AC532" t="s">
        <v>74</v>
      </c>
      <c r="AD532" t="s">
        <v>74</v>
      </c>
      <c r="AE532" t="s">
        <v>74</v>
      </c>
      <c r="AF532" t="s">
        <v>74</v>
      </c>
      <c r="AG532">
        <v>57</v>
      </c>
      <c r="AH532">
        <v>3</v>
      </c>
      <c r="AI532">
        <v>4</v>
      </c>
      <c r="AJ532">
        <v>0</v>
      </c>
      <c r="AK532">
        <v>4</v>
      </c>
      <c r="AL532" t="s">
        <v>2908</v>
      </c>
      <c r="AM532" t="s">
        <v>2909</v>
      </c>
      <c r="AN532" t="s">
        <v>2910</v>
      </c>
      <c r="AO532" t="s">
        <v>5928</v>
      </c>
      <c r="AP532" t="s">
        <v>5929</v>
      </c>
      <c r="AQ532" t="s">
        <v>74</v>
      </c>
      <c r="AR532" t="s">
        <v>5917</v>
      </c>
      <c r="AS532" t="s">
        <v>5930</v>
      </c>
      <c r="AT532" t="s">
        <v>10627</v>
      </c>
      <c r="AU532">
        <v>2018</v>
      </c>
      <c r="AV532">
        <v>4399</v>
      </c>
      <c r="AW532">
        <v>3</v>
      </c>
      <c r="AX532" t="s">
        <v>74</v>
      </c>
      <c r="AY532" t="s">
        <v>74</v>
      </c>
      <c r="AZ532" t="s">
        <v>74</v>
      </c>
      <c r="BA532" t="s">
        <v>74</v>
      </c>
      <c r="BB532">
        <v>301</v>
      </c>
      <c r="BC532">
        <v>314</v>
      </c>
      <c r="BD532" t="s">
        <v>74</v>
      </c>
      <c r="BE532" t="s">
        <v>10641</v>
      </c>
      <c r="BF532" t="str">
        <f>HYPERLINK("http://dx.doi.org/10.11646/zootaxa.4399.3.1","http://dx.doi.org/10.11646/zootaxa.4399.3.1")</f>
        <v>http://dx.doi.org/10.11646/zootaxa.4399.3.1</v>
      </c>
      <c r="BG532" t="s">
        <v>74</v>
      </c>
      <c r="BH532" t="s">
        <v>74</v>
      </c>
      <c r="BI532">
        <v>14</v>
      </c>
      <c r="BJ532" t="s">
        <v>2624</v>
      </c>
      <c r="BK532" t="s">
        <v>101</v>
      </c>
      <c r="BL532" t="s">
        <v>2624</v>
      </c>
      <c r="BM532" t="s">
        <v>10642</v>
      </c>
      <c r="BN532">
        <v>29690314</v>
      </c>
      <c r="BO532" t="s">
        <v>162</v>
      </c>
      <c r="BP532" t="s">
        <v>74</v>
      </c>
      <c r="BQ532" t="s">
        <v>74</v>
      </c>
      <c r="BR532" t="s">
        <v>105</v>
      </c>
      <c r="BS532" t="s">
        <v>10643</v>
      </c>
      <c r="BT532" t="str">
        <f>HYPERLINK("https%3A%2F%2Fwww.webofscience.com%2Fwos%2Fwoscc%2Ffull-record%2FWOS:000428028600001","View Full Record in Web of Science")</f>
        <v>View Full Record in Web of Science</v>
      </c>
    </row>
    <row r="533" spans="1:72" x14ac:dyDescent="0.15">
      <c r="A533" t="s">
        <v>72</v>
      </c>
      <c r="B533" t="s">
        <v>10644</v>
      </c>
      <c r="C533" t="s">
        <v>74</v>
      </c>
      <c r="D533" t="s">
        <v>74</v>
      </c>
      <c r="E533" t="s">
        <v>74</v>
      </c>
      <c r="F533" t="s">
        <v>10645</v>
      </c>
      <c r="G533" t="s">
        <v>74</v>
      </c>
      <c r="H533" t="s">
        <v>74</v>
      </c>
      <c r="I533" t="s">
        <v>10646</v>
      </c>
      <c r="J533" t="s">
        <v>1651</v>
      </c>
      <c r="K533" t="s">
        <v>74</v>
      </c>
      <c r="L533" t="s">
        <v>74</v>
      </c>
      <c r="M533" t="s">
        <v>78</v>
      </c>
      <c r="N533" t="s">
        <v>79</v>
      </c>
      <c r="O533" t="s">
        <v>74</v>
      </c>
      <c r="P533" t="s">
        <v>74</v>
      </c>
      <c r="Q533" t="s">
        <v>74</v>
      </c>
      <c r="R533" t="s">
        <v>74</v>
      </c>
      <c r="S533" t="s">
        <v>74</v>
      </c>
      <c r="T533" t="s">
        <v>74</v>
      </c>
      <c r="U533" t="s">
        <v>10647</v>
      </c>
      <c r="V533" t="s">
        <v>10648</v>
      </c>
      <c r="W533" t="s">
        <v>10649</v>
      </c>
      <c r="X533" t="s">
        <v>10650</v>
      </c>
      <c r="Y533" t="s">
        <v>10651</v>
      </c>
      <c r="Z533" t="s">
        <v>10652</v>
      </c>
      <c r="AA533" t="s">
        <v>74</v>
      </c>
      <c r="AB533" t="s">
        <v>4819</v>
      </c>
      <c r="AC533" t="s">
        <v>10653</v>
      </c>
      <c r="AD533" t="s">
        <v>10654</v>
      </c>
      <c r="AE533" t="s">
        <v>10655</v>
      </c>
      <c r="AF533" t="s">
        <v>74</v>
      </c>
      <c r="AG533">
        <v>55</v>
      </c>
      <c r="AH533">
        <v>15</v>
      </c>
      <c r="AI533">
        <v>18</v>
      </c>
      <c r="AJ533">
        <v>2</v>
      </c>
      <c r="AK533">
        <v>12</v>
      </c>
      <c r="AL533" t="s">
        <v>1663</v>
      </c>
      <c r="AM533" t="s">
        <v>1664</v>
      </c>
      <c r="AN533" t="s">
        <v>1665</v>
      </c>
      <c r="AO533" t="s">
        <v>1666</v>
      </c>
      <c r="AP533" t="s">
        <v>74</v>
      </c>
      <c r="AQ533" t="s">
        <v>74</v>
      </c>
      <c r="AR533" t="s">
        <v>1667</v>
      </c>
      <c r="AS533" t="s">
        <v>1668</v>
      </c>
      <c r="AT533" t="s">
        <v>10627</v>
      </c>
      <c r="AU533">
        <v>2018</v>
      </c>
      <c r="AV533">
        <v>8</v>
      </c>
      <c r="AW533" t="s">
        <v>74</v>
      </c>
      <c r="AX533" t="s">
        <v>74</v>
      </c>
      <c r="AY533" t="s">
        <v>74</v>
      </c>
      <c r="AZ533" t="s">
        <v>74</v>
      </c>
      <c r="BA533" t="s">
        <v>74</v>
      </c>
      <c r="BB533" t="s">
        <v>74</v>
      </c>
      <c r="BC533" t="s">
        <v>74</v>
      </c>
      <c r="BD533">
        <v>5002</v>
      </c>
      <c r="BE533" t="s">
        <v>10656</v>
      </c>
      <c r="BF533" t="str">
        <f>HYPERLINK("http://dx.doi.org/10.1038/s41598-018-23390-7","http://dx.doi.org/10.1038/s41598-018-23390-7")</f>
        <v>http://dx.doi.org/10.1038/s41598-018-23390-7</v>
      </c>
      <c r="BG533" t="s">
        <v>74</v>
      </c>
      <c r="BH533" t="s">
        <v>74</v>
      </c>
      <c r="BI533">
        <v>7</v>
      </c>
      <c r="BJ533" t="s">
        <v>1670</v>
      </c>
      <c r="BK533" t="s">
        <v>101</v>
      </c>
      <c r="BL533" t="s">
        <v>1671</v>
      </c>
      <c r="BM533" t="s">
        <v>10657</v>
      </c>
      <c r="BN533">
        <v>29568040</v>
      </c>
      <c r="BO533" t="s">
        <v>764</v>
      </c>
      <c r="BP533" t="s">
        <v>74</v>
      </c>
      <c r="BQ533" t="s">
        <v>74</v>
      </c>
      <c r="BR533" t="s">
        <v>105</v>
      </c>
      <c r="BS533" t="s">
        <v>10658</v>
      </c>
      <c r="BT533" t="str">
        <f>HYPERLINK("https%3A%2F%2Fwww.webofscience.com%2Fwos%2Fwoscc%2Ffull-record%2FWOS:000428030500004","View Full Record in Web of Science")</f>
        <v>View Full Record in Web of Science</v>
      </c>
    </row>
    <row r="534" spans="1:72" x14ac:dyDescent="0.15">
      <c r="A534" t="s">
        <v>72</v>
      </c>
      <c r="B534" t="s">
        <v>10659</v>
      </c>
      <c r="C534" t="s">
        <v>74</v>
      </c>
      <c r="D534" t="s">
        <v>74</v>
      </c>
      <c r="E534" t="s">
        <v>74</v>
      </c>
      <c r="F534" t="s">
        <v>10660</v>
      </c>
      <c r="G534" t="s">
        <v>74</v>
      </c>
      <c r="H534" t="s">
        <v>74</v>
      </c>
      <c r="I534" t="s">
        <v>10661</v>
      </c>
      <c r="J534" t="s">
        <v>2298</v>
      </c>
      <c r="K534" t="s">
        <v>74</v>
      </c>
      <c r="L534" t="s">
        <v>74</v>
      </c>
      <c r="M534" t="s">
        <v>78</v>
      </c>
      <c r="N534" t="s">
        <v>79</v>
      </c>
      <c r="O534" t="s">
        <v>74</v>
      </c>
      <c r="P534" t="s">
        <v>74</v>
      </c>
      <c r="Q534" t="s">
        <v>74</v>
      </c>
      <c r="R534" t="s">
        <v>74</v>
      </c>
      <c r="S534" t="s">
        <v>74</v>
      </c>
      <c r="T534" t="s">
        <v>74</v>
      </c>
      <c r="U534" t="s">
        <v>10662</v>
      </c>
      <c r="V534" t="s">
        <v>10663</v>
      </c>
      <c r="W534" t="s">
        <v>10664</v>
      </c>
      <c r="X534" t="s">
        <v>10665</v>
      </c>
      <c r="Y534" t="s">
        <v>10666</v>
      </c>
      <c r="Z534" t="s">
        <v>10667</v>
      </c>
      <c r="AA534" t="s">
        <v>74</v>
      </c>
      <c r="AB534" t="s">
        <v>10668</v>
      </c>
      <c r="AC534" t="s">
        <v>10669</v>
      </c>
      <c r="AD534" t="s">
        <v>10670</v>
      </c>
      <c r="AE534" t="s">
        <v>10671</v>
      </c>
      <c r="AF534" t="s">
        <v>74</v>
      </c>
      <c r="AG534">
        <v>61</v>
      </c>
      <c r="AH534">
        <v>5</v>
      </c>
      <c r="AI534">
        <v>6</v>
      </c>
      <c r="AJ534">
        <v>3</v>
      </c>
      <c r="AK534">
        <v>29</v>
      </c>
      <c r="AL534" t="s">
        <v>2310</v>
      </c>
      <c r="AM534" t="s">
        <v>2311</v>
      </c>
      <c r="AN534" t="s">
        <v>2312</v>
      </c>
      <c r="AO534" t="s">
        <v>2313</v>
      </c>
      <c r="AP534" t="s">
        <v>74</v>
      </c>
      <c r="AQ534" t="s">
        <v>74</v>
      </c>
      <c r="AR534" t="s">
        <v>2298</v>
      </c>
      <c r="AS534" t="s">
        <v>2314</v>
      </c>
      <c r="AT534" t="s">
        <v>10672</v>
      </c>
      <c r="AU534">
        <v>2018</v>
      </c>
      <c r="AV534">
        <v>13</v>
      </c>
      <c r="AW534">
        <v>3</v>
      </c>
      <c r="AX534" t="s">
        <v>74</v>
      </c>
      <c r="AY534" t="s">
        <v>74</v>
      </c>
      <c r="AZ534" t="s">
        <v>74</v>
      </c>
      <c r="BA534" t="s">
        <v>74</v>
      </c>
      <c r="BB534" t="s">
        <v>74</v>
      </c>
      <c r="BC534" t="s">
        <v>74</v>
      </c>
      <c r="BD534" t="s">
        <v>10673</v>
      </c>
      <c r="BE534" t="s">
        <v>10674</v>
      </c>
      <c r="BF534" t="str">
        <f>HYPERLINK("http://dx.doi.org/10.1371/journal.pone.0193532","http://dx.doi.org/10.1371/journal.pone.0193532")</f>
        <v>http://dx.doi.org/10.1371/journal.pone.0193532</v>
      </c>
      <c r="BG534" t="s">
        <v>74</v>
      </c>
      <c r="BH534" t="s">
        <v>74</v>
      </c>
      <c r="BI534">
        <v>12</v>
      </c>
      <c r="BJ534" t="s">
        <v>1670</v>
      </c>
      <c r="BK534" t="s">
        <v>101</v>
      </c>
      <c r="BL534" t="s">
        <v>1671</v>
      </c>
      <c r="BM534" t="s">
        <v>10675</v>
      </c>
      <c r="BN534">
        <v>29561876</v>
      </c>
      <c r="BO534" t="s">
        <v>672</v>
      </c>
      <c r="BP534" t="s">
        <v>74</v>
      </c>
      <c r="BQ534" t="s">
        <v>74</v>
      </c>
      <c r="BR534" t="s">
        <v>105</v>
      </c>
      <c r="BS534" t="s">
        <v>10676</v>
      </c>
      <c r="BT534" t="str">
        <f>HYPERLINK("https%3A%2F%2Fwww.webofscience.com%2Fwos%2Fwoscc%2Ffull-record%2FWOS:000427931600021","View Full Record in Web of Science")</f>
        <v>View Full Record in Web of Science</v>
      </c>
    </row>
    <row r="535" spans="1:72" x14ac:dyDescent="0.15">
      <c r="A535" t="s">
        <v>72</v>
      </c>
      <c r="B535" t="s">
        <v>10677</v>
      </c>
      <c r="C535" t="s">
        <v>74</v>
      </c>
      <c r="D535" t="s">
        <v>74</v>
      </c>
      <c r="E535" t="s">
        <v>74</v>
      </c>
      <c r="F535" t="s">
        <v>10678</v>
      </c>
      <c r="G535" t="s">
        <v>74</v>
      </c>
      <c r="H535" t="s">
        <v>74</v>
      </c>
      <c r="I535" t="s">
        <v>10679</v>
      </c>
      <c r="J535" t="s">
        <v>10680</v>
      </c>
      <c r="K535" t="s">
        <v>74</v>
      </c>
      <c r="L535" t="s">
        <v>74</v>
      </c>
      <c r="M535" t="s">
        <v>78</v>
      </c>
      <c r="N535" t="s">
        <v>79</v>
      </c>
      <c r="O535" t="s">
        <v>74</v>
      </c>
      <c r="P535" t="s">
        <v>74</v>
      </c>
      <c r="Q535" t="s">
        <v>74</v>
      </c>
      <c r="R535" t="s">
        <v>74</v>
      </c>
      <c r="S535" t="s">
        <v>74</v>
      </c>
      <c r="T535" t="s">
        <v>74</v>
      </c>
      <c r="U535" t="s">
        <v>10681</v>
      </c>
      <c r="V535" t="s">
        <v>10682</v>
      </c>
      <c r="W535" t="s">
        <v>10683</v>
      </c>
      <c r="X535" t="s">
        <v>10684</v>
      </c>
      <c r="Y535" t="s">
        <v>10685</v>
      </c>
      <c r="Z535" t="s">
        <v>10686</v>
      </c>
      <c r="AA535" t="s">
        <v>10687</v>
      </c>
      <c r="AB535" t="s">
        <v>10688</v>
      </c>
      <c r="AC535" t="s">
        <v>10689</v>
      </c>
      <c r="AD535" t="s">
        <v>10690</v>
      </c>
      <c r="AE535" t="s">
        <v>10691</v>
      </c>
      <c r="AF535" t="s">
        <v>74</v>
      </c>
      <c r="AG535">
        <v>36</v>
      </c>
      <c r="AH535">
        <v>4</v>
      </c>
      <c r="AI535">
        <v>4</v>
      </c>
      <c r="AJ535">
        <v>0</v>
      </c>
      <c r="AK535">
        <v>4</v>
      </c>
      <c r="AL535" t="s">
        <v>1563</v>
      </c>
      <c r="AM535" t="s">
        <v>1564</v>
      </c>
      <c r="AN535" t="s">
        <v>1565</v>
      </c>
      <c r="AO535" t="s">
        <v>10692</v>
      </c>
      <c r="AP535" t="s">
        <v>10693</v>
      </c>
      <c r="AQ535" t="s">
        <v>74</v>
      </c>
      <c r="AR535" t="s">
        <v>10694</v>
      </c>
      <c r="AS535" t="s">
        <v>10695</v>
      </c>
      <c r="AT535" t="s">
        <v>10696</v>
      </c>
      <c r="AU535">
        <v>2018</v>
      </c>
      <c r="AV535">
        <v>7</v>
      </c>
      <c r="AW535">
        <v>1</v>
      </c>
      <c r="AX535" t="s">
        <v>74</v>
      </c>
      <c r="AY535" t="s">
        <v>74</v>
      </c>
      <c r="AZ535" t="s">
        <v>74</v>
      </c>
      <c r="BA535" t="s">
        <v>74</v>
      </c>
      <c r="BB535">
        <v>113</v>
      </c>
      <c r="BC535">
        <v>122</v>
      </c>
      <c r="BD535" t="s">
        <v>74</v>
      </c>
      <c r="BE535" t="s">
        <v>10697</v>
      </c>
      <c r="BF535" t="str">
        <f>HYPERLINK("http://dx.doi.org/10.5194/gi-7-113-2018","http://dx.doi.org/10.5194/gi-7-113-2018")</f>
        <v>http://dx.doi.org/10.5194/gi-7-113-2018</v>
      </c>
      <c r="BG535" t="s">
        <v>74</v>
      </c>
      <c r="BH535" t="s">
        <v>74</v>
      </c>
      <c r="BI535">
        <v>10</v>
      </c>
      <c r="BJ535" t="s">
        <v>6986</v>
      </c>
      <c r="BK535" t="s">
        <v>101</v>
      </c>
      <c r="BL535" t="s">
        <v>6987</v>
      </c>
      <c r="BM535" t="s">
        <v>10698</v>
      </c>
      <c r="BN535" t="s">
        <v>74</v>
      </c>
      <c r="BO535" t="s">
        <v>2695</v>
      </c>
      <c r="BP535" t="s">
        <v>74</v>
      </c>
      <c r="BQ535" t="s">
        <v>74</v>
      </c>
      <c r="BR535" t="s">
        <v>105</v>
      </c>
      <c r="BS535" t="s">
        <v>10699</v>
      </c>
      <c r="BT535" t="str">
        <f>HYPERLINK("https%3A%2F%2Fwww.webofscience.com%2Fwos%2Fwoscc%2Ffull-record%2FWOS:000427986900001","View Full Record in Web of Science")</f>
        <v>View Full Record in Web of Science</v>
      </c>
    </row>
    <row r="536" spans="1:72" x14ac:dyDescent="0.15">
      <c r="A536" t="s">
        <v>72</v>
      </c>
      <c r="B536" t="s">
        <v>10700</v>
      </c>
      <c r="C536" t="s">
        <v>74</v>
      </c>
      <c r="D536" t="s">
        <v>74</v>
      </c>
      <c r="E536" t="s">
        <v>74</v>
      </c>
      <c r="F536" t="s">
        <v>10701</v>
      </c>
      <c r="G536" t="s">
        <v>74</v>
      </c>
      <c r="H536" t="s">
        <v>74</v>
      </c>
      <c r="I536" t="s">
        <v>10702</v>
      </c>
      <c r="J536" t="s">
        <v>1724</v>
      </c>
      <c r="K536" t="s">
        <v>74</v>
      </c>
      <c r="L536" t="s">
        <v>74</v>
      </c>
      <c r="M536" t="s">
        <v>78</v>
      </c>
      <c r="N536" t="s">
        <v>79</v>
      </c>
      <c r="O536" t="s">
        <v>74</v>
      </c>
      <c r="P536" t="s">
        <v>74</v>
      </c>
      <c r="Q536" t="s">
        <v>74</v>
      </c>
      <c r="R536" t="s">
        <v>74</v>
      </c>
      <c r="S536" t="s">
        <v>74</v>
      </c>
      <c r="T536" t="s">
        <v>10703</v>
      </c>
      <c r="U536" t="s">
        <v>10704</v>
      </c>
      <c r="V536" t="s">
        <v>10705</v>
      </c>
      <c r="W536" t="s">
        <v>10706</v>
      </c>
      <c r="X536" t="s">
        <v>10707</v>
      </c>
      <c r="Y536" t="s">
        <v>10708</v>
      </c>
      <c r="Z536" t="s">
        <v>10709</v>
      </c>
      <c r="AA536" t="s">
        <v>10710</v>
      </c>
      <c r="AB536" t="s">
        <v>10711</v>
      </c>
      <c r="AC536" t="s">
        <v>10712</v>
      </c>
      <c r="AD536" t="s">
        <v>10713</v>
      </c>
      <c r="AE536" t="s">
        <v>10714</v>
      </c>
      <c r="AF536" t="s">
        <v>74</v>
      </c>
      <c r="AG536">
        <v>47</v>
      </c>
      <c r="AH536">
        <v>87</v>
      </c>
      <c r="AI536">
        <v>93</v>
      </c>
      <c r="AJ536">
        <v>1</v>
      </c>
      <c r="AK536">
        <v>73</v>
      </c>
      <c r="AL536" t="s">
        <v>1734</v>
      </c>
      <c r="AM536" t="s">
        <v>575</v>
      </c>
      <c r="AN536" t="s">
        <v>1735</v>
      </c>
      <c r="AO536" t="s">
        <v>1736</v>
      </c>
      <c r="AP536" t="s">
        <v>74</v>
      </c>
      <c r="AQ536" t="s">
        <v>74</v>
      </c>
      <c r="AR536" t="s">
        <v>1738</v>
      </c>
      <c r="AS536" t="s">
        <v>1739</v>
      </c>
      <c r="AT536" t="s">
        <v>10696</v>
      </c>
      <c r="AU536">
        <v>2018</v>
      </c>
      <c r="AV536">
        <v>115</v>
      </c>
      <c r="AW536">
        <v>12</v>
      </c>
      <c r="AX536" t="s">
        <v>74</v>
      </c>
      <c r="AY536" t="s">
        <v>74</v>
      </c>
      <c r="AZ536" t="s">
        <v>74</v>
      </c>
      <c r="BA536" t="s">
        <v>74</v>
      </c>
      <c r="BB536">
        <v>3072</v>
      </c>
      <c r="BC536">
        <v>3077</v>
      </c>
      <c r="BD536" t="s">
        <v>74</v>
      </c>
      <c r="BE536" t="s">
        <v>10715</v>
      </c>
      <c r="BF536" t="str">
        <f>HYPERLINK("http://dx.doi.org/10.1073/pnas.1716137115","http://dx.doi.org/10.1073/pnas.1716137115")</f>
        <v>http://dx.doi.org/10.1073/pnas.1716137115</v>
      </c>
      <c r="BG536" t="s">
        <v>74</v>
      </c>
      <c r="BH536" t="s">
        <v>74</v>
      </c>
      <c r="BI536">
        <v>6</v>
      </c>
      <c r="BJ536" t="s">
        <v>1670</v>
      </c>
      <c r="BK536" t="s">
        <v>101</v>
      </c>
      <c r="BL536" t="s">
        <v>1671</v>
      </c>
      <c r="BM536" t="s">
        <v>10716</v>
      </c>
      <c r="BN536">
        <v>29483242</v>
      </c>
      <c r="BO536" t="s">
        <v>10717</v>
      </c>
      <c r="BP536" t="s">
        <v>74</v>
      </c>
      <c r="BQ536" t="s">
        <v>74</v>
      </c>
      <c r="BR536" t="s">
        <v>105</v>
      </c>
      <c r="BS536" t="s">
        <v>10718</v>
      </c>
      <c r="BT536" t="str">
        <f>HYPERLINK("https%3A%2F%2Fwww.webofscience.com%2Fwos%2Fwoscc%2Ffull-record%2FWOS:000427829500073","View Full Record in Web of Science")</f>
        <v>View Full Record in Web of Science</v>
      </c>
    </row>
    <row r="537" spans="1:72" x14ac:dyDescent="0.15">
      <c r="A537" t="s">
        <v>72</v>
      </c>
      <c r="B537" t="s">
        <v>10719</v>
      </c>
      <c r="C537" t="s">
        <v>74</v>
      </c>
      <c r="D537" t="s">
        <v>74</v>
      </c>
      <c r="E537" t="s">
        <v>74</v>
      </c>
      <c r="F537" t="s">
        <v>10720</v>
      </c>
      <c r="G537" t="s">
        <v>74</v>
      </c>
      <c r="H537" t="s">
        <v>74</v>
      </c>
      <c r="I537" t="s">
        <v>10721</v>
      </c>
      <c r="J537" t="s">
        <v>1623</v>
      </c>
      <c r="K537" t="s">
        <v>74</v>
      </c>
      <c r="L537" t="s">
        <v>74</v>
      </c>
      <c r="M537" t="s">
        <v>78</v>
      </c>
      <c r="N537" t="s">
        <v>79</v>
      </c>
      <c r="O537" t="s">
        <v>74</v>
      </c>
      <c r="P537" t="s">
        <v>74</v>
      </c>
      <c r="Q537" t="s">
        <v>74</v>
      </c>
      <c r="R537" t="s">
        <v>74</v>
      </c>
      <c r="S537" t="s">
        <v>74</v>
      </c>
      <c r="T537" t="s">
        <v>10722</v>
      </c>
      <c r="U537" t="s">
        <v>10723</v>
      </c>
      <c r="V537" t="s">
        <v>10724</v>
      </c>
      <c r="W537" t="s">
        <v>10725</v>
      </c>
      <c r="X537" t="s">
        <v>10726</v>
      </c>
      <c r="Y537" t="s">
        <v>10727</v>
      </c>
      <c r="Z537" t="s">
        <v>10728</v>
      </c>
      <c r="AA537" t="s">
        <v>10729</v>
      </c>
      <c r="AB537" t="s">
        <v>10730</v>
      </c>
      <c r="AC537" t="s">
        <v>10731</v>
      </c>
      <c r="AD537" t="s">
        <v>10732</v>
      </c>
      <c r="AE537" t="s">
        <v>10733</v>
      </c>
      <c r="AF537" t="s">
        <v>74</v>
      </c>
      <c r="AG537">
        <v>52</v>
      </c>
      <c r="AH537">
        <v>7</v>
      </c>
      <c r="AI537">
        <v>7</v>
      </c>
      <c r="AJ537">
        <v>2</v>
      </c>
      <c r="AK537">
        <v>16</v>
      </c>
      <c r="AL537" t="s">
        <v>123</v>
      </c>
      <c r="AM537" t="s">
        <v>124</v>
      </c>
      <c r="AN537" t="s">
        <v>125</v>
      </c>
      <c r="AO537" t="s">
        <v>1639</v>
      </c>
      <c r="AP537" t="s">
        <v>1640</v>
      </c>
      <c r="AQ537" t="s">
        <v>74</v>
      </c>
      <c r="AR537" t="s">
        <v>2132</v>
      </c>
      <c r="AS537" t="s">
        <v>1642</v>
      </c>
      <c r="AT537" t="s">
        <v>10696</v>
      </c>
      <c r="AU537">
        <v>2018</v>
      </c>
      <c r="AV537">
        <v>37</v>
      </c>
      <c r="AW537" t="s">
        <v>74</v>
      </c>
      <c r="AX537" t="s">
        <v>74</v>
      </c>
      <c r="AY537" t="s">
        <v>74</v>
      </c>
      <c r="AZ537" t="s">
        <v>74</v>
      </c>
      <c r="BA537" t="s">
        <v>74</v>
      </c>
      <c r="BB537" t="s">
        <v>74</v>
      </c>
      <c r="BC537" t="s">
        <v>74</v>
      </c>
      <c r="BD537">
        <v>1438696</v>
      </c>
      <c r="BE537" t="s">
        <v>10734</v>
      </c>
      <c r="BF537" t="str">
        <f>HYPERLINK("http://dx.doi.org/10.1080/17518369.2018.1438696","http://dx.doi.org/10.1080/17518369.2018.1438696")</f>
        <v>http://dx.doi.org/10.1080/17518369.2018.1438696</v>
      </c>
      <c r="BG537" t="s">
        <v>74</v>
      </c>
      <c r="BH537" t="s">
        <v>74</v>
      </c>
      <c r="BI537">
        <v>8</v>
      </c>
      <c r="BJ537" t="s">
        <v>1644</v>
      </c>
      <c r="BK537" t="s">
        <v>101</v>
      </c>
      <c r="BL537" t="s">
        <v>1645</v>
      </c>
      <c r="BM537" t="s">
        <v>10735</v>
      </c>
      <c r="BN537" t="s">
        <v>74</v>
      </c>
      <c r="BO537" t="s">
        <v>695</v>
      </c>
      <c r="BP537" t="s">
        <v>74</v>
      </c>
      <c r="BQ537" t="s">
        <v>74</v>
      </c>
      <c r="BR537" t="s">
        <v>105</v>
      </c>
      <c r="BS537" t="s">
        <v>10736</v>
      </c>
      <c r="BT537" t="str">
        <f>HYPERLINK("https%3A%2F%2Fwww.webofscience.com%2Fwos%2Fwoscc%2Ffull-record%2FWOS:000428055500001","View Full Record in Web of Science")</f>
        <v>View Full Record in Web of Science</v>
      </c>
    </row>
    <row r="538" spans="1:72" x14ac:dyDescent="0.15">
      <c r="A538" t="s">
        <v>72</v>
      </c>
      <c r="B538" t="s">
        <v>10737</v>
      </c>
      <c r="C538" t="s">
        <v>74</v>
      </c>
      <c r="D538" t="s">
        <v>74</v>
      </c>
      <c r="E538" t="s">
        <v>74</v>
      </c>
      <c r="F538" t="s">
        <v>10738</v>
      </c>
      <c r="G538" t="s">
        <v>74</v>
      </c>
      <c r="H538" t="s">
        <v>74</v>
      </c>
      <c r="I538" t="s">
        <v>10739</v>
      </c>
      <c r="J538" t="s">
        <v>10740</v>
      </c>
      <c r="K538" t="s">
        <v>74</v>
      </c>
      <c r="L538" t="s">
        <v>74</v>
      </c>
      <c r="M538" t="s">
        <v>78</v>
      </c>
      <c r="N538" t="s">
        <v>79</v>
      </c>
      <c r="O538" t="s">
        <v>74</v>
      </c>
      <c r="P538" t="s">
        <v>74</v>
      </c>
      <c r="Q538" t="s">
        <v>74</v>
      </c>
      <c r="R538" t="s">
        <v>74</v>
      </c>
      <c r="S538" t="s">
        <v>74</v>
      </c>
      <c r="T538" t="s">
        <v>10741</v>
      </c>
      <c r="U538" t="s">
        <v>10742</v>
      </c>
      <c r="V538" t="s">
        <v>10743</v>
      </c>
      <c r="W538" t="s">
        <v>10744</v>
      </c>
      <c r="X538" t="s">
        <v>10745</v>
      </c>
      <c r="Y538" t="s">
        <v>10746</v>
      </c>
      <c r="Z538" t="s">
        <v>10747</v>
      </c>
      <c r="AA538" t="s">
        <v>10748</v>
      </c>
      <c r="AB538" t="s">
        <v>74</v>
      </c>
      <c r="AC538" t="s">
        <v>10749</v>
      </c>
      <c r="AD538" t="s">
        <v>10750</v>
      </c>
      <c r="AE538" t="s">
        <v>10751</v>
      </c>
      <c r="AF538" t="s">
        <v>74</v>
      </c>
      <c r="AG538">
        <v>29</v>
      </c>
      <c r="AH538">
        <v>0</v>
      </c>
      <c r="AI538">
        <v>0</v>
      </c>
      <c r="AJ538">
        <v>2</v>
      </c>
      <c r="AK538">
        <v>23</v>
      </c>
      <c r="AL538" t="s">
        <v>914</v>
      </c>
      <c r="AM538" t="s">
        <v>452</v>
      </c>
      <c r="AN538" t="s">
        <v>915</v>
      </c>
      <c r="AO538" t="s">
        <v>10752</v>
      </c>
      <c r="AP538" t="s">
        <v>10753</v>
      </c>
      <c r="AQ538" t="s">
        <v>74</v>
      </c>
      <c r="AR538" t="s">
        <v>10740</v>
      </c>
      <c r="AS538" t="s">
        <v>10754</v>
      </c>
      <c r="AT538" t="s">
        <v>10696</v>
      </c>
      <c r="AU538">
        <v>2018</v>
      </c>
      <c r="AV538">
        <v>647</v>
      </c>
      <c r="AW538" t="s">
        <v>74</v>
      </c>
      <c r="AX538" t="s">
        <v>74</v>
      </c>
      <c r="AY538" t="s">
        <v>74</v>
      </c>
      <c r="AZ538" t="s">
        <v>74</v>
      </c>
      <c r="BA538" t="s">
        <v>74</v>
      </c>
      <c r="BB538">
        <v>150</v>
      </c>
      <c r="BC538">
        <v>156</v>
      </c>
      <c r="BD538" t="s">
        <v>74</v>
      </c>
      <c r="BE538" t="s">
        <v>10755</v>
      </c>
      <c r="BF538" t="str">
        <f>HYPERLINK("http://dx.doi.org/10.1016/j.gene.2018.01.032","http://dx.doi.org/10.1016/j.gene.2018.01.032")</f>
        <v>http://dx.doi.org/10.1016/j.gene.2018.01.032</v>
      </c>
      <c r="BG538" t="s">
        <v>74</v>
      </c>
      <c r="BH538" t="s">
        <v>74</v>
      </c>
      <c r="BI538">
        <v>7</v>
      </c>
      <c r="BJ538" t="s">
        <v>3103</v>
      </c>
      <c r="BK538" t="s">
        <v>101</v>
      </c>
      <c r="BL538" t="s">
        <v>3103</v>
      </c>
      <c r="BM538" t="s">
        <v>10756</v>
      </c>
      <c r="BN538">
        <v>29329926</v>
      </c>
      <c r="BO538" t="s">
        <v>74</v>
      </c>
      <c r="BP538" t="s">
        <v>74</v>
      </c>
      <c r="BQ538" t="s">
        <v>74</v>
      </c>
      <c r="BR538" t="s">
        <v>105</v>
      </c>
      <c r="BS538" t="s">
        <v>10757</v>
      </c>
      <c r="BT538" t="str">
        <f>HYPERLINK("https%3A%2F%2Fwww.webofscience.com%2Fwos%2Fwoscc%2Ffull-record%2FWOS:000425576500019","View Full Record in Web of Science")</f>
        <v>View Full Record in Web of Science</v>
      </c>
    </row>
    <row r="539" spans="1:72" x14ac:dyDescent="0.15">
      <c r="A539" t="s">
        <v>72</v>
      </c>
      <c r="B539" t="s">
        <v>10758</v>
      </c>
      <c r="C539" t="s">
        <v>74</v>
      </c>
      <c r="D539" t="s">
        <v>74</v>
      </c>
      <c r="E539" t="s">
        <v>74</v>
      </c>
      <c r="F539" t="s">
        <v>10759</v>
      </c>
      <c r="G539" t="s">
        <v>74</v>
      </c>
      <c r="H539" t="s">
        <v>74</v>
      </c>
      <c r="I539" t="s">
        <v>10760</v>
      </c>
      <c r="J539" t="s">
        <v>10761</v>
      </c>
      <c r="K539" t="s">
        <v>74</v>
      </c>
      <c r="L539" t="s">
        <v>74</v>
      </c>
      <c r="M539" t="s">
        <v>78</v>
      </c>
      <c r="N539" t="s">
        <v>79</v>
      </c>
      <c r="O539" t="s">
        <v>74</v>
      </c>
      <c r="P539" t="s">
        <v>74</v>
      </c>
      <c r="Q539" t="s">
        <v>74</v>
      </c>
      <c r="R539" t="s">
        <v>74</v>
      </c>
      <c r="S539" t="s">
        <v>74</v>
      </c>
      <c r="T539" t="s">
        <v>10762</v>
      </c>
      <c r="U539" t="s">
        <v>10763</v>
      </c>
      <c r="V539" t="s">
        <v>10764</v>
      </c>
      <c r="W539" t="s">
        <v>10765</v>
      </c>
      <c r="X539" t="s">
        <v>10766</v>
      </c>
      <c r="Y539" t="s">
        <v>10767</v>
      </c>
      <c r="Z539" t="s">
        <v>10768</v>
      </c>
      <c r="AA539" t="s">
        <v>10769</v>
      </c>
      <c r="AB539" t="s">
        <v>10770</v>
      </c>
      <c r="AC539" t="s">
        <v>10771</v>
      </c>
      <c r="AD539" t="s">
        <v>10772</v>
      </c>
      <c r="AE539" t="s">
        <v>10773</v>
      </c>
      <c r="AF539" t="s">
        <v>74</v>
      </c>
      <c r="AG539">
        <v>107</v>
      </c>
      <c r="AH539">
        <v>46</v>
      </c>
      <c r="AI539">
        <v>48</v>
      </c>
      <c r="AJ539">
        <v>0</v>
      </c>
      <c r="AK539">
        <v>10</v>
      </c>
      <c r="AL539" t="s">
        <v>1563</v>
      </c>
      <c r="AM539" t="s">
        <v>1564</v>
      </c>
      <c r="AN539" t="s">
        <v>1565</v>
      </c>
      <c r="AO539" t="s">
        <v>10774</v>
      </c>
      <c r="AP539" t="s">
        <v>10775</v>
      </c>
      <c r="AQ539" t="s">
        <v>74</v>
      </c>
      <c r="AR539" t="s">
        <v>10776</v>
      </c>
      <c r="AS539" t="s">
        <v>10777</v>
      </c>
      <c r="AT539" t="s">
        <v>10778</v>
      </c>
      <c r="AU539">
        <v>2018</v>
      </c>
      <c r="AV539">
        <v>36</v>
      </c>
      <c r="AW539">
        <v>2</v>
      </c>
      <c r="AX539" t="s">
        <v>74</v>
      </c>
      <c r="AY539" t="s">
        <v>74</v>
      </c>
      <c r="AZ539" t="s">
        <v>74</v>
      </c>
      <c r="BA539" t="s">
        <v>74</v>
      </c>
      <c r="BB539">
        <v>425</v>
      </c>
      <c r="BC539">
        <v>444</v>
      </c>
      <c r="BD539" t="s">
        <v>74</v>
      </c>
      <c r="BE539" t="s">
        <v>10779</v>
      </c>
      <c r="BF539" t="str">
        <f>HYPERLINK("http://dx.doi.org/10.5194/angeo-36-425-2018","http://dx.doi.org/10.5194/angeo-36-425-2018")</f>
        <v>http://dx.doi.org/10.5194/angeo-36-425-2018</v>
      </c>
      <c r="BG539" t="s">
        <v>74</v>
      </c>
      <c r="BH539" t="s">
        <v>74</v>
      </c>
      <c r="BI539">
        <v>20</v>
      </c>
      <c r="BJ539" t="s">
        <v>10780</v>
      </c>
      <c r="BK539" t="s">
        <v>101</v>
      </c>
      <c r="BL539" t="s">
        <v>10781</v>
      </c>
      <c r="BM539" t="s">
        <v>10782</v>
      </c>
      <c r="BN539" t="s">
        <v>74</v>
      </c>
      <c r="BO539" t="s">
        <v>636</v>
      </c>
      <c r="BP539" t="s">
        <v>74</v>
      </c>
      <c r="BQ539" t="s">
        <v>74</v>
      </c>
      <c r="BR539" t="s">
        <v>105</v>
      </c>
      <c r="BS539" t="s">
        <v>10783</v>
      </c>
      <c r="BT539" t="str">
        <f>HYPERLINK("https%3A%2F%2Fwww.webofscience.com%2Fwos%2Fwoscc%2Ffull-record%2FWOS:000427749900001","View Full Record in Web of Science")</f>
        <v>View Full Record in Web of Science</v>
      </c>
    </row>
    <row r="540" spans="1:72" x14ac:dyDescent="0.15">
      <c r="A540" t="s">
        <v>72</v>
      </c>
      <c r="B540" t="s">
        <v>10784</v>
      </c>
      <c r="C540" t="s">
        <v>74</v>
      </c>
      <c r="D540" t="s">
        <v>74</v>
      </c>
      <c r="E540" t="s">
        <v>74</v>
      </c>
      <c r="F540" t="s">
        <v>10785</v>
      </c>
      <c r="G540" t="s">
        <v>74</v>
      </c>
      <c r="H540" t="s">
        <v>74</v>
      </c>
      <c r="I540" t="s">
        <v>10786</v>
      </c>
      <c r="J540" t="s">
        <v>1651</v>
      </c>
      <c r="K540" t="s">
        <v>74</v>
      </c>
      <c r="L540" t="s">
        <v>74</v>
      </c>
      <c r="M540" t="s">
        <v>78</v>
      </c>
      <c r="N540" t="s">
        <v>79</v>
      </c>
      <c r="O540" t="s">
        <v>74</v>
      </c>
      <c r="P540" t="s">
        <v>74</v>
      </c>
      <c r="Q540" t="s">
        <v>74</v>
      </c>
      <c r="R540" t="s">
        <v>74</v>
      </c>
      <c r="S540" t="s">
        <v>74</v>
      </c>
      <c r="T540" t="s">
        <v>74</v>
      </c>
      <c r="U540" t="s">
        <v>10787</v>
      </c>
      <c r="V540" t="s">
        <v>10788</v>
      </c>
      <c r="W540" t="s">
        <v>10789</v>
      </c>
      <c r="X540" t="s">
        <v>10790</v>
      </c>
      <c r="Y540" t="s">
        <v>10791</v>
      </c>
      <c r="Z540" t="s">
        <v>10792</v>
      </c>
      <c r="AA540" t="s">
        <v>10793</v>
      </c>
      <c r="AB540" t="s">
        <v>10794</v>
      </c>
      <c r="AC540" t="s">
        <v>10795</v>
      </c>
      <c r="AD540" t="s">
        <v>10796</v>
      </c>
      <c r="AE540" t="s">
        <v>10797</v>
      </c>
      <c r="AF540" t="s">
        <v>74</v>
      </c>
      <c r="AG540">
        <v>65</v>
      </c>
      <c r="AH540">
        <v>24</v>
      </c>
      <c r="AI540">
        <v>25</v>
      </c>
      <c r="AJ540">
        <v>1</v>
      </c>
      <c r="AK540">
        <v>12</v>
      </c>
      <c r="AL540" t="s">
        <v>1663</v>
      </c>
      <c r="AM540" t="s">
        <v>1664</v>
      </c>
      <c r="AN540" t="s">
        <v>1665</v>
      </c>
      <c r="AO540" t="s">
        <v>1666</v>
      </c>
      <c r="AP540" t="s">
        <v>74</v>
      </c>
      <c r="AQ540" t="s">
        <v>74</v>
      </c>
      <c r="AR540" t="s">
        <v>1667</v>
      </c>
      <c r="AS540" t="s">
        <v>1668</v>
      </c>
      <c r="AT540" t="s">
        <v>10778</v>
      </c>
      <c r="AU540">
        <v>2018</v>
      </c>
      <c r="AV540">
        <v>8</v>
      </c>
      <c r="AW540" t="s">
        <v>74</v>
      </c>
      <c r="AX540" t="s">
        <v>74</v>
      </c>
      <c r="AY540" t="s">
        <v>74</v>
      </c>
      <c r="AZ540" t="s">
        <v>74</v>
      </c>
      <c r="BA540" t="s">
        <v>74</v>
      </c>
      <c r="BB540" t="s">
        <v>74</v>
      </c>
      <c r="BC540" t="s">
        <v>74</v>
      </c>
      <c r="BD540">
        <v>4810</v>
      </c>
      <c r="BE540" t="s">
        <v>10798</v>
      </c>
      <c r="BF540" t="str">
        <f>HYPERLINK("http://dx.doi.org/10.1038/s41598-018-23076-0","http://dx.doi.org/10.1038/s41598-018-23076-0")</f>
        <v>http://dx.doi.org/10.1038/s41598-018-23076-0</v>
      </c>
      <c r="BG540" t="s">
        <v>74</v>
      </c>
      <c r="BH540" t="s">
        <v>74</v>
      </c>
      <c r="BI540">
        <v>12</v>
      </c>
      <c r="BJ540" t="s">
        <v>1670</v>
      </c>
      <c r="BK540" t="s">
        <v>101</v>
      </c>
      <c r="BL540" t="s">
        <v>1671</v>
      </c>
      <c r="BM540" t="s">
        <v>10799</v>
      </c>
      <c r="BN540">
        <v>29556042</v>
      </c>
      <c r="BO540" t="s">
        <v>9837</v>
      </c>
      <c r="BP540" t="s">
        <v>74</v>
      </c>
      <c r="BQ540" t="s">
        <v>74</v>
      </c>
      <c r="BR540" t="s">
        <v>105</v>
      </c>
      <c r="BS540" t="s">
        <v>10800</v>
      </c>
      <c r="BT540" t="str">
        <f>HYPERLINK("https%3A%2F%2Fwww.webofscience.com%2Fwos%2Fwoscc%2Ffull-record%2FWOS:000427688100003","View Full Record in Web of Science")</f>
        <v>View Full Record in Web of Science</v>
      </c>
    </row>
    <row r="541" spans="1:72" x14ac:dyDescent="0.15">
      <c r="A541" t="s">
        <v>72</v>
      </c>
      <c r="B541" t="s">
        <v>10801</v>
      </c>
      <c r="C541" t="s">
        <v>74</v>
      </c>
      <c r="D541" t="s">
        <v>74</v>
      </c>
      <c r="E541" t="s">
        <v>74</v>
      </c>
      <c r="F541" t="s">
        <v>10802</v>
      </c>
      <c r="G541" t="s">
        <v>74</v>
      </c>
      <c r="H541" t="s">
        <v>74</v>
      </c>
      <c r="I541" t="s">
        <v>10803</v>
      </c>
      <c r="J541" t="s">
        <v>10804</v>
      </c>
      <c r="K541" t="s">
        <v>74</v>
      </c>
      <c r="L541" t="s">
        <v>74</v>
      </c>
      <c r="M541" t="s">
        <v>78</v>
      </c>
      <c r="N541" t="s">
        <v>52</v>
      </c>
      <c r="O541" t="s">
        <v>10805</v>
      </c>
      <c r="P541" t="s">
        <v>10806</v>
      </c>
      <c r="Q541" t="s">
        <v>10807</v>
      </c>
      <c r="R541" t="s">
        <v>74</v>
      </c>
      <c r="S541" t="s">
        <v>74</v>
      </c>
      <c r="T541" t="s">
        <v>74</v>
      </c>
      <c r="U541" t="s">
        <v>74</v>
      </c>
      <c r="V541" t="s">
        <v>74</v>
      </c>
      <c r="W541" t="s">
        <v>10808</v>
      </c>
      <c r="X541" t="s">
        <v>10809</v>
      </c>
      <c r="Y541" t="s">
        <v>74</v>
      </c>
      <c r="Z541" t="s">
        <v>10810</v>
      </c>
      <c r="AA541" t="s">
        <v>74</v>
      </c>
      <c r="AB541" t="s">
        <v>74</v>
      </c>
      <c r="AC541" t="s">
        <v>74</v>
      </c>
      <c r="AD541" t="s">
        <v>74</v>
      </c>
      <c r="AE541" t="s">
        <v>74</v>
      </c>
      <c r="AF541" t="s">
        <v>74</v>
      </c>
      <c r="AG541">
        <v>0</v>
      </c>
      <c r="AH541">
        <v>0</v>
      </c>
      <c r="AI541">
        <v>0</v>
      </c>
      <c r="AJ541">
        <v>0</v>
      </c>
      <c r="AK541">
        <v>2</v>
      </c>
      <c r="AL541" t="s">
        <v>8911</v>
      </c>
      <c r="AM541" t="s">
        <v>575</v>
      </c>
      <c r="AN541" t="s">
        <v>8912</v>
      </c>
      <c r="AO541" t="s">
        <v>10811</v>
      </c>
      <c r="AP541" t="s">
        <v>74</v>
      </c>
      <c r="AQ541" t="s">
        <v>74</v>
      </c>
      <c r="AR541" t="s">
        <v>10812</v>
      </c>
      <c r="AS541" t="s">
        <v>10813</v>
      </c>
      <c r="AT541" t="s">
        <v>10814</v>
      </c>
      <c r="AU541">
        <v>2018</v>
      </c>
      <c r="AV541">
        <v>255</v>
      </c>
      <c r="AW541" t="s">
        <v>74</v>
      </c>
      <c r="AX541" t="s">
        <v>74</v>
      </c>
      <c r="AY541" t="s">
        <v>74</v>
      </c>
      <c r="AZ541" t="s">
        <v>74</v>
      </c>
      <c r="BA541">
        <v>927</v>
      </c>
      <c r="BB541" t="s">
        <v>74</v>
      </c>
      <c r="BC541" t="s">
        <v>74</v>
      </c>
      <c r="BD541" t="s">
        <v>74</v>
      </c>
      <c r="BE541" t="s">
        <v>74</v>
      </c>
      <c r="BF541" t="s">
        <v>74</v>
      </c>
      <c r="BG541" t="s">
        <v>74</v>
      </c>
      <c r="BH541" t="s">
        <v>74</v>
      </c>
      <c r="BI541">
        <v>1</v>
      </c>
      <c r="BJ541" t="s">
        <v>10815</v>
      </c>
      <c r="BK541" t="s">
        <v>1449</v>
      </c>
      <c r="BL541" t="s">
        <v>2035</v>
      </c>
      <c r="BM541" t="s">
        <v>10816</v>
      </c>
      <c r="BN541" t="s">
        <v>74</v>
      </c>
      <c r="BO541" t="s">
        <v>74</v>
      </c>
      <c r="BP541" t="s">
        <v>74</v>
      </c>
      <c r="BQ541" t="s">
        <v>74</v>
      </c>
      <c r="BR541" t="s">
        <v>105</v>
      </c>
      <c r="BS541" t="s">
        <v>10817</v>
      </c>
      <c r="BT541" t="str">
        <f>HYPERLINK("https%3A%2F%2Fwww.webofscience.com%2Fwos%2Fwoscc%2Ffull-record%2FWOS:000435537704136","View Full Record in Web of Science")</f>
        <v>View Full Record in Web of Science</v>
      </c>
    </row>
    <row r="542" spans="1:72" x14ac:dyDescent="0.15">
      <c r="A542" t="s">
        <v>72</v>
      </c>
      <c r="B542" t="s">
        <v>10818</v>
      </c>
      <c r="C542" t="s">
        <v>74</v>
      </c>
      <c r="D542" t="s">
        <v>74</v>
      </c>
      <c r="E542" t="s">
        <v>74</v>
      </c>
      <c r="F542" t="s">
        <v>10819</v>
      </c>
      <c r="G542" t="s">
        <v>74</v>
      </c>
      <c r="H542" t="s">
        <v>74</v>
      </c>
      <c r="I542" t="s">
        <v>10820</v>
      </c>
      <c r="J542" t="s">
        <v>10821</v>
      </c>
      <c r="K542" t="s">
        <v>74</v>
      </c>
      <c r="L542" t="s">
        <v>74</v>
      </c>
      <c r="M542" t="s">
        <v>78</v>
      </c>
      <c r="N542" t="s">
        <v>79</v>
      </c>
      <c r="O542" t="s">
        <v>74</v>
      </c>
      <c r="P542" t="s">
        <v>74</v>
      </c>
      <c r="Q542" t="s">
        <v>74</v>
      </c>
      <c r="R542" t="s">
        <v>74</v>
      </c>
      <c r="S542" t="s">
        <v>74</v>
      </c>
      <c r="T542" t="s">
        <v>10822</v>
      </c>
      <c r="U542" t="s">
        <v>10823</v>
      </c>
      <c r="V542" t="s">
        <v>10824</v>
      </c>
      <c r="W542" t="s">
        <v>10825</v>
      </c>
      <c r="X542" t="s">
        <v>10826</v>
      </c>
      <c r="Y542" t="s">
        <v>10827</v>
      </c>
      <c r="Z542" t="s">
        <v>10828</v>
      </c>
      <c r="AA542" t="s">
        <v>10829</v>
      </c>
      <c r="AB542" t="s">
        <v>10830</v>
      </c>
      <c r="AC542" t="s">
        <v>10831</v>
      </c>
      <c r="AD542" t="s">
        <v>10832</v>
      </c>
      <c r="AE542" t="s">
        <v>10833</v>
      </c>
      <c r="AF542" t="s">
        <v>74</v>
      </c>
      <c r="AG542">
        <v>62</v>
      </c>
      <c r="AH542">
        <v>17</v>
      </c>
      <c r="AI542">
        <v>19</v>
      </c>
      <c r="AJ542">
        <v>0</v>
      </c>
      <c r="AK542">
        <v>17</v>
      </c>
      <c r="AL542" t="s">
        <v>2968</v>
      </c>
      <c r="AM542" t="s">
        <v>1540</v>
      </c>
      <c r="AN542" t="s">
        <v>2969</v>
      </c>
      <c r="AO542" t="s">
        <v>74</v>
      </c>
      <c r="AP542" t="s">
        <v>10834</v>
      </c>
      <c r="AQ542" t="s">
        <v>74</v>
      </c>
      <c r="AR542" t="s">
        <v>10835</v>
      </c>
      <c r="AS542" t="s">
        <v>10836</v>
      </c>
      <c r="AT542" t="s">
        <v>10837</v>
      </c>
      <c r="AU542">
        <v>2018</v>
      </c>
      <c r="AV542">
        <v>17</v>
      </c>
      <c r="AW542" t="s">
        <v>74</v>
      </c>
      <c r="AX542" t="s">
        <v>74</v>
      </c>
      <c r="AY542" t="s">
        <v>74</v>
      </c>
      <c r="AZ542" t="s">
        <v>74</v>
      </c>
      <c r="BA542" t="s">
        <v>74</v>
      </c>
      <c r="BB542" t="s">
        <v>74</v>
      </c>
      <c r="BC542" t="s">
        <v>74</v>
      </c>
      <c r="BD542">
        <v>44</v>
      </c>
      <c r="BE542" t="s">
        <v>10838</v>
      </c>
      <c r="BF542" t="str">
        <f>HYPERLINK("http://dx.doi.org/10.1186/s12934-018-0889-8","http://dx.doi.org/10.1186/s12934-018-0889-8")</f>
        <v>http://dx.doi.org/10.1186/s12934-018-0889-8</v>
      </c>
      <c r="BG542" t="s">
        <v>74</v>
      </c>
      <c r="BH542" t="s">
        <v>74</v>
      </c>
      <c r="BI542">
        <v>21</v>
      </c>
      <c r="BJ542" t="s">
        <v>234</v>
      </c>
      <c r="BK542" t="s">
        <v>101</v>
      </c>
      <c r="BL542" t="s">
        <v>234</v>
      </c>
      <c r="BM542" t="s">
        <v>10839</v>
      </c>
      <c r="BN542">
        <v>29549881</v>
      </c>
      <c r="BO542" t="s">
        <v>487</v>
      </c>
      <c r="BP542" t="s">
        <v>74</v>
      </c>
      <c r="BQ542" t="s">
        <v>74</v>
      </c>
      <c r="BR542" t="s">
        <v>105</v>
      </c>
      <c r="BS542" t="s">
        <v>10840</v>
      </c>
      <c r="BT542" t="str">
        <f>HYPERLINK("https%3A%2F%2Fwww.webofscience.com%2Fwos%2Fwoscc%2Ffull-record%2FWOS:000427703100001","View Full Record in Web of Science")</f>
        <v>View Full Record in Web of Science</v>
      </c>
    </row>
    <row r="543" spans="1:72" x14ac:dyDescent="0.15">
      <c r="A543" t="s">
        <v>72</v>
      </c>
      <c r="B543" t="s">
        <v>10841</v>
      </c>
      <c r="C543" t="s">
        <v>74</v>
      </c>
      <c r="D543" t="s">
        <v>74</v>
      </c>
      <c r="E543" t="s">
        <v>74</v>
      </c>
      <c r="F543" t="s">
        <v>10842</v>
      </c>
      <c r="G543" t="s">
        <v>74</v>
      </c>
      <c r="H543" t="s">
        <v>74</v>
      </c>
      <c r="I543" t="s">
        <v>10843</v>
      </c>
      <c r="J543" t="s">
        <v>1749</v>
      </c>
      <c r="K543" t="s">
        <v>74</v>
      </c>
      <c r="L543" t="s">
        <v>74</v>
      </c>
      <c r="M543" t="s">
        <v>78</v>
      </c>
      <c r="N543" t="s">
        <v>79</v>
      </c>
      <c r="O543" t="s">
        <v>74</v>
      </c>
      <c r="P543" t="s">
        <v>74</v>
      </c>
      <c r="Q543" t="s">
        <v>74</v>
      </c>
      <c r="R543" t="s">
        <v>74</v>
      </c>
      <c r="S543" t="s">
        <v>74</v>
      </c>
      <c r="T543" t="s">
        <v>10844</v>
      </c>
      <c r="U543" t="s">
        <v>10845</v>
      </c>
      <c r="V543" t="s">
        <v>10846</v>
      </c>
      <c r="W543" t="s">
        <v>10847</v>
      </c>
      <c r="X543" t="s">
        <v>10848</v>
      </c>
      <c r="Y543" t="s">
        <v>10849</v>
      </c>
      <c r="Z543" t="s">
        <v>10850</v>
      </c>
      <c r="AA543" t="s">
        <v>10851</v>
      </c>
      <c r="AB543" t="s">
        <v>10852</v>
      </c>
      <c r="AC543" t="s">
        <v>10853</v>
      </c>
      <c r="AD543" t="s">
        <v>10854</v>
      </c>
      <c r="AE543" t="s">
        <v>10855</v>
      </c>
      <c r="AF543" t="s">
        <v>74</v>
      </c>
      <c r="AG543">
        <v>37</v>
      </c>
      <c r="AH543">
        <v>23</v>
      </c>
      <c r="AI543">
        <v>25</v>
      </c>
      <c r="AJ543">
        <v>0</v>
      </c>
      <c r="AK543">
        <v>21</v>
      </c>
      <c r="AL543" t="s">
        <v>574</v>
      </c>
      <c r="AM543" t="s">
        <v>575</v>
      </c>
      <c r="AN543" t="s">
        <v>576</v>
      </c>
      <c r="AO543" t="s">
        <v>1761</v>
      </c>
      <c r="AP543" t="s">
        <v>1762</v>
      </c>
      <c r="AQ543" t="s">
        <v>74</v>
      </c>
      <c r="AR543" t="s">
        <v>1763</v>
      </c>
      <c r="AS543" t="s">
        <v>1764</v>
      </c>
      <c r="AT543" t="s">
        <v>10856</v>
      </c>
      <c r="AU543">
        <v>2018</v>
      </c>
      <c r="AV543">
        <v>45</v>
      </c>
      <c r="AW543">
        <v>5</v>
      </c>
      <c r="AX543" t="s">
        <v>74</v>
      </c>
      <c r="AY543" t="s">
        <v>74</v>
      </c>
      <c r="AZ543" t="s">
        <v>74</v>
      </c>
      <c r="BA543" t="s">
        <v>74</v>
      </c>
      <c r="BB543">
        <v>2380</v>
      </c>
      <c r="BC543">
        <v>2387</v>
      </c>
      <c r="BD543" t="s">
        <v>74</v>
      </c>
      <c r="BE543" t="s">
        <v>10857</v>
      </c>
      <c r="BF543" t="str">
        <f>HYPERLINK("http://dx.doi.org/10.1002/2017GL076195","http://dx.doi.org/10.1002/2017GL076195")</f>
        <v>http://dx.doi.org/10.1002/2017GL076195</v>
      </c>
      <c r="BG543" t="s">
        <v>74</v>
      </c>
      <c r="BH543" t="s">
        <v>74</v>
      </c>
      <c r="BI543">
        <v>8</v>
      </c>
      <c r="BJ543" t="s">
        <v>1243</v>
      </c>
      <c r="BK543" t="s">
        <v>101</v>
      </c>
      <c r="BL543" t="s">
        <v>1181</v>
      </c>
      <c r="BM543" t="s">
        <v>10858</v>
      </c>
      <c r="BN543" t="s">
        <v>74</v>
      </c>
      <c r="BO543" t="s">
        <v>980</v>
      </c>
      <c r="BP543" t="s">
        <v>74</v>
      </c>
      <c r="BQ543" t="s">
        <v>74</v>
      </c>
      <c r="BR543" t="s">
        <v>105</v>
      </c>
      <c r="BS543" t="s">
        <v>10859</v>
      </c>
      <c r="BT543" t="str">
        <f>HYPERLINK("https%3A%2F%2Fwww.webofscience.com%2Fwos%2Fwoscc%2Ffull-record%2FWOS:000428402400030","View Full Record in Web of Science")</f>
        <v>View Full Record in Web of Science</v>
      </c>
    </row>
    <row r="544" spans="1:72" x14ac:dyDescent="0.15">
      <c r="A544" t="s">
        <v>72</v>
      </c>
      <c r="B544" t="s">
        <v>10860</v>
      </c>
      <c r="C544" t="s">
        <v>74</v>
      </c>
      <c r="D544" t="s">
        <v>74</v>
      </c>
      <c r="E544" t="s">
        <v>74</v>
      </c>
      <c r="F544" t="s">
        <v>10861</v>
      </c>
      <c r="G544" t="s">
        <v>74</v>
      </c>
      <c r="H544" t="s">
        <v>74</v>
      </c>
      <c r="I544" t="s">
        <v>10862</v>
      </c>
      <c r="J544" t="s">
        <v>1749</v>
      </c>
      <c r="K544" t="s">
        <v>74</v>
      </c>
      <c r="L544" t="s">
        <v>74</v>
      </c>
      <c r="M544" t="s">
        <v>78</v>
      </c>
      <c r="N544" t="s">
        <v>79</v>
      </c>
      <c r="O544" t="s">
        <v>74</v>
      </c>
      <c r="P544" t="s">
        <v>74</v>
      </c>
      <c r="Q544" t="s">
        <v>74</v>
      </c>
      <c r="R544" t="s">
        <v>74</v>
      </c>
      <c r="S544" t="s">
        <v>74</v>
      </c>
      <c r="T544" t="s">
        <v>10863</v>
      </c>
      <c r="U544" t="s">
        <v>10864</v>
      </c>
      <c r="V544" t="s">
        <v>10865</v>
      </c>
      <c r="W544" t="s">
        <v>10866</v>
      </c>
      <c r="X544" t="s">
        <v>10867</v>
      </c>
      <c r="Y544" t="s">
        <v>10868</v>
      </c>
      <c r="Z544" t="s">
        <v>10869</v>
      </c>
      <c r="AA544" t="s">
        <v>10870</v>
      </c>
      <c r="AB544" t="s">
        <v>10871</v>
      </c>
      <c r="AC544" t="s">
        <v>10872</v>
      </c>
      <c r="AD544" t="s">
        <v>10873</v>
      </c>
      <c r="AE544" t="s">
        <v>10874</v>
      </c>
      <c r="AF544" t="s">
        <v>74</v>
      </c>
      <c r="AG544">
        <v>62</v>
      </c>
      <c r="AH544">
        <v>22</v>
      </c>
      <c r="AI544">
        <v>23</v>
      </c>
      <c r="AJ544">
        <v>7</v>
      </c>
      <c r="AK544">
        <v>25</v>
      </c>
      <c r="AL544" t="s">
        <v>574</v>
      </c>
      <c r="AM544" t="s">
        <v>575</v>
      </c>
      <c r="AN544" t="s">
        <v>576</v>
      </c>
      <c r="AO544" t="s">
        <v>1761</v>
      </c>
      <c r="AP544" t="s">
        <v>1762</v>
      </c>
      <c r="AQ544" t="s">
        <v>74</v>
      </c>
      <c r="AR544" t="s">
        <v>1763</v>
      </c>
      <c r="AS544" t="s">
        <v>1764</v>
      </c>
      <c r="AT544" t="s">
        <v>10856</v>
      </c>
      <c r="AU544">
        <v>2018</v>
      </c>
      <c r="AV544">
        <v>45</v>
      </c>
      <c r="AW544">
        <v>5</v>
      </c>
      <c r="AX544" t="s">
        <v>74</v>
      </c>
      <c r="AY544" t="s">
        <v>74</v>
      </c>
      <c r="AZ544" t="s">
        <v>74</v>
      </c>
      <c r="BA544" t="s">
        <v>74</v>
      </c>
      <c r="BB544">
        <v>2413</v>
      </c>
      <c r="BC544">
        <v>2423</v>
      </c>
      <c r="BD544" t="s">
        <v>74</v>
      </c>
      <c r="BE544" t="s">
        <v>10875</v>
      </c>
      <c r="BF544" t="str">
        <f>HYPERLINK("http://dx.doi.org/10.1002/2017GL076437","http://dx.doi.org/10.1002/2017GL076437")</f>
        <v>http://dx.doi.org/10.1002/2017GL076437</v>
      </c>
      <c r="BG544" t="s">
        <v>74</v>
      </c>
      <c r="BH544" t="s">
        <v>74</v>
      </c>
      <c r="BI544">
        <v>11</v>
      </c>
      <c r="BJ544" t="s">
        <v>1243</v>
      </c>
      <c r="BK544" t="s">
        <v>101</v>
      </c>
      <c r="BL544" t="s">
        <v>1181</v>
      </c>
      <c r="BM544" t="s">
        <v>10858</v>
      </c>
      <c r="BN544" t="s">
        <v>74</v>
      </c>
      <c r="BO544" t="s">
        <v>980</v>
      </c>
      <c r="BP544" t="s">
        <v>74</v>
      </c>
      <c r="BQ544" t="s">
        <v>74</v>
      </c>
      <c r="BR544" t="s">
        <v>105</v>
      </c>
      <c r="BS544" t="s">
        <v>10876</v>
      </c>
      <c r="BT544" t="str">
        <f>HYPERLINK("https%3A%2F%2Fwww.webofscience.com%2Fwos%2Fwoscc%2Ffull-record%2FWOS:000428402400034","View Full Record in Web of Science")</f>
        <v>View Full Record in Web of Science</v>
      </c>
    </row>
    <row r="545" spans="1:72" x14ac:dyDescent="0.15">
      <c r="A545" t="s">
        <v>72</v>
      </c>
      <c r="B545" t="s">
        <v>10877</v>
      </c>
      <c r="C545" t="s">
        <v>74</v>
      </c>
      <c r="D545" t="s">
        <v>74</v>
      </c>
      <c r="E545" t="s">
        <v>74</v>
      </c>
      <c r="F545" t="s">
        <v>10878</v>
      </c>
      <c r="G545" t="s">
        <v>74</v>
      </c>
      <c r="H545" t="s">
        <v>74</v>
      </c>
      <c r="I545" t="s">
        <v>10879</v>
      </c>
      <c r="J545" t="s">
        <v>6165</v>
      </c>
      <c r="K545" t="s">
        <v>74</v>
      </c>
      <c r="L545" t="s">
        <v>74</v>
      </c>
      <c r="M545" t="s">
        <v>78</v>
      </c>
      <c r="N545" t="s">
        <v>79</v>
      </c>
      <c r="O545" t="s">
        <v>74</v>
      </c>
      <c r="P545" t="s">
        <v>74</v>
      </c>
      <c r="Q545" t="s">
        <v>74</v>
      </c>
      <c r="R545" t="s">
        <v>74</v>
      </c>
      <c r="S545" t="s">
        <v>74</v>
      </c>
      <c r="T545" t="s">
        <v>74</v>
      </c>
      <c r="U545" t="s">
        <v>10880</v>
      </c>
      <c r="V545" t="s">
        <v>10881</v>
      </c>
      <c r="W545" t="s">
        <v>10882</v>
      </c>
      <c r="X545" t="s">
        <v>10883</v>
      </c>
      <c r="Y545" t="s">
        <v>10884</v>
      </c>
      <c r="Z545" t="s">
        <v>10885</v>
      </c>
      <c r="AA545" t="s">
        <v>10886</v>
      </c>
      <c r="AB545" t="s">
        <v>10887</v>
      </c>
      <c r="AC545" t="s">
        <v>10888</v>
      </c>
      <c r="AD545" t="s">
        <v>10889</v>
      </c>
      <c r="AE545" t="s">
        <v>10890</v>
      </c>
      <c r="AF545" t="s">
        <v>74</v>
      </c>
      <c r="AG545">
        <v>143</v>
      </c>
      <c r="AH545">
        <v>143</v>
      </c>
      <c r="AI545">
        <v>148</v>
      </c>
      <c r="AJ545">
        <v>7</v>
      </c>
      <c r="AK545">
        <v>82</v>
      </c>
      <c r="AL545" t="s">
        <v>1563</v>
      </c>
      <c r="AM545" t="s">
        <v>1564</v>
      </c>
      <c r="AN545" t="s">
        <v>1565</v>
      </c>
      <c r="AO545" t="s">
        <v>6177</v>
      </c>
      <c r="AP545" t="s">
        <v>6178</v>
      </c>
      <c r="AQ545" t="s">
        <v>74</v>
      </c>
      <c r="AR545" t="s">
        <v>6179</v>
      </c>
      <c r="AS545" t="s">
        <v>6180</v>
      </c>
      <c r="AT545" t="s">
        <v>10856</v>
      </c>
      <c r="AU545">
        <v>2018</v>
      </c>
      <c r="AV545">
        <v>11</v>
      </c>
      <c r="AW545">
        <v>3</v>
      </c>
      <c r="AX545" t="s">
        <v>74</v>
      </c>
      <c r="AY545" t="s">
        <v>74</v>
      </c>
      <c r="AZ545" t="s">
        <v>74</v>
      </c>
      <c r="BA545" t="s">
        <v>74</v>
      </c>
      <c r="BB545">
        <v>1033</v>
      </c>
      <c r="BC545">
        <v>1057</v>
      </c>
      <c r="BD545" t="s">
        <v>74</v>
      </c>
      <c r="BE545" t="s">
        <v>10891</v>
      </c>
      <c r="BF545" t="str">
        <f>HYPERLINK("http://dx.doi.org/10.5194/gmd-11-1033-2018","http://dx.doi.org/10.5194/gmd-11-1033-2018")</f>
        <v>http://dx.doi.org/10.5194/gmd-11-1033-2018</v>
      </c>
      <c r="BG545" t="s">
        <v>74</v>
      </c>
      <c r="BH545" t="s">
        <v>74</v>
      </c>
      <c r="BI545">
        <v>25</v>
      </c>
      <c r="BJ545" t="s">
        <v>1243</v>
      </c>
      <c r="BK545" t="s">
        <v>101</v>
      </c>
      <c r="BL545" t="s">
        <v>1181</v>
      </c>
      <c r="BM545" t="s">
        <v>10892</v>
      </c>
      <c r="BN545" t="s">
        <v>74</v>
      </c>
      <c r="BO545" t="s">
        <v>654</v>
      </c>
      <c r="BP545" t="s">
        <v>555</v>
      </c>
      <c r="BQ545" t="s">
        <v>556</v>
      </c>
      <c r="BR545" t="s">
        <v>105</v>
      </c>
      <c r="BS545" t="s">
        <v>10893</v>
      </c>
      <c r="BT545" t="str">
        <f>HYPERLINK("https%3A%2F%2Fwww.webofscience.com%2Fwos%2Fwoscc%2Ffull-record%2FWOS:000427841800004","View Full Record in Web of Science")</f>
        <v>View Full Record in Web of Science</v>
      </c>
    </row>
    <row r="546" spans="1:72" x14ac:dyDescent="0.15">
      <c r="A546" t="s">
        <v>72</v>
      </c>
      <c r="B546" t="s">
        <v>10894</v>
      </c>
      <c r="C546" t="s">
        <v>74</v>
      </c>
      <c r="D546" t="s">
        <v>74</v>
      </c>
      <c r="E546" t="s">
        <v>74</v>
      </c>
      <c r="F546" t="s">
        <v>10895</v>
      </c>
      <c r="G546" t="s">
        <v>74</v>
      </c>
      <c r="H546" t="s">
        <v>74</v>
      </c>
      <c r="I546" t="s">
        <v>10896</v>
      </c>
      <c r="J546" t="s">
        <v>1749</v>
      </c>
      <c r="K546" t="s">
        <v>74</v>
      </c>
      <c r="L546" t="s">
        <v>74</v>
      </c>
      <c r="M546" t="s">
        <v>78</v>
      </c>
      <c r="N546" t="s">
        <v>79</v>
      </c>
      <c r="O546" t="s">
        <v>74</v>
      </c>
      <c r="P546" t="s">
        <v>74</v>
      </c>
      <c r="Q546" t="s">
        <v>74</v>
      </c>
      <c r="R546" t="s">
        <v>74</v>
      </c>
      <c r="S546" t="s">
        <v>74</v>
      </c>
      <c r="T546" t="s">
        <v>10897</v>
      </c>
      <c r="U546" t="s">
        <v>10898</v>
      </c>
      <c r="V546" t="s">
        <v>10899</v>
      </c>
      <c r="W546" t="s">
        <v>10900</v>
      </c>
      <c r="X546" t="s">
        <v>10901</v>
      </c>
      <c r="Y546" t="s">
        <v>10902</v>
      </c>
      <c r="Z546" t="s">
        <v>10903</v>
      </c>
      <c r="AA546" t="s">
        <v>74</v>
      </c>
      <c r="AB546" t="s">
        <v>10904</v>
      </c>
      <c r="AC546" t="s">
        <v>10905</v>
      </c>
      <c r="AD546" t="s">
        <v>10906</v>
      </c>
      <c r="AE546" t="s">
        <v>10907</v>
      </c>
      <c r="AF546" t="s">
        <v>74</v>
      </c>
      <c r="AG546">
        <v>41</v>
      </c>
      <c r="AH546">
        <v>6</v>
      </c>
      <c r="AI546">
        <v>6</v>
      </c>
      <c r="AJ546">
        <v>0</v>
      </c>
      <c r="AK546">
        <v>12</v>
      </c>
      <c r="AL546" t="s">
        <v>574</v>
      </c>
      <c r="AM546" t="s">
        <v>575</v>
      </c>
      <c r="AN546" t="s">
        <v>576</v>
      </c>
      <c r="AO546" t="s">
        <v>1761</v>
      </c>
      <c r="AP546" t="s">
        <v>1762</v>
      </c>
      <c r="AQ546" t="s">
        <v>74</v>
      </c>
      <c r="AR546" t="s">
        <v>1763</v>
      </c>
      <c r="AS546" t="s">
        <v>1764</v>
      </c>
      <c r="AT546" t="s">
        <v>10856</v>
      </c>
      <c r="AU546">
        <v>2018</v>
      </c>
      <c r="AV546">
        <v>45</v>
      </c>
      <c r="AW546">
        <v>5</v>
      </c>
      <c r="AX546" t="s">
        <v>74</v>
      </c>
      <c r="AY546" t="s">
        <v>74</v>
      </c>
      <c r="AZ546" t="s">
        <v>74</v>
      </c>
      <c r="BA546" t="s">
        <v>74</v>
      </c>
      <c r="BB546">
        <v>2424</v>
      </c>
      <c r="BC546">
        <v>2432</v>
      </c>
      <c r="BD546" t="s">
        <v>74</v>
      </c>
      <c r="BE546" t="s">
        <v>10908</v>
      </c>
      <c r="BF546" t="str">
        <f>HYPERLINK("http://dx.doi.org/10.1002/2017GL075872","http://dx.doi.org/10.1002/2017GL075872")</f>
        <v>http://dx.doi.org/10.1002/2017GL075872</v>
      </c>
      <c r="BG546" t="s">
        <v>74</v>
      </c>
      <c r="BH546" t="s">
        <v>74</v>
      </c>
      <c r="BI546">
        <v>9</v>
      </c>
      <c r="BJ546" t="s">
        <v>1243</v>
      </c>
      <c r="BK546" t="s">
        <v>101</v>
      </c>
      <c r="BL546" t="s">
        <v>1181</v>
      </c>
      <c r="BM546" t="s">
        <v>10858</v>
      </c>
      <c r="BN546" t="s">
        <v>74</v>
      </c>
      <c r="BO546" t="s">
        <v>341</v>
      </c>
      <c r="BP546" t="s">
        <v>74</v>
      </c>
      <c r="BQ546" t="s">
        <v>74</v>
      </c>
      <c r="BR546" t="s">
        <v>105</v>
      </c>
      <c r="BS546" t="s">
        <v>10909</v>
      </c>
      <c r="BT546" t="str">
        <f>HYPERLINK("https%3A%2F%2Fwww.webofscience.com%2Fwos%2Fwoscc%2Ffull-record%2FWOS:000428402400035","View Full Record in Web of Science")</f>
        <v>View Full Record in Web of Science</v>
      </c>
    </row>
    <row r="547" spans="1:72" x14ac:dyDescent="0.15">
      <c r="A547" t="s">
        <v>72</v>
      </c>
      <c r="B547" t="s">
        <v>10910</v>
      </c>
      <c r="C547" t="s">
        <v>74</v>
      </c>
      <c r="D547" t="s">
        <v>74</v>
      </c>
      <c r="E547" t="s">
        <v>74</v>
      </c>
      <c r="F547" t="s">
        <v>10911</v>
      </c>
      <c r="G547" t="s">
        <v>74</v>
      </c>
      <c r="H547" t="s">
        <v>74</v>
      </c>
      <c r="I547" t="s">
        <v>10912</v>
      </c>
      <c r="J547" t="s">
        <v>10913</v>
      </c>
      <c r="K547" t="s">
        <v>74</v>
      </c>
      <c r="L547" t="s">
        <v>74</v>
      </c>
      <c r="M547" t="s">
        <v>78</v>
      </c>
      <c r="N547" t="s">
        <v>79</v>
      </c>
      <c r="O547" t="s">
        <v>74</v>
      </c>
      <c r="P547" t="s">
        <v>74</v>
      </c>
      <c r="Q547" t="s">
        <v>74</v>
      </c>
      <c r="R547" t="s">
        <v>74</v>
      </c>
      <c r="S547" t="s">
        <v>74</v>
      </c>
      <c r="T547" t="s">
        <v>74</v>
      </c>
      <c r="U547" t="s">
        <v>10914</v>
      </c>
      <c r="V547" t="s">
        <v>10915</v>
      </c>
      <c r="W547" t="s">
        <v>10916</v>
      </c>
      <c r="X547" t="s">
        <v>10917</v>
      </c>
      <c r="Y547" t="s">
        <v>10918</v>
      </c>
      <c r="Z547" t="s">
        <v>10919</v>
      </c>
      <c r="AA547" t="s">
        <v>10920</v>
      </c>
      <c r="AB547" t="s">
        <v>10921</v>
      </c>
      <c r="AC547" t="s">
        <v>10922</v>
      </c>
      <c r="AD547" t="s">
        <v>10923</v>
      </c>
      <c r="AE547" t="s">
        <v>10924</v>
      </c>
      <c r="AF547" t="s">
        <v>74</v>
      </c>
      <c r="AG547">
        <v>34</v>
      </c>
      <c r="AH547">
        <v>4</v>
      </c>
      <c r="AI547">
        <v>4</v>
      </c>
      <c r="AJ547">
        <v>0</v>
      </c>
      <c r="AK547">
        <v>29</v>
      </c>
      <c r="AL547" t="s">
        <v>8911</v>
      </c>
      <c r="AM547" t="s">
        <v>575</v>
      </c>
      <c r="AN547" t="s">
        <v>8912</v>
      </c>
      <c r="AO547" t="s">
        <v>10925</v>
      </c>
      <c r="AP547" t="s">
        <v>74</v>
      </c>
      <c r="AQ547" t="s">
        <v>74</v>
      </c>
      <c r="AR547" t="s">
        <v>10926</v>
      </c>
      <c r="AS547" t="s">
        <v>10927</v>
      </c>
      <c r="AT547" t="s">
        <v>10856</v>
      </c>
      <c r="AU547">
        <v>2018</v>
      </c>
      <c r="AV547">
        <v>83</v>
      </c>
      <c r="AW547">
        <v>6</v>
      </c>
      <c r="AX547" t="s">
        <v>74</v>
      </c>
      <c r="AY547" t="s">
        <v>74</v>
      </c>
      <c r="AZ547" t="s">
        <v>74</v>
      </c>
      <c r="BA547" t="s">
        <v>74</v>
      </c>
      <c r="BB547">
        <v>3047</v>
      </c>
      <c r="BC547">
        <v>3060</v>
      </c>
      <c r="BD547" t="s">
        <v>74</v>
      </c>
      <c r="BE547" t="s">
        <v>10928</v>
      </c>
      <c r="BF547" t="str">
        <f>HYPERLINK("http://dx.doi.org/10.1021/acs.joc.8b00118","http://dx.doi.org/10.1021/acs.joc.8b00118")</f>
        <v>http://dx.doi.org/10.1021/acs.joc.8b00118</v>
      </c>
      <c r="BG547" t="s">
        <v>74</v>
      </c>
      <c r="BH547" t="s">
        <v>74</v>
      </c>
      <c r="BI547">
        <v>14</v>
      </c>
      <c r="BJ547" t="s">
        <v>2034</v>
      </c>
      <c r="BK547" t="s">
        <v>10929</v>
      </c>
      <c r="BL547" t="s">
        <v>2035</v>
      </c>
      <c r="BM547" t="s">
        <v>10930</v>
      </c>
      <c r="BN547">
        <v>29470088</v>
      </c>
      <c r="BO547" t="s">
        <v>74</v>
      </c>
      <c r="BP547" t="s">
        <v>74</v>
      </c>
      <c r="BQ547" t="s">
        <v>74</v>
      </c>
      <c r="BR547" t="s">
        <v>105</v>
      </c>
      <c r="BS547" t="s">
        <v>10931</v>
      </c>
      <c r="BT547" t="str">
        <f>HYPERLINK("https%3A%2F%2Fwww.webofscience.com%2Fwos%2Fwoscc%2Ffull-record%2FWOS:000428002800004","View Full Record in Web of Science")</f>
        <v>View Full Record in Web of Science</v>
      </c>
    </row>
    <row r="548" spans="1:72" x14ac:dyDescent="0.15">
      <c r="A548" t="s">
        <v>72</v>
      </c>
      <c r="B548" t="s">
        <v>10932</v>
      </c>
      <c r="C548" t="s">
        <v>74</v>
      </c>
      <c r="D548" t="s">
        <v>74</v>
      </c>
      <c r="E548" t="s">
        <v>74</v>
      </c>
      <c r="F548" t="s">
        <v>10933</v>
      </c>
      <c r="G548" t="s">
        <v>74</v>
      </c>
      <c r="H548" t="s">
        <v>74</v>
      </c>
      <c r="I548" t="s">
        <v>10934</v>
      </c>
      <c r="J548" t="s">
        <v>10761</v>
      </c>
      <c r="K548" t="s">
        <v>74</v>
      </c>
      <c r="L548" t="s">
        <v>74</v>
      </c>
      <c r="M548" t="s">
        <v>78</v>
      </c>
      <c r="N548" t="s">
        <v>79</v>
      </c>
      <c r="O548" t="s">
        <v>74</v>
      </c>
      <c r="P548" t="s">
        <v>74</v>
      </c>
      <c r="Q548" t="s">
        <v>74</v>
      </c>
      <c r="R548" t="s">
        <v>74</v>
      </c>
      <c r="S548" t="s">
        <v>74</v>
      </c>
      <c r="T548" t="s">
        <v>10935</v>
      </c>
      <c r="U548" t="s">
        <v>10936</v>
      </c>
      <c r="V548" t="s">
        <v>10937</v>
      </c>
      <c r="W548" t="s">
        <v>10938</v>
      </c>
      <c r="X548" t="s">
        <v>10939</v>
      </c>
      <c r="Y548" t="s">
        <v>10940</v>
      </c>
      <c r="Z548" t="s">
        <v>10941</v>
      </c>
      <c r="AA548" t="s">
        <v>10942</v>
      </c>
      <c r="AB548" t="s">
        <v>10943</v>
      </c>
      <c r="AC548" t="s">
        <v>10944</v>
      </c>
      <c r="AD548" t="s">
        <v>10945</v>
      </c>
      <c r="AE548" t="s">
        <v>10946</v>
      </c>
      <c r="AF548" t="s">
        <v>74</v>
      </c>
      <c r="AG548">
        <v>21</v>
      </c>
      <c r="AH548">
        <v>4</v>
      </c>
      <c r="AI548">
        <v>4</v>
      </c>
      <c r="AJ548">
        <v>0</v>
      </c>
      <c r="AK548">
        <v>5</v>
      </c>
      <c r="AL548" t="s">
        <v>1563</v>
      </c>
      <c r="AM548" t="s">
        <v>1564</v>
      </c>
      <c r="AN548" t="s">
        <v>1565</v>
      </c>
      <c r="AO548" t="s">
        <v>10774</v>
      </c>
      <c r="AP548" t="s">
        <v>10775</v>
      </c>
      <c r="AQ548" t="s">
        <v>74</v>
      </c>
      <c r="AR548" t="s">
        <v>10776</v>
      </c>
      <c r="AS548" t="s">
        <v>10777</v>
      </c>
      <c r="AT548" t="s">
        <v>10856</v>
      </c>
      <c r="AU548">
        <v>2018</v>
      </c>
      <c r="AV548">
        <v>36</v>
      </c>
      <c r="AW548">
        <v>2</v>
      </c>
      <c r="AX548" t="s">
        <v>74</v>
      </c>
      <c r="AY548" t="s">
        <v>74</v>
      </c>
      <c r="AZ548" t="s">
        <v>74</v>
      </c>
      <c r="BA548" t="s">
        <v>74</v>
      </c>
      <c r="BB548">
        <v>405</v>
      </c>
      <c r="BC548">
        <v>413</v>
      </c>
      <c r="BD548" t="s">
        <v>74</v>
      </c>
      <c r="BE548" t="s">
        <v>10947</v>
      </c>
      <c r="BF548" t="str">
        <f>HYPERLINK("http://dx.doi.org/10.5194/angeo-36-405-2018","http://dx.doi.org/10.5194/angeo-36-405-2018")</f>
        <v>http://dx.doi.org/10.5194/angeo-36-405-2018</v>
      </c>
      <c r="BG548" t="s">
        <v>74</v>
      </c>
      <c r="BH548" t="s">
        <v>74</v>
      </c>
      <c r="BI548">
        <v>9</v>
      </c>
      <c r="BJ548" t="s">
        <v>10780</v>
      </c>
      <c r="BK548" t="s">
        <v>101</v>
      </c>
      <c r="BL548" t="s">
        <v>10781</v>
      </c>
      <c r="BM548" t="s">
        <v>10948</v>
      </c>
      <c r="BN548" t="s">
        <v>74</v>
      </c>
      <c r="BO548" t="s">
        <v>830</v>
      </c>
      <c r="BP548" t="s">
        <v>74</v>
      </c>
      <c r="BQ548" t="s">
        <v>74</v>
      </c>
      <c r="BR548" t="s">
        <v>105</v>
      </c>
      <c r="BS548" t="s">
        <v>10949</v>
      </c>
      <c r="BT548" t="str">
        <f>HYPERLINK("https%3A%2F%2Fwww.webofscience.com%2Fwos%2Fwoscc%2Ffull-record%2FWOS:000427736500002","View Full Record in Web of Science")</f>
        <v>View Full Record in Web of Science</v>
      </c>
    </row>
    <row r="549" spans="1:72" x14ac:dyDescent="0.15">
      <c r="A549" t="s">
        <v>72</v>
      </c>
      <c r="B549" t="s">
        <v>10950</v>
      </c>
      <c r="C549" t="s">
        <v>74</v>
      </c>
      <c r="D549" t="s">
        <v>74</v>
      </c>
      <c r="E549" t="s">
        <v>74</v>
      </c>
      <c r="F549" t="s">
        <v>10951</v>
      </c>
      <c r="G549" t="s">
        <v>74</v>
      </c>
      <c r="H549" t="s">
        <v>74</v>
      </c>
      <c r="I549" t="s">
        <v>10952</v>
      </c>
      <c r="J549" t="s">
        <v>10761</v>
      </c>
      <c r="K549" t="s">
        <v>74</v>
      </c>
      <c r="L549" t="s">
        <v>74</v>
      </c>
      <c r="M549" t="s">
        <v>78</v>
      </c>
      <c r="N549" t="s">
        <v>79</v>
      </c>
      <c r="O549" t="s">
        <v>74</v>
      </c>
      <c r="P549" t="s">
        <v>74</v>
      </c>
      <c r="Q549" t="s">
        <v>74</v>
      </c>
      <c r="R549" t="s">
        <v>74</v>
      </c>
      <c r="S549" t="s">
        <v>74</v>
      </c>
      <c r="T549" t="s">
        <v>10953</v>
      </c>
      <c r="U549" t="s">
        <v>10954</v>
      </c>
      <c r="V549" t="s">
        <v>10955</v>
      </c>
      <c r="W549" t="s">
        <v>10956</v>
      </c>
      <c r="X549" t="s">
        <v>10957</v>
      </c>
      <c r="Y549" t="s">
        <v>10958</v>
      </c>
      <c r="Z549" t="s">
        <v>10959</v>
      </c>
      <c r="AA549" t="s">
        <v>10960</v>
      </c>
      <c r="AB549" t="s">
        <v>10961</v>
      </c>
      <c r="AC549" t="s">
        <v>10962</v>
      </c>
      <c r="AD549" t="s">
        <v>10963</v>
      </c>
      <c r="AE549" t="s">
        <v>10964</v>
      </c>
      <c r="AF549" t="s">
        <v>74</v>
      </c>
      <c r="AG549">
        <v>28</v>
      </c>
      <c r="AH549">
        <v>5</v>
      </c>
      <c r="AI549">
        <v>5</v>
      </c>
      <c r="AJ549">
        <v>0</v>
      </c>
      <c r="AK549">
        <v>3</v>
      </c>
      <c r="AL549" t="s">
        <v>1563</v>
      </c>
      <c r="AM549" t="s">
        <v>1564</v>
      </c>
      <c r="AN549" t="s">
        <v>1565</v>
      </c>
      <c r="AO549" t="s">
        <v>10774</v>
      </c>
      <c r="AP549" t="s">
        <v>10775</v>
      </c>
      <c r="AQ549" t="s">
        <v>74</v>
      </c>
      <c r="AR549" t="s">
        <v>10776</v>
      </c>
      <c r="AS549" t="s">
        <v>10777</v>
      </c>
      <c r="AT549" t="s">
        <v>10856</v>
      </c>
      <c r="AU549">
        <v>2018</v>
      </c>
      <c r="AV549">
        <v>36</v>
      </c>
      <c r="AW549">
        <v>2</v>
      </c>
      <c r="AX549" t="s">
        <v>74</v>
      </c>
      <c r="AY549" t="s">
        <v>74</v>
      </c>
      <c r="AZ549" t="s">
        <v>74</v>
      </c>
      <c r="BA549" t="s">
        <v>74</v>
      </c>
      <c r="BB549">
        <v>415</v>
      </c>
      <c r="BC549">
        <v>424</v>
      </c>
      <c r="BD549" t="s">
        <v>74</v>
      </c>
      <c r="BE549" t="s">
        <v>10965</v>
      </c>
      <c r="BF549" t="str">
        <f>HYPERLINK("http://dx.doi.org/10.5194/angeo-36-415-2018","http://dx.doi.org/10.5194/angeo-36-415-2018")</f>
        <v>http://dx.doi.org/10.5194/angeo-36-415-2018</v>
      </c>
      <c r="BG549" t="s">
        <v>74</v>
      </c>
      <c r="BH549" t="s">
        <v>74</v>
      </c>
      <c r="BI549">
        <v>10</v>
      </c>
      <c r="BJ549" t="s">
        <v>10780</v>
      </c>
      <c r="BK549" t="s">
        <v>101</v>
      </c>
      <c r="BL549" t="s">
        <v>10781</v>
      </c>
      <c r="BM549" t="s">
        <v>10948</v>
      </c>
      <c r="BN549" t="s">
        <v>74</v>
      </c>
      <c r="BO549" t="s">
        <v>830</v>
      </c>
      <c r="BP549" t="s">
        <v>74</v>
      </c>
      <c r="BQ549" t="s">
        <v>74</v>
      </c>
      <c r="BR549" t="s">
        <v>105</v>
      </c>
      <c r="BS549" t="s">
        <v>10966</v>
      </c>
      <c r="BT549" t="str">
        <f>HYPERLINK("https%3A%2F%2Fwww.webofscience.com%2Fwos%2Fwoscc%2Ffull-record%2FWOS:000427736500003","View Full Record in Web of Science")</f>
        <v>View Full Record in Web of Science</v>
      </c>
    </row>
    <row r="550" spans="1:72" x14ac:dyDescent="0.15">
      <c r="A550" t="s">
        <v>72</v>
      </c>
      <c r="B550" t="s">
        <v>10967</v>
      </c>
      <c r="C550" t="s">
        <v>74</v>
      </c>
      <c r="D550" t="s">
        <v>74</v>
      </c>
      <c r="E550" t="s">
        <v>74</v>
      </c>
      <c r="F550" t="s">
        <v>10968</v>
      </c>
      <c r="G550" t="s">
        <v>74</v>
      </c>
      <c r="H550" t="s">
        <v>74</v>
      </c>
      <c r="I550" t="s">
        <v>10969</v>
      </c>
      <c r="J550" t="s">
        <v>1651</v>
      </c>
      <c r="K550" t="s">
        <v>74</v>
      </c>
      <c r="L550" t="s">
        <v>74</v>
      </c>
      <c r="M550" t="s">
        <v>78</v>
      </c>
      <c r="N550" t="s">
        <v>79</v>
      </c>
      <c r="O550" t="s">
        <v>74</v>
      </c>
      <c r="P550" t="s">
        <v>74</v>
      </c>
      <c r="Q550" t="s">
        <v>74</v>
      </c>
      <c r="R550" t="s">
        <v>74</v>
      </c>
      <c r="S550" t="s">
        <v>74</v>
      </c>
      <c r="T550" t="s">
        <v>74</v>
      </c>
      <c r="U550" t="s">
        <v>10970</v>
      </c>
      <c r="V550" t="s">
        <v>10971</v>
      </c>
      <c r="W550" t="s">
        <v>10972</v>
      </c>
      <c r="X550" t="s">
        <v>10973</v>
      </c>
      <c r="Y550" t="s">
        <v>10974</v>
      </c>
      <c r="Z550" t="s">
        <v>10975</v>
      </c>
      <c r="AA550" t="s">
        <v>10976</v>
      </c>
      <c r="AB550" t="s">
        <v>10977</v>
      </c>
      <c r="AC550" t="s">
        <v>10978</v>
      </c>
      <c r="AD550" t="s">
        <v>10979</v>
      </c>
      <c r="AE550" t="s">
        <v>10980</v>
      </c>
      <c r="AF550" t="s">
        <v>74</v>
      </c>
      <c r="AG550">
        <v>63</v>
      </c>
      <c r="AH550">
        <v>30</v>
      </c>
      <c r="AI550">
        <v>32</v>
      </c>
      <c r="AJ550">
        <v>0</v>
      </c>
      <c r="AK550">
        <v>9</v>
      </c>
      <c r="AL550" t="s">
        <v>1663</v>
      </c>
      <c r="AM550" t="s">
        <v>1664</v>
      </c>
      <c r="AN550" t="s">
        <v>1665</v>
      </c>
      <c r="AO550" t="s">
        <v>1666</v>
      </c>
      <c r="AP550" t="s">
        <v>74</v>
      </c>
      <c r="AQ550" t="s">
        <v>74</v>
      </c>
      <c r="AR550" t="s">
        <v>1667</v>
      </c>
      <c r="AS550" t="s">
        <v>1668</v>
      </c>
      <c r="AT550" t="s">
        <v>10856</v>
      </c>
      <c r="AU550">
        <v>2018</v>
      </c>
      <c r="AV550">
        <v>8</v>
      </c>
      <c r="AW550" t="s">
        <v>74</v>
      </c>
      <c r="AX550" t="s">
        <v>74</v>
      </c>
      <c r="AY550" t="s">
        <v>74</v>
      </c>
      <c r="AZ550" t="s">
        <v>74</v>
      </c>
      <c r="BA550" t="s">
        <v>74</v>
      </c>
      <c r="BB550" t="s">
        <v>74</v>
      </c>
      <c r="BC550" t="s">
        <v>74</v>
      </c>
      <c r="BD550">
        <v>4678</v>
      </c>
      <c r="BE550" t="s">
        <v>10981</v>
      </c>
      <c r="BF550" t="str">
        <f>HYPERLINK("http://dx.doi.org/10.1038/s41598-018-22943-0","http://dx.doi.org/10.1038/s41598-018-22943-0")</f>
        <v>http://dx.doi.org/10.1038/s41598-018-22943-0</v>
      </c>
      <c r="BG550" t="s">
        <v>74</v>
      </c>
      <c r="BH550" t="s">
        <v>74</v>
      </c>
      <c r="BI550">
        <v>11</v>
      </c>
      <c r="BJ550" t="s">
        <v>1670</v>
      </c>
      <c r="BK550" t="s">
        <v>101</v>
      </c>
      <c r="BL550" t="s">
        <v>1671</v>
      </c>
      <c r="BM550" t="s">
        <v>10982</v>
      </c>
      <c r="BN550">
        <v>29549276</v>
      </c>
      <c r="BO550" t="s">
        <v>2998</v>
      </c>
      <c r="BP550" t="s">
        <v>74</v>
      </c>
      <c r="BQ550" t="s">
        <v>74</v>
      </c>
      <c r="BR550" t="s">
        <v>105</v>
      </c>
      <c r="BS550" t="s">
        <v>10983</v>
      </c>
      <c r="BT550" t="str">
        <f>HYPERLINK("https%3A%2F%2Fwww.webofscience.com%2Fwos%2Fwoscc%2Ffull-record%2FWOS:000427586500002","View Full Record in Web of Science")</f>
        <v>View Full Record in Web of Science</v>
      </c>
    </row>
    <row r="551" spans="1:72" x14ac:dyDescent="0.15">
      <c r="A551" t="s">
        <v>72</v>
      </c>
      <c r="B551" t="s">
        <v>10984</v>
      </c>
      <c r="C551" t="s">
        <v>74</v>
      </c>
      <c r="D551" t="s">
        <v>74</v>
      </c>
      <c r="E551" t="s">
        <v>74</v>
      </c>
      <c r="F551" t="s">
        <v>10985</v>
      </c>
      <c r="G551" t="s">
        <v>74</v>
      </c>
      <c r="H551" t="s">
        <v>74</v>
      </c>
      <c r="I551" t="s">
        <v>10986</v>
      </c>
      <c r="J551" t="s">
        <v>927</v>
      </c>
      <c r="K551" t="s">
        <v>74</v>
      </c>
      <c r="L551" t="s">
        <v>74</v>
      </c>
      <c r="M551" t="s">
        <v>78</v>
      </c>
      <c r="N551" t="s">
        <v>79</v>
      </c>
      <c r="O551" t="s">
        <v>74</v>
      </c>
      <c r="P551" t="s">
        <v>74</v>
      </c>
      <c r="Q551" t="s">
        <v>74</v>
      </c>
      <c r="R551" t="s">
        <v>74</v>
      </c>
      <c r="S551" t="s">
        <v>74</v>
      </c>
      <c r="T551" t="s">
        <v>10987</v>
      </c>
      <c r="U551" t="s">
        <v>10988</v>
      </c>
      <c r="V551" t="s">
        <v>10989</v>
      </c>
      <c r="W551" t="s">
        <v>10990</v>
      </c>
      <c r="X551" t="s">
        <v>10991</v>
      </c>
      <c r="Y551" t="s">
        <v>10992</v>
      </c>
      <c r="Z551" t="s">
        <v>10993</v>
      </c>
      <c r="AA551" t="s">
        <v>10994</v>
      </c>
      <c r="AB551" t="s">
        <v>10995</v>
      </c>
      <c r="AC551" t="s">
        <v>10996</v>
      </c>
      <c r="AD551" t="s">
        <v>10997</v>
      </c>
      <c r="AE551" t="s">
        <v>10998</v>
      </c>
      <c r="AF551" t="s">
        <v>74</v>
      </c>
      <c r="AG551">
        <v>50</v>
      </c>
      <c r="AH551">
        <v>21</v>
      </c>
      <c r="AI551">
        <v>24</v>
      </c>
      <c r="AJ551">
        <v>5</v>
      </c>
      <c r="AK551">
        <v>64</v>
      </c>
      <c r="AL551" t="s">
        <v>451</v>
      </c>
      <c r="AM551" t="s">
        <v>452</v>
      </c>
      <c r="AN551" t="s">
        <v>453</v>
      </c>
      <c r="AO551" t="s">
        <v>940</v>
      </c>
      <c r="AP551" t="s">
        <v>941</v>
      </c>
      <c r="AQ551" t="s">
        <v>74</v>
      </c>
      <c r="AR551" t="s">
        <v>942</v>
      </c>
      <c r="AS551" t="s">
        <v>943</v>
      </c>
      <c r="AT551" t="s">
        <v>10999</v>
      </c>
      <c r="AU551">
        <v>2018</v>
      </c>
      <c r="AV551">
        <v>486</v>
      </c>
      <c r="AW551" t="s">
        <v>74</v>
      </c>
      <c r="AX551" t="s">
        <v>74</v>
      </c>
      <c r="AY551" t="s">
        <v>74</v>
      </c>
      <c r="AZ551" t="s">
        <v>74</v>
      </c>
      <c r="BA551" t="s">
        <v>74</v>
      </c>
      <c r="BB551">
        <v>166</v>
      </c>
      <c r="BC551">
        <v>177</v>
      </c>
      <c r="BD551" t="s">
        <v>74</v>
      </c>
      <c r="BE551" t="s">
        <v>11000</v>
      </c>
      <c r="BF551" t="str">
        <f>HYPERLINK("http://dx.doi.org/10.1016/j.epsl.2018.01.016","http://dx.doi.org/10.1016/j.epsl.2018.01.016")</f>
        <v>http://dx.doi.org/10.1016/j.epsl.2018.01.016</v>
      </c>
      <c r="BG551" t="s">
        <v>74</v>
      </c>
      <c r="BH551" t="s">
        <v>74</v>
      </c>
      <c r="BI551">
        <v>12</v>
      </c>
      <c r="BJ551" t="s">
        <v>260</v>
      </c>
      <c r="BK551" t="s">
        <v>101</v>
      </c>
      <c r="BL551" t="s">
        <v>260</v>
      </c>
      <c r="BM551" t="s">
        <v>11001</v>
      </c>
      <c r="BN551" t="s">
        <v>74</v>
      </c>
      <c r="BO551" t="s">
        <v>74</v>
      </c>
      <c r="BP551" t="s">
        <v>74</v>
      </c>
      <c r="BQ551" t="s">
        <v>74</v>
      </c>
      <c r="BR551" t="s">
        <v>105</v>
      </c>
      <c r="BS551" t="s">
        <v>11002</v>
      </c>
      <c r="BT551" t="str">
        <f>HYPERLINK("https%3A%2F%2Fwww.webofscience.com%2Fwos%2Fwoscc%2Ffull-record%2FWOS:000427102700016","View Full Record in Web of Science")</f>
        <v>View Full Record in Web of Science</v>
      </c>
    </row>
    <row r="552" spans="1:72" x14ac:dyDescent="0.15">
      <c r="A552" t="s">
        <v>72</v>
      </c>
      <c r="B552" t="s">
        <v>11003</v>
      </c>
      <c r="C552" t="s">
        <v>74</v>
      </c>
      <c r="D552" t="s">
        <v>74</v>
      </c>
      <c r="E552" t="s">
        <v>74</v>
      </c>
      <c r="F552" t="s">
        <v>11004</v>
      </c>
      <c r="G552" t="s">
        <v>74</v>
      </c>
      <c r="H552" t="s">
        <v>74</v>
      </c>
      <c r="I552" t="s">
        <v>11005</v>
      </c>
      <c r="J552" t="s">
        <v>2827</v>
      </c>
      <c r="K552" t="s">
        <v>74</v>
      </c>
      <c r="L552" t="s">
        <v>74</v>
      </c>
      <c r="M552" t="s">
        <v>78</v>
      </c>
      <c r="N552" t="s">
        <v>79</v>
      </c>
      <c r="O552" t="s">
        <v>74</v>
      </c>
      <c r="P552" t="s">
        <v>74</v>
      </c>
      <c r="Q552" t="s">
        <v>74</v>
      </c>
      <c r="R552" t="s">
        <v>74</v>
      </c>
      <c r="S552" t="s">
        <v>74</v>
      </c>
      <c r="T552" t="s">
        <v>11006</v>
      </c>
      <c r="U552" t="s">
        <v>11007</v>
      </c>
      <c r="V552" t="s">
        <v>11008</v>
      </c>
      <c r="W552" t="s">
        <v>11009</v>
      </c>
      <c r="X552" t="s">
        <v>11010</v>
      </c>
      <c r="Y552" t="s">
        <v>11011</v>
      </c>
      <c r="Z552" t="s">
        <v>11012</v>
      </c>
      <c r="AA552" t="s">
        <v>11013</v>
      </c>
      <c r="AB552" t="s">
        <v>74</v>
      </c>
      <c r="AC552" t="s">
        <v>11014</v>
      </c>
      <c r="AD552" t="s">
        <v>11015</v>
      </c>
      <c r="AE552" t="s">
        <v>11016</v>
      </c>
      <c r="AF552" t="s">
        <v>74</v>
      </c>
      <c r="AG552">
        <v>36</v>
      </c>
      <c r="AH552">
        <v>92</v>
      </c>
      <c r="AI552">
        <v>103</v>
      </c>
      <c r="AJ552">
        <v>15</v>
      </c>
      <c r="AK552">
        <v>222</v>
      </c>
      <c r="AL552" t="s">
        <v>425</v>
      </c>
      <c r="AM552" t="s">
        <v>278</v>
      </c>
      <c r="AN552" t="s">
        <v>426</v>
      </c>
      <c r="AO552" t="s">
        <v>2840</v>
      </c>
      <c r="AP552" t="s">
        <v>2841</v>
      </c>
      <c r="AQ552" t="s">
        <v>74</v>
      </c>
      <c r="AR552" t="s">
        <v>2842</v>
      </c>
      <c r="AS552" t="s">
        <v>2843</v>
      </c>
      <c r="AT552" t="s">
        <v>10999</v>
      </c>
      <c r="AU552">
        <v>2018</v>
      </c>
      <c r="AV552">
        <v>243</v>
      </c>
      <c r="AW552" t="s">
        <v>74</v>
      </c>
      <c r="AX552" t="s">
        <v>74</v>
      </c>
      <c r="AY552" t="s">
        <v>74</v>
      </c>
      <c r="AZ552" t="s">
        <v>74</v>
      </c>
      <c r="BA552" t="s">
        <v>74</v>
      </c>
      <c r="BB552">
        <v>389</v>
      </c>
      <c r="BC552">
        <v>395</v>
      </c>
      <c r="BD552" t="s">
        <v>74</v>
      </c>
      <c r="BE552" t="s">
        <v>11017</v>
      </c>
      <c r="BF552" t="str">
        <f>HYPERLINK("http://dx.doi.org/10.1016/j.foodchem.2017.09.152","http://dx.doi.org/10.1016/j.foodchem.2017.09.152")</f>
        <v>http://dx.doi.org/10.1016/j.foodchem.2017.09.152</v>
      </c>
      <c r="BG552" t="s">
        <v>74</v>
      </c>
      <c r="BH552" t="s">
        <v>74</v>
      </c>
      <c r="BI552">
        <v>7</v>
      </c>
      <c r="BJ552" t="s">
        <v>2845</v>
      </c>
      <c r="BK552" t="s">
        <v>101</v>
      </c>
      <c r="BL552" t="s">
        <v>2846</v>
      </c>
      <c r="BM552" t="s">
        <v>11018</v>
      </c>
      <c r="BN552">
        <v>29146354</v>
      </c>
      <c r="BO552" t="s">
        <v>74</v>
      </c>
      <c r="BP552" t="s">
        <v>74</v>
      </c>
      <c r="BQ552" t="s">
        <v>74</v>
      </c>
      <c r="BR552" t="s">
        <v>105</v>
      </c>
      <c r="BS552" t="s">
        <v>11019</v>
      </c>
      <c r="BT552" t="str">
        <f>HYPERLINK("https%3A%2F%2Fwww.webofscience.com%2Fwos%2Fwoscc%2Ffull-record%2FWOS:000414961700049","View Full Record in Web of Science")</f>
        <v>View Full Record in Web of Science</v>
      </c>
    </row>
    <row r="553" spans="1:72" x14ac:dyDescent="0.15">
      <c r="A553" t="s">
        <v>72</v>
      </c>
      <c r="B553" t="s">
        <v>11020</v>
      </c>
      <c r="C553" t="s">
        <v>74</v>
      </c>
      <c r="D553" t="s">
        <v>74</v>
      </c>
      <c r="E553" t="s">
        <v>74</v>
      </c>
      <c r="F553" t="s">
        <v>11021</v>
      </c>
      <c r="G553" t="s">
        <v>74</v>
      </c>
      <c r="H553" t="s">
        <v>74</v>
      </c>
      <c r="I553" t="s">
        <v>11022</v>
      </c>
      <c r="J553" t="s">
        <v>2979</v>
      </c>
      <c r="K553" t="s">
        <v>74</v>
      </c>
      <c r="L553" t="s">
        <v>74</v>
      </c>
      <c r="M553" t="s">
        <v>78</v>
      </c>
      <c r="N553" t="s">
        <v>79</v>
      </c>
      <c r="O553" t="s">
        <v>74</v>
      </c>
      <c r="P553" t="s">
        <v>74</v>
      </c>
      <c r="Q553" t="s">
        <v>74</v>
      </c>
      <c r="R553" t="s">
        <v>74</v>
      </c>
      <c r="S553" t="s">
        <v>74</v>
      </c>
      <c r="T553" t="s">
        <v>11023</v>
      </c>
      <c r="U553" t="s">
        <v>11024</v>
      </c>
      <c r="V553" t="s">
        <v>11025</v>
      </c>
      <c r="W553" t="s">
        <v>11026</v>
      </c>
      <c r="X553" t="s">
        <v>11027</v>
      </c>
      <c r="Y553" t="s">
        <v>11028</v>
      </c>
      <c r="Z553" t="s">
        <v>11029</v>
      </c>
      <c r="AA553" t="s">
        <v>11030</v>
      </c>
      <c r="AB553" t="s">
        <v>11031</v>
      </c>
      <c r="AC553" t="s">
        <v>11032</v>
      </c>
      <c r="AD553" t="s">
        <v>11033</v>
      </c>
      <c r="AE553" t="s">
        <v>11034</v>
      </c>
      <c r="AF553" t="s">
        <v>74</v>
      </c>
      <c r="AG553">
        <v>75</v>
      </c>
      <c r="AH553">
        <v>9</v>
      </c>
      <c r="AI553">
        <v>9</v>
      </c>
      <c r="AJ553">
        <v>1</v>
      </c>
      <c r="AK553">
        <v>12</v>
      </c>
      <c r="AL553" t="s">
        <v>2152</v>
      </c>
      <c r="AM553" t="s">
        <v>2153</v>
      </c>
      <c r="AN553" t="s">
        <v>2154</v>
      </c>
      <c r="AO553" t="s">
        <v>74</v>
      </c>
      <c r="AP553" t="s">
        <v>2992</v>
      </c>
      <c r="AQ553" t="s">
        <v>74</v>
      </c>
      <c r="AR553" t="s">
        <v>2993</v>
      </c>
      <c r="AS553" t="s">
        <v>2994</v>
      </c>
      <c r="AT553" t="s">
        <v>10999</v>
      </c>
      <c r="AU553">
        <v>2018</v>
      </c>
      <c r="AV553">
        <v>6</v>
      </c>
      <c r="AW553" t="s">
        <v>74</v>
      </c>
      <c r="AX553" t="s">
        <v>74</v>
      </c>
      <c r="AY553" t="s">
        <v>74</v>
      </c>
      <c r="AZ553" t="s">
        <v>74</v>
      </c>
      <c r="BA553" t="s">
        <v>74</v>
      </c>
      <c r="BB553" t="s">
        <v>74</v>
      </c>
      <c r="BC553" t="s">
        <v>74</v>
      </c>
      <c r="BD553">
        <v>22</v>
      </c>
      <c r="BE553" t="s">
        <v>11035</v>
      </c>
      <c r="BF553" t="str">
        <f>HYPERLINK("http://dx.doi.org/10.3389/feart.2018.00022","http://dx.doi.org/10.3389/feart.2018.00022")</f>
        <v>http://dx.doi.org/10.3389/feart.2018.00022</v>
      </c>
      <c r="BG553" t="s">
        <v>74</v>
      </c>
      <c r="BH553" t="s">
        <v>74</v>
      </c>
      <c r="BI553">
        <v>14</v>
      </c>
      <c r="BJ553" t="s">
        <v>1243</v>
      </c>
      <c r="BK553" t="s">
        <v>101</v>
      </c>
      <c r="BL553" t="s">
        <v>1181</v>
      </c>
      <c r="BM553" t="s">
        <v>11036</v>
      </c>
      <c r="BN553" t="s">
        <v>74</v>
      </c>
      <c r="BO553" t="s">
        <v>3105</v>
      </c>
      <c r="BP553" t="s">
        <v>74</v>
      </c>
      <c r="BQ553" t="s">
        <v>74</v>
      </c>
      <c r="BR553" t="s">
        <v>105</v>
      </c>
      <c r="BS553" t="s">
        <v>11037</v>
      </c>
      <c r="BT553" t="str">
        <f>HYPERLINK("https%3A%2F%2Fwww.webofscience.com%2Fwos%2Fwoscc%2Ffull-record%2FWOS:000429864600001","View Full Record in Web of Science")</f>
        <v>View Full Record in Web of Science</v>
      </c>
    </row>
    <row r="554" spans="1:72" x14ac:dyDescent="0.15">
      <c r="A554" t="s">
        <v>72</v>
      </c>
      <c r="B554" t="s">
        <v>11038</v>
      </c>
      <c r="C554" t="s">
        <v>74</v>
      </c>
      <c r="D554" t="s">
        <v>74</v>
      </c>
      <c r="E554" t="s">
        <v>74</v>
      </c>
      <c r="F554" t="s">
        <v>11039</v>
      </c>
      <c r="G554" t="s">
        <v>74</v>
      </c>
      <c r="H554" t="s">
        <v>74</v>
      </c>
      <c r="I554" t="s">
        <v>11040</v>
      </c>
      <c r="J554" t="s">
        <v>11041</v>
      </c>
      <c r="K554" t="s">
        <v>74</v>
      </c>
      <c r="L554" t="s">
        <v>74</v>
      </c>
      <c r="M554" t="s">
        <v>78</v>
      </c>
      <c r="N554" t="s">
        <v>79</v>
      </c>
      <c r="O554" t="s">
        <v>74</v>
      </c>
      <c r="P554" t="s">
        <v>74</v>
      </c>
      <c r="Q554" t="s">
        <v>74</v>
      </c>
      <c r="R554" t="s">
        <v>74</v>
      </c>
      <c r="S554" t="s">
        <v>74</v>
      </c>
      <c r="T554" t="s">
        <v>11042</v>
      </c>
      <c r="U554" t="s">
        <v>11043</v>
      </c>
      <c r="V554" t="s">
        <v>11044</v>
      </c>
      <c r="W554" t="s">
        <v>11045</v>
      </c>
      <c r="X554" t="s">
        <v>11046</v>
      </c>
      <c r="Y554" t="s">
        <v>11047</v>
      </c>
      <c r="Z554" t="s">
        <v>11048</v>
      </c>
      <c r="AA554" t="s">
        <v>11049</v>
      </c>
      <c r="AB554" t="s">
        <v>11050</v>
      </c>
      <c r="AC554" t="s">
        <v>11051</v>
      </c>
      <c r="AD554" t="s">
        <v>11052</v>
      </c>
      <c r="AE554" t="s">
        <v>11053</v>
      </c>
      <c r="AF554" t="s">
        <v>74</v>
      </c>
      <c r="AG554">
        <v>21</v>
      </c>
      <c r="AH554">
        <v>12</v>
      </c>
      <c r="AI554">
        <v>13</v>
      </c>
      <c r="AJ554">
        <v>2</v>
      </c>
      <c r="AK554">
        <v>32</v>
      </c>
      <c r="AL554" t="s">
        <v>425</v>
      </c>
      <c r="AM554" t="s">
        <v>278</v>
      </c>
      <c r="AN554" t="s">
        <v>426</v>
      </c>
      <c r="AO554" t="s">
        <v>11054</v>
      </c>
      <c r="AP554" t="s">
        <v>11055</v>
      </c>
      <c r="AQ554" t="s">
        <v>74</v>
      </c>
      <c r="AR554" t="s">
        <v>11056</v>
      </c>
      <c r="AS554" t="s">
        <v>11057</v>
      </c>
      <c r="AT554" t="s">
        <v>10999</v>
      </c>
      <c r="AU554">
        <v>2018</v>
      </c>
      <c r="AV554">
        <v>61</v>
      </c>
      <c r="AW554">
        <v>6</v>
      </c>
      <c r="AX554" t="s">
        <v>74</v>
      </c>
      <c r="AY554" t="s">
        <v>74</v>
      </c>
      <c r="AZ554" t="s">
        <v>74</v>
      </c>
      <c r="BA554" t="s">
        <v>74</v>
      </c>
      <c r="BB554">
        <v>1398</v>
      </c>
      <c r="BC554">
        <v>1411</v>
      </c>
      <c r="BD554" t="s">
        <v>74</v>
      </c>
      <c r="BE554" t="s">
        <v>11058</v>
      </c>
      <c r="BF554" t="str">
        <f>HYPERLINK("http://dx.doi.org/10.1016/j.asr.2017.12.031","http://dx.doi.org/10.1016/j.asr.2017.12.031")</f>
        <v>http://dx.doi.org/10.1016/j.asr.2017.12.031</v>
      </c>
      <c r="BG554" t="s">
        <v>74</v>
      </c>
      <c r="BH554" t="s">
        <v>74</v>
      </c>
      <c r="BI554">
        <v>14</v>
      </c>
      <c r="BJ554" t="s">
        <v>11059</v>
      </c>
      <c r="BK554" t="s">
        <v>101</v>
      </c>
      <c r="BL554" t="s">
        <v>11060</v>
      </c>
      <c r="BM554" t="s">
        <v>11061</v>
      </c>
      <c r="BN554" t="s">
        <v>74</v>
      </c>
      <c r="BO554" t="s">
        <v>74</v>
      </c>
      <c r="BP554" t="s">
        <v>74</v>
      </c>
      <c r="BQ554" t="s">
        <v>74</v>
      </c>
      <c r="BR554" t="s">
        <v>105</v>
      </c>
      <c r="BS554" t="s">
        <v>11062</v>
      </c>
      <c r="BT554" t="str">
        <f>HYPERLINK("https%3A%2F%2Fwww.webofscience.com%2Fwos%2Fwoscc%2Ffull-record%2FWOS:000428496900002","View Full Record in Web of Science")</f>
        <v>View Full Record in Web of Science</v>
      </c>
    </row>
    <row r="555" spans="1:72" x14ac:dyDescent="0.15">
      <c r="A555" t="s">
        <v>72</v>
      </c>
      <c r="B555" t="s">
        <v>11063</v>
      </c>
      <c r="C555" t="s">
        <v>74</v>
      </c>
      <c r="D555" t="s">
        <v>74</v>
      </c>
      <c r="E555" t="s">
        <v>74</v>
      </c>
      <c r="F555" t="s">
        <v>11064</v>
      </c>
      <c r="G555" t="s">
        <v>74</v>
      </c>
      <c r="H555" t="s">
        <v>74</v>
      </c>
      <c r="I555" t="s">
        <v>11065</v>
      </c>
      <c r="J555" t="s">
        <v>5917</v>
      </c>
      <c r="K555" t="s">
        <v>74</v>
      </c>
      <c r="L555" t="s">
        <v>74</v>
      </c>
      <c r="M555" t="s">
        <v>78</v>
      </c>
      <c r="N555" t="s">
        <v>79</v>
      </c>
      <c r="O555" t="s">
        <v>74</v>
      </c>
      <c r="P555" t="s">
        <v>74</v>
      </c>
      <c r="Q555" t="s">
        <v>74</v>
      </c>
      <c r="R555" t="s">
        <v>74</v>
      </c>
      <c r="S555" t="s">
        <v>74</v>
      </c>
      <c r="T555" t="s">
        <v>11066</v>
      </c>
      <c r="U555" t="s">
        <v>11067</v>
      </c>
      <c r="V555" t="s">
        <v>11068</v>
      </c>
      <c r="W555" t="s">
        <v>11069</v>
      </c>
      <c r="X555" t="s">
        <v>11070</v>
      </c>
      <c r="Y555" t="s">
        <v>11071</v>
      </c>
      <c r="Z555" t="s">
        <v>11072</v>
      </c>
      <c r="AA555" t="s">
        <v>11073</v>
      </c>
      <c r="AB555" t="s">
        <v>11074</v>
      </c>
      <c r="AC555" t="s">
        <v>11075</v>
      </c>
      <c r="AD555" t="s">
        <v>11076</v>
      </c>
      <c r="AE555" t="s">
        <v>11077</v>
      </c>
      <c r="AF555" t="s">
        <v>74</v>
      </c>
      <c r="AG555">
        <v>51</v>
      </c>
      <c r="AH555">
        <v>1</v>
      </c>
      <c r="AI555">
        <v>1</v>
      </c>
      <c r="AJ555">
        <v>0</v>
      </c>
      <c r="AK555">
        <v>6</v>
      </c>
      <c r="AL555" t="s">
        <v>2908</v>
      </c>
      <c r="AM555" t="s">
        <v>2909</v>
      </c>
      <c r="AN555" t="s">
        <v>2910</v>
      </c>
      <c r="AO555" t="s">
        <v>5928</v>
      </c>
      <c r="AP555" t="s">
        <v>5929</v>
      </c>
      <c r="AQ555" t="s">
        <v>74</v>
      </c>
      <c r="AR555" t="s">
        <v>5917</v>
      </c>
      <c r="AS555" t="s">
        <v>5930</v>
      </c>
      <c r="AT555" t="s">
        <v>10999</v>
      </c>
      <c r="AU555">
        <v>2018</v>
      </c>
      <c r="AV555">
        <v>4394</v>
      </c>
      <c r="AW555">
        <v>3</v>
      </c>
      <c r="AX555" t="s">
        <v>74</v>
      </c>
      <c r="AY555" t="s">
        <v>74</v>
      </c>
      <c r="AZ555" t="s">
        <v>74</v>
      </c>
      <c r="BA555" t="s">
        <v>74</v>
      </c>
      <c r="BB555">
        <v>301</v>
      </c>
      <c r="BC555">
        <v>346</v>
      </c>
      <c r="BD555" t="s">
        <v>74</v>
      </c>
      <c r="BE555" t="s">
        <v>11078</v>
      </c>
      <c r="BF555" t="str">
        <f>HYPERLINK("http://dx.doi.org/10.11646/zootaxa.4394.3.1","http://dx.doi.org/10.11646/zootaxa.4394.3.1")</f>
        <v>http://dx.doi.org/10.11646/zootaxa.4394.3.1</v>
      </c>
      <c r="BG555" t="s">
        <v>74</v>
      </c>
      <c r="BH555" t="s">
        <v>74</v>
      </c>
      <c r="BI555">
        <v>46</v>
      </c>
      <c r="BJ555" t="s">
        <v>2624</v>
      </c>
      <c r="BK555" t="s">
        <v>101</v>
      </c>
      <c r="BL555" t="s">
        <v>2624</v>
      </c>
      <c r="BM555" t="s">
        <v>11079</v>
      </c>
      <c r="BN555">
        <v>29690356</v>
      </c>
      <c r="BO555" t="s">
        <v>74</v>
      </c>
      <c r="BP555" t="s">
        <v>74</v>
      </c>
      <c r="BQ555" t="s">
        <v>74</v>
      </c>
      <c r="BR555" t="s">
        <v>105</v>
      </c>
      <c r="BS555" t="s">
        <v>11080</v>
      </c>
      <c r="BT555" t="str">
        <f>HYPERLINK("https%3A%2F%2Fwww.webofscience.com%2Fwos%2Fwoscc%2Ffull-record%2FWOS:000427398800001","View Full Record in Web of Science")</f>
        <v>View Full Record in Web of Science</v>
      </c>
    </row>
    <row r="556" spans="1:72" x14ac:dyDescent="0.15">
      <c r="A556" t="s">
        <v>72</v>
      </c>
      <c r="B556" t="s">
        <v>11081</v>
      </c>
      <c r="C556" t="s">
        <v>74</v>
      </c>
      <c r="D556" t="s">
        <v>74</v>
      </c>
      <c r="E556" t="s">
        <v>74</v>
      </c>
      <c r="F556" t="s">
        <v>11082</v>
      </c>
      <c r="G556" t="s">
        <v>74</v>
      </c>
      <c r="H556" t="s">
        <v>74</v>
      </c>
      <c r="I556" t="s">
        <v>11083</v>
      </c>
      <c r="J556" t="s">
        <v>927</v>
      </c>
      <c r="K556" t="s">
        <v>74</v>
      </c>
      <c r="L556" t="s">
        <v>74</v>
      </c>
      <c r="M556" t="s">
        <v>78</v>
      </c>
      <c r="N556" t="s">
        <v>79</v>
      </c>
      <c r="O556" t="s">
        <v>74</v>
      </c>
      <c r="P556" t="s">
        <v>74</v>
      </c>
      <c r="Q556" t="s">
        <v>74</v>
      </c>
      <c r="R556" t="s">
        <v>74</v>
      </c>
      <c r="S556" t="s">
        <v>74</v>
      </c>
      <c r="T556" t="s">
        <v>11084</v>
      </c>
      <c r="U556" t="s">
        <v>11085</v>
      </c>
      <c r="V556" t="s">
        <v>11086</v>
      </c>
      <c r="W556" t="s">
        <v>11087</v>
      </c>
      <c r="X556" t="s">
        <v>11088</v>
      </c>
      <c r="Y556" t="s">
        <v>11089</v>
      </c>
      <c r="Z556" t="s">
        <v>11090</v>
      </c>
      <c r="AA556" t="s">
        <v>11091</v>
      </c>
      <c r="AB556" t="s">
        <v>11092</v>
      </c>
      <c r="AC556" t="s">
        <v>11093</v>
      </c>
      <c r="AD556" t="s">
        <v>11094</v>
      </c>
      <c r="AE556" t="s">
        <v>11095</v>
      </c>
      <c r="AF556" t="s">
        <v>74</v>
      </c>
      <c r="AG556">
        <v>50</v>
      </c>
      <c r="AH556">
        <v>18</v>
      </c>
      <c r="AI556">
        <v>20</v>
      </c>
      <c r="AJ556">
        <v>1</v>
      </c>
      <c r="AK556">
        <v>12</v>
      </c>
      <c r="AL556" t="s">
        <v>914</v>
      </c>
      <c r="AM556" t="s">
        <v>452</v>
      </c>
      <c r="AN556" t="s">
        <v>915</v>
      </c>
      <c r="AO556" t="s">
        <v>940</v>
      </c>
      <c r="AP556" t="s">
        <v>941</v>
      </c>
      <c r="AQ556" t="s">
        <v>74</v>
      </c>
      <c r="AR556" t="s">
        <v>942</v>
      </c>
      <c r="AS556" t="s">
        <v>943</v>
      </c>
      <c r="AT556" t="s">
        <v>10999</v>
      </c>
      <c r="AU556">
        <v>2018</v>
      </c>
      <c r="AV556">
        <v>486</v>
      </c>
      <c r="AW556" t="s">
        <v>74</v>
      </c>
      <c r="AX556" t="s">
        <v>74</v>
      </c>
      <c r="AY556" t="s">
        <v>74</v>
      </c>
      <c r="AZ556" t="s">
        <v>74</v>
      </c>
      <c r="BA556" t="s">
        <v>74</v>
      </c>
      <c r="BB556">
        <v>54</v>
      </c>
      <c r="BC556">
        <v>60</v>
      </c>
      <c r="BD556" t="s">
        <v>74</v>
      </c>
      <c r="BE556" t="s">
        <v>11096</v>
      </c>
      <c r="BF556" t="str">
        <f>HYPERLINK("http://dx.doi.org/10.1016/j.epsl.2017.12.046","http://dx.doi.org/10.1016/j.epsl.2017.12.046")</f>
        <v>http://dx.doi.org/10.1016/j.epsl.2017.12.046</v>
      </c>
      <c r="BG556" t="s">
        <v>74</v>
      </c>
      <c r="BH556" t="s">
        <v>74</v>
      </c>
      <c r="BI556">
        <v>7</v>
      </c>
      <c r="BJ556" t="s">
        <v>260</v>
      </c>
      <c r="BK556" t="s">
        <v>101</v>
      </c>
      <c r="BL556" t="s">
        <v>260</v>
      </c>
      <c r="BM556" t="s">
        <v>11001</v>
      </c>
      <c r="BN556" t="s">
        <v>74</v>
      </c>
      <c r="BO556" t="s">
        <v>341</v>
      </c>
      <c r="BP556" t="s">
        <v>74</v>
      </c>
      <c r="BQ556" t="s">
        <v>74</v>
      </c>
      <c r="BR556" t="s">
        <v>105</v>
      </c>
      <c r="BS556" t="s">
        <v>11097</v>
      </c>
      <c r="BT556" t="str">
        <f>HYPERLINK("https%3A%2F%2Fwww.webofscience.com%2Fwos%2Fwoscc%2Ffull-record%2FWOS:000427102700006","View Full Record in Web of Science")</f>
        <v>View Full Record in Web of Science</v>
      </c>
    </row>
    <row r="557" spans="1:72" x14ac:dyDescent="0.15">
      <c r="A557" t="s">
        <v>72</v>
      </c>
      <c r="B557" t="s">
        <v>11098</v>
      </c>
      <c r="C557" t="s">
        <v>74</v>
      </c>
      <c r="D557" t="s">
        <v>74</v>
      </c>
      <c r="E557" t="s">
        <v>74</v>
      </c>
      <c r="F557" t="s">
        <v>11099</v>
      </c>
      <c r="G557" t="s">
        <v>74</v>
      </c>
      <c r="H557" t="s">
        <v>74</v>
      </c>
      <c r="I557" t="s">
        <v>11100</v>
      </c>
      <c r="J557" t="s">
        <v>11101</v>
      </c>
      <c r="K557" t="s">
        <v>74</v>
      </c>
      <c r="L557" t="s">
        <v>74</v>
      </c>
      <c r="M557" t="s">
        <v>78</v>
      </c>
      <c r="N557" t="s">
        <v>466</v>
      </c>
      <c r="O557" t="s">
        <v>74</v>
      </c>
      <c r="P557" t="s">
        <v>74</v>
      </c>
      <c r="Q557" t="s">
        <v>74</v>
      </c>
      <c r="R557" t="s">
        <v>74</v>
      </c>
      <c r="S557" t="s">
        <v>74</v>
      </c>
      <c r="T557" t="s">
        <v>11102</v>
      </c>
      <c r="U557" t="s">
        <v>11103</v>
      </c>
      <c r="V557" t="s">
        <v>11104</v>
      </c>
      <c r="W557" t="s">
        <v>11105</v>
      </c>
      <c r="X557" t="s">
        <v>11106</v>
      </c>
      <c r="Y557" t="s">
        <v>11107</v>
      </c>
      <c r="Z557" t="s">
        <v>11108</v>
      </c>
      <c r="AA557" t="s">
        <v>11109</v>
      </c>
      <c r="AB557" t="s">
        <v>11110</v>
      </c>
      <c r="AC557" t="s">
        <v>11111</v>
      </c>
      <c r="AD557" t="s">
        <v>11112</v>
      </c>
      <c r="AE557" t="s">
        <v>11113</v>
      </c>
      <c r="AF557" t="s">
        <v>74</v>
      </c>
      <c r="AG557">
        <v>124</v>
      </c>
      <c r="AH557">
        <v>22</v>
      </c>
      <c r="AI557">
        <v>25</v>
      </c>
      <c r="AJ557">
        <v>4</v>
      </c>
      <c r="AK557">
        <v>25</v>
      </c>
      <c r="AL557" t="s">
        <v>2968</v>
      </c>
      <c r="AM557" t="s">
        <v>1540</v>
      </c>
      <c r="AN557" t="s">
        <v>2969</v>
      </c>
      <c r="AO557" t="s">
        <v>11114</v>
      </c>
      <c r="AP557" t="s">
        <v>74</v>
      </c>
      <c r="AQ557" t="s">
        <v>74</v>
      </c>
      <c r="AR557" t="s">
        <v>11115</v>
      </c>
      <c r="AS557" t="s">
        <v>11116</v>
      </c>
      <c r="AT557" t="s">
        <v>10999</v>
      </c>
      <c r="AU557">
        <v>2018</v>
      </c>
      <c r="AV557">
        <v>15</v>
      </c>
      <c r="AW557" t="s">
        <v>74</v>
      </c>
      <c r="AX557" t="s">
        <v>74</v>
      </c>
      <c r="AY557" t="s">
        <v>74</v>
      </c>
      <c r="AZ557" t="s">
        <v>74</v>
      </c>
      <c r="BA557" t="s">
        <v>74</v>
      </c>
      <c r="BB557" t="s">
        <v>74</v>
      </c>
      <c r="BC557" t="s">
        <v>74</v>
      </c>
      <c r="BD557">
        <v>7</v>
      </c>
      <c r="BE557" t="s">
        <v>11117</v>
      </c>
      <c r="BF557" t="str">
        <f>HYPERLINK("http://dx.doi.org/10.1186/s12983-018-0250-4","http://dx.doi.org/10.1186/s12983-018-0250-4")</f>
        <v>http://dx.doi.org/10.1186/s12983-018-0250-4</v>
      </c>
      <c r="BG557" t="s">
        <v>74</v>
      </c>
      <c r="BH557" t="s">
        <v>74</v>
      </c>
      <c r="BI557">
        <v>16</v>
      </c>
      <c r="BJ557" t="s">
        <v>2624</v>
      </c>
      <c r="BK557" t="s">
        <v>101</v>
      </c>
      <c r="BL557" t="s">
        <v>2624</v>
      </c>
      <c r="BM557" t="s">
        <v>11118</v>
      </c>
      <c r="BN557">
        <v>29568315</v>
      </c>
      <c r="BO557" t="s">
        <v>764</v>
      </c>
      <c r="BP557" t="s">
        <v>74</v>
      </c>
      <c r="BQ557" t="s">
        <v>74</v>
      </c>
      <c r="BR557" t="s">
        <v>105</v>
      </c>
      <c r="BS557" t="s">
        <v>11119</v>
      </c>
      <c r="BT557" t="str">
        <f>HYPERLINK("https%3A%2F%2Fwww.webofscience.com%2Fwos%2Fwoscc%2Ffull-record%2FWOS:000427725700001","View Full Record in Web of Science")</f>
        <v>View Full Record in Web of Science</v>
      </c>
    </row>
    <row r="558" spans="1:72" x14ac:dyDescent="0.15">
      <c r="A558" t="s">
        <v>72</v>
      </c>
      <c r="B558" t="s">
        <v>11120</v>
      </c>
      <c r="C558" t="s">
        <v>74</v>
      </c>
      <c r="D558" t="s">
        <v>74</v>
      </c>
      <c r="E558" t="s">
        <v>74</v>
      </c>
      <c r="F558" t="s">
        <v>11121</v>
      </c>
      <c r="G558" t="s">
        <v>74</v>
      </c>
      <c r="H558" t="s">
        <v>74</v>
      </c>
      <c r="I558" t="s">
        <v>11122</v>
      </c>
      <c r="J558" t="s">
        <v>7432</v>
      </c>
      <c r="K558" t="s">
        <v>74</v>
      </c>
      <c r="L558" t="s">
        <v>74</v>
      </c>
      <c r="M558" t="s">
        <v>78</v>
      </c>
      <c r="N558" t="s">
        <v>79</v>
      </c>
      <c r="O558" t="s">
        <v>74</v>
      </c>
      <c r="P558" t="s">
        <v>74</v>
      </c>
      <c r="Q558" t="s">
        <v>74</v>
      </c>
      <c r="R558" t="s">
        <v>74</v>
      </c>
      <c r="S558" t="s">
        <v>74</v>
      </c>
      <c r="T558" t="s">
        <v>11123</v>
      </c>
      <c r="U558" t="s">
        <v>11124</v>
      </c>
      <c r="V558" t="s">
        <v>11125</v>
      </c>
      <c r="W558" t="s">
        <v>11126</v>
      </c>
      <c r="X558" t="s">
        <v>11127</v>
      </c>
      <c r="Y558" t="s">
        <v>11128</v>
      </c>
      <c r="Z558" t="s">
        <v>11129</v>
      </c>
      <c r="AA558" t="s">
        <v>11130</v>
      </c>
      <c r="AB558" t="s">
        <v>11131</v>
      </c>
      <c r="AC558" t="s">
        <v>11132</v>
      </c>
      <c r="AD558" t="s">
        <v>11133</v>
      </c>
      <c r="AE558" t="s">
        <v>11134</v>
      </c>
      <c r="AF558" t="s">
        <v>74</v>
      </c>
      <c r="AG558">
        <v>64</v>
      </c>
      <c r="AH558">
        <v>9</v>
      </c>
      <c r="AI558">
        <v>9</v>
      </c>
      <c r="AJ558">
        <v>3</v>
      </c>
      <c r="AK558">
        <v>23</v>
      </c>
      <c r="AL558" t="s">
        <v>179</v>
      </c>
      <c r="AM558" t="s">
        <v>180</v>
      </c>
      <c r="AN558" t="s">
        <v>181</v>
      </c>
      <c r="AO558" t="s">
        <v>7445</v>
      </c>
      <c r="AP558" t="s">
        <v>7446</v>
      </c>
      <c r="AQ558" t="s">
        <v>74</v>
      </c>
      <c r="AR558" t="s">
        <v>7447</v>
      </c>
      <c r="AS558" t="s">
        <v>7448</v>
      </c>
      <c r="AT558" t="s">
        <v>10999</v>
      </c>
      <c r="AU558">
        <v>2018</v>
      </c>
      <c r="AV558">
        <v>38</v>
      </c>
      <c r="AW558">
        <v>3</v>
      </c>
      <c r="AX558" t="s">
        <v>74</v>
      </c>
      <c r="AY558" t="s">
        <v>74</v>
      </c>
      <c r="AZ558" t="s">
        <v>74</v>
      </c>
      <c r="BA558" t="s">
        <v>74</v>
      </c>
      <c r="BB558">
        <v>1499</v>
      </c>
      <c r="BC558">
        <v>1519</v>
      </c>
      <c r="BD558" t="s">
        <v>74</v>
      </c>
      <c r="BE558" t="s">
        <v>11135</v>
      </c>
      <c r="BF558" t="str">
        <f>HYPERLINK("http://dx.doi.org/10.1002/joc.5262","http://dx.doi.org/10.1002/joc.5262")</f>
        <v>http://dx.doi.org/10.1002/joc.5262</v>
      </c>
      <c r="BG558" t="s">
        <v>74</v>
      </c>
      <c r="BH558" t="s">
        <v>74</v>
      </c>
      <c r="BI558">
        <v>21</v>
      </c>
      <c r="BJ558" t="s">
        <v>131</v>
      </c>
      <c r="BK558" t="s">
        <v>101</v>
      </c>
      <c r="BL558" t="s">
        <v>131</v>
      </c>
      <c r="BM558" t="s">
        <v>11136</v>
      </c>
      <c r="BN558" t="s">
        <v>74</v>
      </c>
      <c r="BO558" t="s">
        <v>74</v>
      </c>
      <c r="BP558" t="s">
        <v>74</v>
      </c>
      <c r="BQ558" t="s">
        <v>74</v>
      </c>
      <c r="BR558" t="s">
        <v>105</v>
      </c>
      <c r="BS558" t="s">
        <v>11137</v>
      </c>
      <c r="BT558" t="str">
        <f>HYPERLINK("https%3A%2F%2Fwww.webofscience.com%2Fwos%2Fwoscc%2Ffull-record%2FWOS:000426729300029","View Full Record in Web of Science")</f>
        <v>View Full Record in Web of Science</v>
      </c>
    </row>
    <row r="559" spans="1:72" x14ac:dyDescent="0.15">
      <c r="A559" t="s">
        <v>72</v>
      </c>
      <c r="B559" t="s">
        <v>11138</v>
      </c>
      <c r="C559" t="s">
        <v>74</v>
      </c>
      <c r="D559" t="s">
        <v>74</v>
      </c>
      <c r="E559" t="s">
        <v>74</v>
      </c>
      <c r="F559" t="s">
        <v>11139</v>
      </c>
      <c r="G559" t="s">
        <v>74</v>
      </c>
      <c r="H559" t="s">
        <v>74</v>
      </c>
      <c r="I559" t="s">
        <v>11140</v>
      </c>
      <c r="J559" t="s">
        <v>1297</v>
      </c>
      <c r="K559" t="s">
        <v>74</v>
      </c>
      <c r="L559" t="s">
        <v>74</v>
      </c>
      <c r="M559" t="s">
        <v>78</v>
      </c>
      <c r="N559" t="s">
        <v>79</v>
      </c>
      <c r="O559" t="s">
        <v>74</v>
      </c>
      <c r="P559" t="s">
        <v>74</v>
      </c>
      <c r="Q559" t="s">
        <v>74</v>
      </c>
      <c r="R559" t="s">
        <v>74</v>
      </c>
      <c r="S559" t="s">
        <v>74</v>
      </c>
      <c r="T559" t="s">
        <v>11141</v>
      </c>
      <c r="U559" t="s">
        <v>11142</v>
      </c>
      <c r="V559" t="s">
        <v>11143</v>
      </c>
      <c r="W559" t="s">
        <v>11144</v>
      </c>
      <c r="X559" t="s">
        <v>11145</v>
      </c>
      <c r="Y559" t="s">
        <v>11146</v>
      </c>
      <c r="Z559" t="s">
        <v>11147</v>
      </c>
      <c r="AA559" t="s">
        <v>11148</v>
      </c>
      <c r="AB559" t="s">
        <v>11149</v>
      </c>
      <c r="AC559" t="s">
        <v>11150</v>
      </c>
      <c r="AD559" t="s">
        <v>11151</v>
      </c>
      <c r="AE559" t="s">
        <v>11152</v>
      </c>
      <c r="AF559" t="s">
        <v>74</v>
      </c>
      <c r="AG559">
        <v>71</v>
      </c>
      <c r="AH559">
        <v>22</v>
      </c>
      <c r="AI559">
        <v>23</v>
      </c>
      <c r="AJ559">
        <v>1</v>
      </c>
      <c r="AK559">
        <v>17</v>
      </c>
      <c r="AL559" t="s">
        <v>277</v>
      </c>
      <c r="AM559" t="s">
        <v>278</v>
      </c>
      <c r="AN559" t="s">
        <v>279</v>
      </c>
      <c r="AO559" t="s">
        <v>1310</v>
      </c>
      <c r="AP559" t="s">
        <v>1311</v>
      </c>
      <c r="AQ559" t="s">
        <v>74</v>
      </c>
      <c r="AR559" t="s">
        <v>1312</v>
      </c>
      <c r="AS559" t="s">
        <v>1313</v>
      </c>
      <c r="AT559" t="s">
        <v>10999</v>
      </c>
      <c r="AU559">
        <v>2018</v>
      </c>
      <c r="AV559">
        <v>225</v>
      </c>
      <c r="AW559" t="s">
        <v>74</v>
      </c>
      <c r="AX559" t="s">
        <v>74</v>
      </c>
      <c r="AY559" t="s">
        <v>74</v>
      </c>
      <c r="AZ559" t="s">
        <v>74</v>
      </c>
      <c r="BA559" t="s">
        <v>74</v>
      </c>
      <c r="BB559">
        <v>36</v>
      </c>
      <c r="BC559">
        <v>51</v>
      </c>
      <c r="BD559" t="s">
        <v>74</v>
      </c>
      <c r="BE559" t="s">
        <v>11153</v>
      </c>
      <c r="BF559" t="str">
        <f>HYPERLINK("http://dx.doi.org/10.1016/j.gca.2018.01.018","http://dx.doi.org/10.1016/j.gca.2018.01.018")</f>
        <v>http://dx.doi.org/10.1016/j.gca.2018.01.018</v>
      </c>
      <c r="BG559" t="s">
        <v>74</v>
      </c>
      <c r="BH559" t="s">
        <v>74</v>
      </c>
      <c r="BI559">
        <v>16</v>
      </c>
      <c r="BJ559" t="s">
        <v>260</v>
      </c>
      <c r="BK559" t="s">
        <v>101</v>
      </c>
      <c r="BL559" t="s">
        <v>260</v>
      </c>
      <c r="BM559" t="s">
        <v>11154</v>
      </c>
      <c r="BN559" t="s">
        <v>74</v>
      </c>
      <c r="BO559" t="s">
        <v>1316</v>
      </c>
      <c r="BP559" t="s">
        <v>74</v>
      </c>
      <c r="BQ559" t="s">
        <v>74</v>
      </c>
      <c r="BR559" t="s">
        <v>105</v>
      </c>
      <c r="BS559" t="s">
        <v>11155</v>
      </c>
      <c r="BT559" t="str">
        <f>HYPERLINK("https%3A%2F%2Fwww.webofscience.com%2Fwos%2Fwoscc%2Ffull-record%2FWOS:000424974700003","View Full Record in Web of Science")</f>
        <v>View Full Record in Web of Science</v>
      </c>
    </row>
    <row r="560" spans="1:72" x14ac:dyDescent="0.15">
      <c r="A560" t="s">
        <v>72</v>
      </c>
      <c r="B560" t="s">
        <v>11156</v>
      </c>
      <c r="C560" t="s">
        <v>74</v>
      </c>
      <c r="D560" t="s">
        <v>74</v>
      </c>
      <c r="E560" t="s">
        <v>74</v>
      </c>
      <c r="F560" t="s">
        <v>11157</v>
      </c>
      <c r="G560" t="s">
        <v>74</v>
      </c>
      <c r="H560" t="s">
        <v>74</v>
      </c>
      <c r="I560" t="s">
        <v>11158</v>
      </c>
      <c r="J560" t="s">
        <v>1401</v>
      </c>
      <c r="K560" t="s">
        <v>74</v>
      </c>
      <c r="L560" t="s">
        <v>74</v>
      </c>
      <c r="M560" t="s">
        <v>78</v>
      </c>
      <c r="N560" t="s">
        <v>79</v>
      </c>
      <c r="O560" t="s">
        <v>74</v>
      </c>
      <c r="P560" t="s">
        <v>74</v>
      </c>
      <c r="Q560" t="s">
        <v>74</v>
      </c>
      <c r="R560" t="s">
        <v>74</v>
      </c>
      <c r="S560" t="s">
        <v>74</v>
      </c>
      <c r="T560" t="s">
        <v>11159</v>
      </c>
      <c r="U560" t="s">
        <v>11160</v>
      </c>
      <c r="V560" t="s">
        <v>11161</v>
      </c>
      <c r="W560" t="s">
        <v>11162</v>
      </c>
      <c r="X560" t="s">
        <v>11163</v>
      </c>
      <c r="Y560" t="s">
        <v>11164</v>
      </c>
      <c r="Z560" t="s">
        <v>11165</v>
      </c>
      <c r="AA560" t="s">
        <v>74</v>
      </c>
      <c r="AB560" t="s">
        <v>11166</v>
      </c>
      <c r="AC560" t="s">
        <v>11167</v>
      </c>
      <c r="AD560" t="s">
        <v>11168</v>
      </c>
      <c r="AE560" t="s">
        <v>11169</v>
      </c>
      <c r="AF560" t="s">
        <v>74</v>
      </c>
      <c r="AG560">
        <v>61</v>
      </c>
      <c r="AH560">
        <v>4</v>
      </c>
      <c r="AI560">
        <v>7</v>
      </c>
      <c r="AJ560">
        <v>4</v>
      </c>
      <c r="AK560">
        <v>56</v>
      </c>
      <c r="AL560" t="s">
        <v>451</v>
      </c>
      <c r="AM560" t="s">
        <v>452</v>
      </c>
      <c r="AN560" t="s">
        <v>453</v>
      </c>
      <c r="AO560" t="s">
        <v>1413</v>
      </c>
      <c r="AP560" t="s">
        <v>1414</v>
      </c>
      <c r="AQ560" t="s">
        <v>74</v>
      </c>
      <c r="AR560" t="s">
        <v>1415</v>
      </c>
      <c r="AS560" t="s">
        <v>1416</v>
      </c>
      <c r="AT560" t="s">
        <v>10999</v>
      </c>
      <c r="AU560">
        <v>2018</v>
      </c>
      <c r="AV560">
        <v>493</v>
      </c>
      <c r="AW560" t="s">
        <v>74</v>
      </c>
      <c r="AX560" t="s">
        <v>74</v>
      </c>
      <c r="AY560" t="s">
        <v>74</v>
      </c>
      <c r="AZ560" t="s">
        <v>74</v>
      </c>
      <c r="BA560" t="s">
        <v>74</v>
      </c>
      <c r="BB560">
        <v>55</v>
      </c>
      <c r="BC560">
        <v>63</v>
      </c>
      <c r="BD560" t="s">
        <v>74</v>
      </c>
      <c r="BE560" t="s">
        <v>11170</v>
      </c>
      <c r="BF560" t="str">
        <f>HYPERLINK("http://dx.doi.org/10.1016/j.palaeo.2017.12.040","http://dx.doi.org/10.1016/j.palaeo.2017.12.040")</f>
        <v>http://dx.doi.org/10.1016/j.palaeo.2017.12.040</v>
      </c>
      <c r="BG560" t="s">
        <v>74</v>
      </c>
      <c r="BH560" t="s">
        <v>74</v>
      </c>
      <c r="BI560">
        <v>9</v>
      </c>
      <c r="BJ560" t="s">
        <v>1418</v>
      </c>
      <c r="BK560" t="s">
        <v>101</v>
      </c>
      <c r="BL560" t="s">
        <v>1419</v>
      </c>
      <c r="BM560" t="s">
        <v>11171</v>
      </c>
      <c r="BN560" t="s">
        <v>74</v>
      </c>
      <c r="BO560" t="s">
        <v>74</v>
      </c>
      <c r="BP560" t="s">
        <v>74</v>
      </c>
      <c r="BQ560" t="s">
        <v>74</v>
      </c>
      <c r="BR560" t="s">
        <v>105</v>
      </c>
      <c r="BS560" t="s">
        <v>11172</v>
      </c>
      <c r="BT560" t="str">
        <f>HYPERLINK("https%3A%2F%2Fwww.webofscience.com%2Fwos%2Fwoscc%2Ffull-record%2FWOS:000425071100006","View Full Record in Web of Science")</f>
        <v>View Full Record in Web of Science</v>
      </c>
    </row>
    <row r="561" spans="1:72" x14ac:dyDescent="0.15">
      <c r="A561" t="s">
        <v>72</v>
      </c>
      <c r="B561" t="s">
        <v>11173</v>
      </c>
      <c r="C561" t="s">
        <v>74</v>
      </c>
      <c r="D561" t="s">
        <v>74</v>
      </c>
      <c r="E561" t="s">
        <v>74</v>
      </c>
      <c r="F561" t="s">
        <v>11174</v>
      </c>
      <c r="G561" t="s">
        <v>74</v>
      </c>
      <c r="H561" t="s">
        <v>74</v>
      </c>
      <c r="I561" t="s">
        <v>11175</v>
      </c>
      <c r="J561" t="s">
        <v>1401</v>
      </c>
      <c r="K561" t="s">
        <v>74</v>
      </c>
      <c r="L561" t="s">
        <v>74</v>
      </c>
      <c r="M561" t="s">
        <v>78</v>
      </c>
      <c r="N561" t="s">
        <v>79</v>
      </c>
      <c r="O561" t="s">
        <v>74</v>
      </c>
      <c r="P561" t="s">
        <v>74</v>
      </c>
      <c r="Q561" t="s">
        <v>74</v>
      </c>
      <c r="R561" t="s">
        <v>74</v>
      </c>
      <c r="S561" t="s">
        <v>74</v>
      </c>
      <c r="T561" t="s">
        <v>74</v>
      </c>
      <c r="U561" t="s">
        <v>11176</v>
      </c>
      <c r="V561" t="s">
        <v>11177</v>
      </c>
      <c r="W561" t="s">
        <v>11178</v>
      </c>
      <c r="X561" t="s">
        <v>11179</v>
      </c>
      <c r="Y561" t="s">
        <v>7642</v>
      </c>
      <c r="Z561" t="s">
        <v>7643</v>
      </c>
      <c r="AA561" t="s">
        <v>11180</v>
      </c>
      <c r="AB561" t="s">
        <v>11181</v>
      </c>
      <c r="AC561" t="s">
        <v>11182</v>
      </c>
      <c r="AD561" t="s">
        <v>11183</v>
      </c>
      <c r="AE561" t="s">
        <v>11184</v>
      </c>
      <c r="AF561" t="s">
        <v>74</v>
      </c>
      <c r="AG561">
        <v>70</v>
      </c>
      <c r="AH561">
        <v>22</v>
      </c>
      <c r="AI561">
        <v>24</v>
      </c>
      <c r="AJ561">
        <v>0</v>
      </c>
      <c r="AK561">
        <v>12</v>
      </c>
      <c r="AL561" t="s">
        <v>451</v>
      </c>
      <c r="AM561" t="s">
        <v>452</v>
      </c>
      <c r="AN561" t="s">
        <v>453</v>
      </c>
      <c r="AO561" t="s">
        <v>1413</v>
      </c>
      <c r="AP561" t="s">
        <v>1414</v>
      </c>
      <c r="AQ561" t="s">
        <v>74</v>
      </c>
      <c r="AR561" t="s">
        <v>1415</v>
      </c>
      <c r="AS561" t="s">
        <v>1416</v>
      </c>
      <c r="AT561" t="s">
        <v>10999</v>
      </c>
      <c r="AU561">
        <v>2018</v>
      </c>
      <c r="AV561">
        <v>493</v>
      </c>
      <c r="AW561" t="s">
        <v>74</v>
      </c>
      <c r="AX561" t="s">
        <v>74</v>
      </c>
      <c r="AY561" t="s">
        <v>74</v>
      </c>
      <c r="AZ561" t="s">
        <v>74</v>
      </c>
      <c r="BA561" t="s">
        <v>74</v>
      </c>
      <c r="BB561">
        <v>64</v>
      </c>
      <c r="BC561">
        <v>81</v>
      </c>
      <c r="BD561" t="s">
        <v>74</v>
      </c>
      <c r="BE561" t="s">
        <v>11185</v>
      </c>
      <c r="BF561" t="str">
        <f>HYPERLINK("http://dx.doi.org/10.1016/j.palaeo.2017.12.041","http://dx.doi.org/10.1016/j.palaeo.2017.12.041")</f>
        <v>http://dx.doi.org/10.1016/j.palaeo.2017.12.041</v>
      </c>
      <c r="BG561" t="s">
        <v>74</v>
      </c>
      <c r="BH561" t="s">
        <v>74</v>
      </c>
      <c r="BI561">
        <v>18</v>
      </c>
      <c r="BJ561" t="s">
        <v>1418</v>
      </c>
      <c r="BK561" t="s">
        <v>101</v>
      </c>
      <c r="BL561" t="s">
        <v>1419</v>
      </c>
      <c r="BM561" t="s">
        <v>11171</v>
      </c>
      <c r="BN561" t="s">
        <v>74</v>
      </c>
      <c r="BO561" t="s">
        <v>341</v>
      </c>
      <c r="BP561" t="s">
        <v>74</v>
      </c>
      <c r="BQ561" t="s">
        <v>74</v>
      </c>
      <c r="BR561" t="s">
        <v>105</v>
      </c>
      <c r="BS561" t="s">
        <v>11186</v>
      </c>
      <c r="BT561" t="str">
        <f>HYPERLINK("https%3A%2F%2Fwww.webofscience.com%2Fwos%2Fwoscc%2Ffull-record%2FWOS:000425071100007","View Full Record in Web of Science")</f>
        <v>View Full Record in Web of Science</v>
      </c>
    </row>
    <row r="562" spans="1:72" x14ac:dyDescent="0.15">
      <c r="A562" t="s">
        <v>72</v>
      </c>
      <c r="B562" t="s">
        <v>11187</v>
      </c>
      <c r="C562" t="s">
        <v>74</v>
      </c>
      <c r="D562" t="s">
        <v>74</v>
      </c>
      <c r="E562" t="s">
        <v>74</v>
      </c>
      <c r="F562" t="s">
        <v>11188</v>
      </c>
      <c r="G562" t="s">
        <v>74</v>
      </c>
      <c r="H562" t="s">
        <v>74</v>
      </c>
      <c r="I562" t="s">
        <v>11189</v>
      </c>
      <c r="J562" t="s">
        <v>11190</v>
      </c>
      <c r="K562" t="s">
        <v>74</v>
      </c>
      <c r="L562" t="s">
        <v>74</v>
      </c>
      <c r="M562" t="s">
        <v>78</v>
      </c>
      <c r="N562" t="s">
        <v>79</v>
      </c>
      <c r="O562" t="s">
        <v>74</v>
      </c>
      <c r="P562" t="s">
        <v>74</v>
      </c>
      <c r="Q562" t="s">
        <v>74</v>
      </c>
      <c r="R562" t="s">
        <v>74</v>
      </c>
      <c r="S562" t="s">
        <v>74</v>
      </c>
      <c r="T562" t="s">
        <v>11191</v>
      </c>
      <c r="U562" t="s">
        <v>11192</v>
      </c>
      <c r="V562" t="s">
        <v>11193</v>
      </c>
      <c r="W562" t="s">
        <v>11194</v>
      </c>
      <c r="X562" t="s">
        <v>11195</v>
      </c>
      <c r="Y562" t="s">
        <v>11196</v>
      </c>
      <c r="Z562" t="s">
        <v>11197</v>
      </c>
      <c r="AA562" t="s">
        <v>74</v>
      </c>
      <c r="AB562" t="s">
        <v>74</v>
      </c>
      <c r="AC562" t="s">
        <v>11198</v>
      </c>
      <c r="AD562" t="s">
        <v>11199</v>
      </c>
      <c r="AE562" t="s">
        <v>11200</v>
      </c>
      <c r="AF562" t="s">
        <v>74</v>
      </c>
      <c r="AG562">
        <v>36</v>
      </c>
      <c r="AH562">
        <v>6</v>
      </c>
      <c r="AI562">
        <v>6</v>
      </c>
      <c r="AJ562">
        <v>0</v>
      </c>
      <c r="AK562">
        <v>2</v>
      </c>
      <c r="AL562" t="s">
        <v>11201</v>
      </c>
      <c r="AM562" t="s">
        <v>11202</v>
      </c>
      <c r="AN562" t="s">
        <v>11203</v>
      </c>
      <c r="AO562" t="s">
        <v>11204</v>
      </c>
      <c r="AP562" t="s">
        <v>74</v>
      </c>
      <c r="AQ562" t="s">
        <v>74</v>
      </c>
      <c r="AR562" t="s">
        <v>11205</v>
      </c>
      <c r="AS562" t="s">
        <v>11206</v>
      </c>
      <c r="AT562" t="s">
        <v>11207</v>
      </c>
      <c r="AU562">
        <v>2018</v>
      </c>
      <c r="AV562">
        <v>4</v>
      </c>
      <c r="AW562" t="s">
        <v>74</v>
      </c>
      <c r="AX562" t="s">
        <v>74</v>
      </c>
      <c r="AY562" t="s">
        <v>74</v>
      </c>
      <c r="AZ562" t="s">
        <v>74</v>
      </c>
      <c r="BA562" t="s">
        <v>74</v>
      </c>
      <c r="BB562" t="s">
        <v>74</v>
      </c>
      <c r="BC562" t="s">
        <v>74</v>
      </c>
      <c r="BD562" t="s">
        <v>11208</v>
      </c>
      <c r="BE562" t="s">
        <v>11209</v>
      </c>
      <c r="BF562" t="str">
        <f>HYPERLINK("http://dx.doi.org/10.1080/23312041.2018.1447263","http://dx.doi.org/10.1080/23312041.2018.1447263")</f>
        <v>http://dx.doi.org/10.1080/23312041.2018.1447263</v>
      </c>
      <c r="BG562" t="s">
        <v>74</v>
      </c>
      <c r="BH562" t="s">
        <v>74</v>
      </c>
      <c r="BI562">
        <v>17</v>
      </c>
      <c r="BJ562" t="s">
        <v>1243</v>
      </c>
      <c r="BK562" t="s">
        <v>261</v>
      </c>
      <c r="BL562" t="s">
        <v>1181</v>
      </c>
      <c r="BM562" t="s">
        <v>11210</v>
      </c>
      <c r="BN562" t="s">
        <v>74</v>
      </c>
      <c r="BO562" t="s">
        <v>2416</v>
      </c>
      <c r="BP562" t="s">
        <v>74</v>
      </c>
      <c r="BQ562" t="s">
        <v>74</v>
      </c>
      <c r="BR562" t="s">
        <v>105</v>
      </c>
      <c r="BS562" t="s">
        <v>11211</v>
      </c>
      <c r="BT562" t="str">
        <f>HYPERLINK("https%3A%2F%2Fwww.webofscience.com%2Fwos%2Fwoscc%2Ffull-record%2FWOS:000427682900001","View Full Record in Web of Science")</f>
        <v>View Full Record in Web of Science</v>
      </c>
    </row>
    <row r="563" spans="1:72" x14ac:dyDescent="0.15">
      <c r="A563" t="s">
        <v>72</v>
      </c>
      <c r="B563" t="s">
        <v>11212</v>
      </c>
      <c r="C563" t="s">
        <v>74</v>
      </c>
      <c r="D563" t="s">
        <v>74</v>
      </c>
      <c r="E563" t="s">
        <v>74</v>
      </c>
      <c r="F563" t="s">
        <v>11213</v>
      </c>
      <c r="G563" t="s">
        <v>74</v>
      </c>
      <c r="H563" t="s">
        <v>74</v>
      </c>
      <c r="I563" t="s">
        <v>11214</v>
      </c>
      <c r="J563" t="s">
        <v>1651</v>
      </c>
      <c r="K563" t="s">
        <v>74</v>
      </c>
      <c r="L563" t="s">
        <v>74</v>
      </c>
      <c r="M563" t="s">
        <v>78</v>
      </c>
      <c r="N563" t="s">
        <v>79</v>
      </c>
      <c r="O563" t="s">
        <v>74</v>
      </c>
      <c r="P563" t="s">
        <v>74</v>
      </c>
      <c r="Q563" t="s">
        <v>74</v>
      </c>
      <c r="R563" t="s">
        <v>74</v>
      </c>
      <c r="S563" t="s">
        <v>74</v>
      </c>
      <c r="T563" t="s">
        <v>74</v>
      </c>
      <c r="U563" t="s">
        <v>11215</v>
      </c>
      <c r="V563" t="s">
        <v>11216</v>
      </c>
      <c r="W563" t="s">
        <v>11217</v>
      </c>
      <c r="X563" t="s">
        <v>11218</v>
      </c>
      <c r="Y563" t="s">
        <v>11219</v>
      </c>
      <c r="Z563" t="s">
        <v>11220</v>
      </c>
      <c r="AA563" t="s">
        <v>11221</v>
      </c>
      <c r="AB563" t="s">
        <v>11222</v>
      </c>
      <c r="AC563" t="s">
        <v>11223</v>
      </c>
      <c r="AD563" t="s">
        <v>11224</v>
      </c>
      <c r="AE563" t="s">
        <v>11225</v>
      </c>
      <c r="AF563" t="s">
        <v>74</v>
      </c>
      <c r="AG563">
        <v>54</v>
      </c>
      <c r="AH563">
        <v>53</v>
      </c>
      <c r="AI563">
        <v>68</v>
      </c>
      <c r="AJ563">
        <v>4</v>
      </c>
      <c r="AK563">
        <v>48</v>
      </c>
      <c r="AL563" t="s">
        <v>1663</v>
      </c>
      <c r="AM563" t="s">
        <v>1664</v>
      </c>
      <c r="AN563" t="s">
        <v>1665</v>
      </c>
      <c r="AO563" t="s">
        <v>1666</v>
      </c>
      <c r="AP563" t="s">
        <v>74</v>
      </c>
      <c r="AQ563" t="s">
        <v>74</v>
      </c>
      <c r="AR563" t="s">
        <v>1667</v>
      </c>
      <c r="AS563" t="s">
        <v>1668</v>
      </c>
      <c r="AT563" t="s">
        <v>11207</v>
      </c>
      <c r="AU563">
        <v>2018</v>
      </c>
      <c r="AV563">
        <v>8</v>
      </c>
      <c r="AW563" t="s">
        <v>74</v>
      </c>
      <c r="AX563" t="s">
        <v>74</v>
      </c>
      <c r="AY563" t="s">
        <v>74</v>
      </c>
      <c r="AZ563" t="s">
        <v>74</v>
      </c>
      <c r="BA563" t="s">
        <v>74</v>
      </c>
      <c r="BB563" t="s">
        <v>74</v>
      </c>
      <c r="BC563" t="s">
        <v>74</v>
      </c>
      <c r="BD563">
        <v>4477</v>
      </c>
      <c r="BE563" t="s">
        <v>11226</v>
      </c>
      <c r="BF563" t="str">
        <f>HYPERLINK("http://dx.doi.org/10.1038/s41598-018-22765-0","http://dx.doi.org/10.1038/s41598-018-22765-0")</f>
        <v>http://dx.doi.org/10.1038/s41598-018-22765-0</v>
      </c>
      <c r="BG563" t="s">
        <v>74</v>
      </c>
      <c r="BH563" t="s">
        <v>74</v>
      </c>
      <c r="BI563">
        <v>8</v>
      </c>
      <c r="BJ563" t="s">
        <v>1670</v>
      </c>
      <c r="BK563" t="s">
        <v>101</v>
      </c>
      <c r="BL563" t="s">
        <v>1671</v>
      </c>
      <c r="BM563" t="s">
        <v>11227</v>
      </c>
      <c r="BN563">
        <v>29540750</v>
      </c>
      <c r="BO563" t="s">
        <v>2998</v>
      </c>
      <c r="BP563" t="s">
        <v>74</v>
      </c>
      <c r="BQ563" t="s">
        <v>74</v>
      </c>
      <c r="BR563" t="s">
        <v>105</v>
      </c>
      <c r="BS563" t="s">
        <v>11228</v>
      </c>
      <c r="BT563" t="str">
        <f>HYPERLINK("https%3A%2F%2Fwww.webofscience.com%2Fwos%2Fwoscc%2Ffull-record%2FWOS:000427366200007","View Full Record in Web of Science")</f>
        <v>View Full Record in Web of Science</v>
      </c>
    </row>
    <row r="564" spans="1:72" x14ac:dyDescent="0.15">
      <c r="A564" t="s">
        <v>72</v>
      </c>
      <c r="B564" t="s">
        <v>11229</v>
      </c>
      <c r="C564" t="s">
        <v>74</v>
      </c>
      <c r="D564" t="s">
        <v>74</v>
      </c>
      <c r="E564" t="s">
        <v>74</v>
      </c>
      <c r="F564" t="s">
        <v>11230</v>
      </c>
      <c r="G564" t="s">
        <v>74</v>
      </c>
      <c r="H564" t="s">
        <v>74</v>
      </c>
      <c r="I564" t="s">
        <v>11231</v>
      </c>
      <c r="J564" t="s">
        <v>1552</v>
      </c>
      <c r="K564" t="s">
        <v>74</v>
      </c>
      <c r="L564" t="s">
        <v>74</v>
      </c>
      <c r="M564" t="s">
        <v>78</v>
      </c>
      <c r="N564" t="s">
        <v>79</v>
      </c>
      <c r="O564" t="s">
        <v>74</v>
      </c>
      <c r="P564" t="s">
        <v>74</v>
      </c>
      <c r="Q564" t="s">
        <v>74</v>
      </c>
      <c r="R564" t="s">
        <v>74</v>
      </c>
      <c r="S564" t="s">
        <v>74</v>
      </c>
      <c r="T564" t="s">
        <v>74</v>
      </c>
      <c r="U564" t="s">
        <v>11232</v>
      </c>
      <c r="V564" t="s">
        <v>11233</v>
      </c>
      <c r="W564" t="s">
        <v>11234</v>
      </c>
      <c r="X564" t="s">
        <v>11235</v>
      </c>
      <c r="Y564" t="s">
        <v>11236</v>
      </c>
      <c r="Z564" t="s">
        <v>11237</v>
      </c>
      <c r="AA564" t="s">
        <v>74</v>
      </c>
      <c r="AB564" t="s">
        <v>11238</v>
      </c>
      <c r="AC564" t="s">
        <v>11239</v>
      </c>
      <c r="AD564" t="s">
        <v>11240</v>
      </c>
      <c r="AE564" t="s">
        <v>11241</v>
      </c>
      <c r="AF564" t="s">
        <v>74</v>
      </c>
      <c r="AG564">
        <v>41</v>
      </c>
      <c r="AH564">
        <v>5</v>
      </c>
      <c r="AI564">
        <v>6</v>
      </c>
      <c r="AJ564">
        <v>3</v>
      </c>
      <c r="AK564">
        <v>14</v>
      </c>
      <c r="AL564" t="s">
        <v>1563</v>
      </c>
      <c r="AM564" t="s">
        <v>1564</v>
      </c>
      <c r="AN564" t="s">
        <v>1565</v>
      </c>
      <c r="AO564" t="s">
        <v>1566</v>
      </c>
      <c r="AP564" t="s">
        <v>1567</v>
      </c>
      <c r="AQ564" t="s">
        <v>74</v>
      </c>
      <c r="AR564" t="s">
        <v>1568</v>
      </c>
      <c r="AS564" t="s">
        <v>1569</v>
      </c>
      <c r="AT564" t="s">
        <v>11207</v>
      </c>
      <c r="AU564">
        <v>2018</v>
      </c>
      <c r="AV564">
        <v>18</v>
      </c>
      <c r="AW564">
        <v>5</v>
      </c>
      <c r="AX564" t="s">
        <v>74</v>
      </c>
      <c r="AY564" t="s">
        <v>74</v>
      </c>
      <c r="AZ564" t="s">
        <v>74</v>
      </c>
      <c r="BA564" t="s">
        <v>74</v>
      </c>
      <c r="BB564">
        <v>3755</v>
      </c>
      <c r="BC564">
        <v>3778</v>
      </c>
      <c r="BD564" t="s">
        <v>74</v>
      </c>
      <c r="BE564" t="s">
        <v>11242</v>
      </c>
      <c r="BF564" t="str">
        <f>HYPERLINK("http://dx.doi.org/10.5194/acp-18-3755-2018","http://dx.doi.org/10.5194/acp-18-3755-2018")</f>
        <v>http://dx.doi.org/10.5194/acp-18-3755-2018</v>
      </c>
      <c r="BG564" t="s">
        <v>74</v>
      </c>
      <c r="BH564" t="s">
        <v>74</v>
      </c>
      <c r="BI564">
        <v>24</v>
      </c>
      <c r="BJ564" t="s">
        <v>285</v>
      </c>
      <c r="BK564" t="s">
        <v>101</v>
      </c>
      <c r="BL564" t="s">
        <v>286</v>
      </c>
      <c r="BM564" t="s">
        <v>11243</v>
      </c>
      <c r="BN564" t="s">
        <v>74</v>
      </c>
      <c r="BO564" t="s">
        <v>2233</v>
      </c>
      <c r="BP564" t="s">
        <v>74</v>
      </c>
      <c r="BQ564" t="s">
        <v>74</v>
      </c>
      <c r="BR564" t="s">
        <v>105</v>
      </c>
      <c r="BS564" t="s">
        <v>11244</v>
      </c>
      <c r="BT564" t="str">
        <f>HYPERLINK("https%3A%2F%2Fwww.webofscience.com%2Fwos%2Fwoscc%2Ffull-record%2FWOS:000427603500003","View Full Record in Web of Science")</f>
        <v>View Full Record in Web of Science</v>
      </c>
    </row>
    <row r="565" spans="1:72" x14ac:dyDescent="0.15">
      <c r="A565" t="s">
        <v>72</v>
      </c>
      <c r="B565" t="s">
        <v>11245</v>
      </c>
      <c r="C565" t="s">
        <v>74</v>
      </c>
      <c r="D565" t="s">
        <v>74</v>
      </c>
      <c r="E565" t="s">
        <v>74</v>
      </c>
      <c r="F565" t="s">
        <v>11246</v>
      </c>
      <c r="G565" t="s">
        <v>74</v>
      </c>
      <c r="H565" t="s">
        <v>74</v>
      </c>
      <c r="I565" t="s">
        <v>11247</v>
      </c>
      <c r="J565" t="s">
        <v>1677</v>
      </c>
      <c r="K565" t="s">
        <v>74</v>
      </c>
      <c r="L565" t="s">
        <v>74</v>
      </c>
      <c r="M565" t="s">
        <v>78</v>
      </c>
      <c r="N565" t="s">
        <v>79</v>
      </c>
      <c r="O565" t="s">
        <v>74</v>
      </c>
      <c r="P565" t="s">
        <v>74</v>
      </c>
      <c r="Q565" t="s">
        <v>74</v>
      </c>
      <c r="R565" t="s">
        <v>74</v>
      </c>
      <c r="S565" t="s">
        <v>74</v>
      </c>
      <c r="T565" t="s">
        <v>74</v>
      </c>
      <c r="U565" t="s">
        <v>11248</v>
      </c>
      <c r="V565" t="s">
        <v>11249</v>
      </c>
      <c r="W565" t="s">
        <v>11250</v>
      </c>
      <c r="X565" t="s">
        <v>11251</v>
      </c>
      <c r="Y565" t="s">
        <v>11252</v>
      </c>
      <c r="Z565" t="s">
        <v>11253</v>
      </c>
      <c r="AA565" t="s">
        <v>11254</v>
      </c>
      <c r="AB565" t="s">
        <v>11255</v>
      </c>
      <c r="AC565" t="s">
        <v>11256</v>
      </c>
      <c r="AD565" t="s">
        <v>11257</v>
      </c>
      <c r="AE565" t="s">
        <v>11258</v>
      </c>
      <c r="AF565" t="s">
        <v>74</v>
      </c>
      <c r="AG565">
        <v>69</v>
      </c>
      <c r="AH565">
        <v>37</v>
      </c>
      <c r="AI565">
        <v>38</v>
      </c>
      <c r="AJ565">
        <v>1</v>
      </c>
      <c r="AK565">
        <v>16</v>
      </c>
      <c r="AL565" t="s">
        <v>1663</v>
      </c>
      <c r="AM565" t="s">
        <v>1664</v>
      </c>
      <c r="AN565" t="s">
        <v>1665</v>
      </c>
      <c r="AO565" t="s">
        <v>74</v>
      </c>
      <c r="AP565" t="s">
        <v>1691</v>
      </c>
      <c r="AQ565" t="s">
        <v>74</v>
      </c>
      <c r="AR565" t="s">
        <v>1692</v>
      </c>
      <c r="AS565" t="s">
        <v>1693</v>
      </c>
      <c r="AT565" t="s">
        <v>11207</v>
      </c>
      <c r="AU565">
        <v>2018</v>
      </c>
      <c r="AV565">
        <v>9</v>
      </c>
      <c r="AW565" t="s">
        <v>74</v>
      </c>
      <c r="AX565" t="s">
        <v>74</v>
      </c>
      <c r="AY565" t="s">
        <v>74</v>
      </c>
      <c r="AZ565" t="s">
        <v>74</v>
      </c>
      <c r="BA565" t="s">
        <v>74</v>
      </c>
      <c r="BB565" t="s">
        <v>74</v>
      </c>
      <c r="BC565" t="s">
        <v>74</v>
      </c>
      <c r="BD565">
        <v>1068</v>
      </c>
      <c r="BE565" t="s">
        <v>11259</v>
      </c>
      <c r="BF565" t="str">
        <f>HYPERLINK("http://dx.doi.org/10.1038/s41467-018-03474-8","http://dx.doi.org/10.1038/s41467-018-03474-8")</f>
        <v>http://dx.doi.org/10.1038/s41467-018-03474-8</v>
      </c>
      <c r="BG565" t="s">
        <v>74</v>
      </c>
      <c r="BH565" t="s">
        <v>74</v>
      </c>
      <c r="BI565">
        <v>11</v>
      </c>
      <c r="BJ565" t="s">
        <v>1670</v>
      </c>
      <c r="BK565" t="s">
        <v>101</v>
      </c>
      <c r="BL565" t="s">
        <v>1671</v>
      </c>
      <c r="BM565" t="s">
        <v>11260</v>
      </c>
      <c r="BN565">
        <v>29540828</v>
      </c>
      <c r="BO565" t="s">
        <v>636</v>
      </c>
      <c r="BP565" t="s">
        <v>74</v>
      </c>
      <c r="BQ565" t="s">
        <v>74</v>
      </c>
      <c r="BR565" t="s">
        <v>105</v>
      </c>
      <c r="BS565" t="s">
        <v>11261</v>
      </c>
      <c r="BT565" t="str">
        <f>HYPERLINK("https%3A%2F%2Fwww.webofscience.com%2Fwos%2Fwoscc%2Ffull-record%2FWOS:000427376600007","View Full Record in Web of Science")</f>
        <v>View Full Record in Web of Science</v>
      </c>
    </row>
    <row r="566" spans="1:72" x14ac:dyDescent="0.15">
      <c r="A566" t="s">
        <v>72</v>
      </c>
      <c r="B566" t="s">
        <v>11262</v>
      </c>
      <c r="C566" t="s">
        <v>74</v>
      </c>
      <c r="D566" t="s">
        <v>74</v>
      </c>
      <c r="E566" t="s">
        <v>74</v>
      </c>
      <c r="F566" t="s">
        <v>11263</v>
      </c>
      <c r="G566" t="s">
        <v>74</v>
      </c>
      <c r="H566" t="s">
        <v>74</v>
      </c>
      <c r="I566" t="s">
        <v>11264</v>
      </c>
      <c r="J566" t="s">
        <v>1598</v>
      </c>
      <c r="K566" t="s">
        <v>74</v>
      </c>
      <c r="L566" t="s">
        <v>74</v>
      </c>
      <c r="M566" t="s">
        <v>78</v>
      </c>
      <c r="N566" t="s">
        <v>79</v>
      </c>
      <c r="O566" t="s">
        <v>74</v>
      </c>
      <c r="P566" t="s">
        <v>74</v>
      </c>
      <c r="Q566" t="s">
        <v>74</v>
      </c>
      <c r="R566" t="s">
        <v>74</v>
      </c>
      <c r="S566" t="s">
        <v>74</v>
      </c>
      <c r="T566" t="s">
        <v>11265</v>
      </c>
      <c r="U566" t="s">
        <v>11266</v>
      </c>
      <c r="V566" t="s">
        <v>11267</v>
      </c>
      <c r="W566" t="s">
        <v>11268</v>
      </c>
      <c r="X566" t="s">
        <v>11269</v>
      </c>
      <c r="Y566" t="s">
        <v>11270</v>
      </c>
      <c r="Z566" t="s">
        <v>11271</v>
      </c>
      <c r="AA566" t="s">
        <v>11272</v>
      </c>
      <c r="AB566" t="s">
        <v>11273</v>
      </c>
      <c r="AC566" t="s">
        <v>11274</v>
      </c>
      <c r="AD566" t="s">
        <v>11275</v>
      </c>
      <c r="AE566" t="s">
        <v>11276</v>
      </c>
      <c r="AF566" t="s">
        <v>74</v>
      </c>
      <c r="AG566">
        <v>71</v>
      </c>
      <c r="AH566">
        <v>21</v>
      </c>
      <c r="AI566">
        <v>25</v>
      </c>
      <c r="AJ566">
        <v>0</v>
      </c>
      <c r="AK566">
        <v>17</v>
      </c>
      <c r="AL566" t="s">
        <v>123</v>
      </c>
      <c r="AM566" t="s">
        <v>124</v>
      </c>
      <c r="AN566" t="s">
        <v>125</v>
      </c>
      <c r="AO566" t="s">
        <v>1609</v>
      </c>
      <c r="AP566" t="s">
        <v>1610</v>
      </c>
      <c r="AQ566" t="s">
        <v>74</v>
      </c>
      <c r="AR566" t="s">
        <v>1611</v>
      </c>
      <c r="AS566" t="s">
        <v>1612</v>
      </c>
      <c r="AT566" t="s">
        <v>11277</v>
      </c>
      <c r="AU566">
        <v>2018</v>
      </c>
      <c r="AV566">
        <v>50</v>
      </c>
      <c r="AW566">
        <v>1</v>
      </c>
      <c r="AX566" t="s">
        <v>74</v>
      </c>
      <c r="AY566" t="s">
        <v>74</v>
      </c>
      <c r="AZ566" t="s">
        <v>74</v>
      </c>
      <c r="BA566" t="s">
        <v>74</v>
      </c>
      <c r="BB566" t="s">
        <v>74</v>
      </c>
      <c r="BC566" t="s">
        <v>74</v>
      </c>
      <c r="BD566" t="s">
        <v>11278</v>
      </c>
      <c r="BE566" t="s">
        <v>11279</v>
      </c>
      <c r="BF566" t="str">
        <f>HYPERLINK("http://dx.doi.org/10.1080/15230430.2017.1415625","http://dx.doi.org/10.1080/15230430.2017.1415625")</f>
        <v>http://dx.doi.org/10.1080/15230430.2017.1415625</v>
      </c>
      <c r="BG566" t="s">
        <v>74</v>
      </c>
      <c r="BH566" t="s">
        <v>74</v>
      </c>
      <c r="BI566">
        <v>15</v>
      </c>
      <c r="BJ566" t="s">
        <v>1616</v>
      </c>
      <c r="BK566" t="s">
        <v>101</v>
      </c>
      <c r="BL566" t="s">
        <v>1617</v>
      </c>
      <c r="BM566" t="s">
        <v>11280</v>
      </c>
      <c r="BN566" t="s">
        <v>74</v>
      </c>
      <c r="BO566" t="s">
        <v>2695</v>
      </c>
      <c r="BP566" t="s">
        <v>74</v>
      </c>
      <c r="BQ566" t="s">
        <v>74</v>
      </c>
      <c r="BR566" t="s">
        <v>105</v>
      </c>
      <c r="BS566" t="s">
        <v>11281</v>
      </c>
      <c r="BT566" t="str">
        <f>HYPERLINK("https%3A%2F%2Fwww.webofscience.com%2Fwos%2Fwoscc%2Ffull-record%2FWOS:000438726900001","View Full Record in Web of Science")</f>
        <v>View Full Record in Web of Science</v>
      </c>
    </row>
    <row r="567" spans="1:72" x14ac:dyDescent="0.15">
      <c r="A567" t="s">
        <v>72</v>
      </c>
      <c r="B567" t="s">
        <v>11282</v>
      </c>
      <c r="C567" t="s">
        <v>74</v>
      </c>
      <c r="D567" t="s">
        <v>74</v>
      </c>
      <c r="E567" t="s">
        <v>74</v>
      </c>
      <c r="F567" t="s">
        <v>11283</v>
      </c>
      <c r="G567" t="s">
        <v>74</v>
      </c>
      <c r="H567" t="s">
        <v>74</v>
      </c>
      <c r="I567" t="s">
        <v>11284</v>
      </c>
      <c r="J567" t="s">
        <v>1598</v>
      </c>
      <c r="K567" t="s">
        <v>74</v>
      </c>
      <c r="L567" t="s">
        <v>74</v>
      </c>
      <c r="M567" t="s">
        <v>78</v>
      </c>
      <c r="N567" t="s">
        <v>79</v>
      </c>
      <c r="O567" t="s">
        <v>74</v>
      </c>
      <c r="P567" t="s">
        <v>74</v>
      </c>
      <c r="Q567" t="s">
        <v>74</v>
      </c>
      <c r="R567" t="s">
        <v>74</v>
      </c>
      <c r="S567" t="s">
        <v>74</v>
      </c>
      <c r="T567" t="s">
        <v>11285</v>
      </c>
      <c r="U567" t="s">
        <v>11286</v>
      </c>
      <c r="V567" t="s">
        <v>11287</v>
      </c>
      <c r="W567" t="s">
        <v>11288</v>
      </c>
      <c r="X567" t="s">
        <v>11289</v>
      </c>
      <c r="Y567" t="s">
        <v>11290</v>
      </c>
      <c r="Z567" t="s">
        <v>11291</v>
      </c>
      <c r="AA567" t="s">
        <v>11292</v>
      </c>
      <c r="AB567" t="s">
        <v>11293</v>
      </c>
      <c r="AC567" t="s">
        <v>11294</v>
      </c>
      <c r="AD567" t="s">
        <v>11295</v>
      </c>
      <c r="AE567" t="s">
        <v>11296</v>
      </c>
      <c r="AF567" t="s">
        <v>74</v>
      </c>
      <c r="AG567">
        <v>41</v>
      </c>
      <c r="AH567">
        <v>10</v>
      </c>
      <c r="AI567">
        <v>10</v>
      </c>
      <c r="AJ567">
        <v>0</v>
      </c>
      <c r="AK567">
        <v>9</v>
      </c>
      <c r="AL567" t="s">
        <v>123</v>
      </c>
      <c r="AM567" t="s">
        <v>124</v>
      </c>
      <c r="AN567" t="s">
        <v>125</v>
      </c>
      <c r="AO567" t="s">
        <v>1609</v>
      </c>
      <c r="AP567" t="s">
        <v>1610</v>
      </c>
      <c r="AQ567" t="s">
        <v>74</v>
      </c>
      <c r="AR567" t="s">
        <v>1611</v>
      </c>
      <c r="AS567" t="s">
        <v>1612</v>
      </c>
      <c r="AT567" t="s">
        <v>11277</v>
      </c>
      <c r="AU567">
        <v>2018</v>
      </c>
      <c r="AV567">
        <v>50</v>
      </c>
      <c r="AW567">
        <v>1</v>
      </c>
      <c r="AX567" t="s">
        <v>74</v>
      </c>
      <c r="AY567" t="s">
        <v>74</v>
      </c>
      <c r="AZ567" t="s">
        <v>74</v>
      </c>
      <c r="BA567" t="s">
        <v>74</v>
      </c>
      <c r="BB567" t="s">
        <v>74</v>
      </c>
      <c r="BC567" t="s">
        <v>74</v>
      </c>
      <c r="BD567" t="s">
        <v>11297</v>
      </c>
      <c r="BE567" t="s">
        <v>11298</v>
      </c>
      <c r="BF567" t="str">
        <f>HYPERLINK("http://dx.doi.org/10.1080/15230430.2017.1414463","http://dx.doi.org/10.1080/15230430.2017.1414463")</f>
        <v>http://dx.doi.org/10.1080/15230430.2017.1414463</v>
      </c>
      <c r="BG567" t="s">
        <v>74</v>
      </c>
      <c r="BH567" t="s">
        <v>74</v>
      </c>
      <c r="BI567">
        <v>15</v>
      </c>
      <c r="BJ567" t="s">
        <v>1616</v>
      </c>
      <c r="BK567" t="s">
        <v>101</v>
      </c>
      <c r="BL567" t="s">
        <v>1617</v>
      </c>
      <c r="BM567" t="s">
        <v>11299</v>
      </c>
      <c r="BN567" t="s">
        <v>74</v>
      </c>
      <c r="BO567" t="s">
        <v>781</v>
      </c>
      <c r="BP567" t="s">
        <v>74</v>
      </c>
      <c r="BQ567" t="s">
        <v>74</v>
      </c>
      <c r="BR567" t="s">
        <v>105</v>
      </c>
      <c r="BS567" t="s">
        <v>11300</v>
      </c>
      <c r="BT567" t="str">
        <f>HYPERLINK("https%3A%2F%2Fwww.webofscience.com%2Fwos%2Fwoscc%2Ffull-record%2FWOS:000438745700001","View Full Record in Web of Science")</f>
        <v>View Full Record in Web of Science</v>
      </c>
    </row>
    <row r="568" spans="1:72" x14ac:dyDescent="0.15">
      <c r="A568" t="s">
        <v>72</v>
      </c>
      <c r="B568" t="s">
        <v>11301</v>
      </c>
      <c r="C568" t="s">
        <v>74</v>
      </c>
      <c r="D568" t="s">
        <v>74</v>
      </c>
      <c r="E568" t="s">
        <v>74</v>
      </c>
      <c r="F568" t="s">
        <v>11302</v>
      </c>
      <c r="G568" t="s">
        <v>74</v>
      </c>
      <c r="H568" t="s">
        <v>74</v>
      </c>
      <c r="I568" t="s">
        <v>11303</v>
      </c>
      <c r="J568" t="s">
        <v>1598</v>
      </c>
      <c r="K568" t="s">
        <v>74</v>
      </c>
      <c r="L568" t="s">
        <v>74</v>
      </c>
      <c r="M568" t="s">
        <v>78</v>
      </c>
      <c r="N568" t="s">
        <v>79</v>
      </c>
      <c r="O568" t="s">
        <v>74</v>
      </c>
      <c r="P568" t="s">
        <v>74</v>
      </c>
      <c r="Q568" t="s">
        <v>74</v>
      </c>
      <c r="R568" t="s">
        <v>74</v>
      </c>
      <c r="S568" t="s">
        <v>74</v>
      </c>
      <c r="T568" t="s">
        <v>11304</v>
      </c>
      <c r="U568" t="s">
        <v>11305</v>
      </c>
      <c r="V568" t="s">
        <v>11306</v>
      </c>
      <c r="W568" t="s">
        <v>11307</v>
      </c>
      <c r="X568" t="s">
        <v>11308</v>
      </c>
      <c r="Y568" t="s">
        <v>11309</v>
      </c>
      <c r="Z568" t="s">
        <v>11310</v>
      </c>
      <c r="AA568" t="s">
        <v>74</v>
      </c>
      <c r="AB568" t="s">
        <v>11311</v>
      </c>
      <c r="AC568" t="s">
        <v>11312</v>
      </c>
      <c r="AD568" t="s">
        <v>11313</v>
      </c>
      <c r="AE568" t="s">
        <v>11314</v>
      </c>
      <c r="AF568" t="s">
        <v>74</v>
      </c>
      <c r="AG568">
        <v>49</v>
      </c>
      <c r="AH568">
        <v>11</v>
      </c>
      <c r="AI568">
        <v>11</v>
      </c>
      <c r="AJ568">
        <v>0</v>
      </c>
      <c r="AK568">
        <v>7</v>
      </c>
      <c r="AL568" t="s">
        <v>123</v>
      </c>
      <c r="AM568" t="s">
        <v>124</v>
      </c>
      <c r="AN568" t="s">
        <v>125</v>
      </c>
      <c r="AO568" t="s">
        <v>1609</v>
      </c>
      <c r="AP568" t="s">
        <v>1610</v>
      </c>
      <c r="AQ568" t="s">
        <v>74</v>
      </c>
      <c r="AR568" t="s">
        <v>1611</v>
      </c>
      <c r="AS568" t="s">
        <v>1612</v>
      </c>
      <c r="AT568" t="s">
        <v>11277</v>
      </c>
      <c r="AU568">
        <v>2018</v>
      </c>
      <c r="AV568">
        <v>50</v>
      </c>
      <c r="AW568">
        <v>1</v>
      </c>
      <c r="AX568" t="s">
        <v>74</v>
      </c>
      <c r="AY568" t="s">
        <v>74</v>
      </c>
      <c r="AZ568" t="s">
        <v>74</v>
      </c>
      <c r="BA568" t="s">
        <v>74</v>
      </c>
      <c r="BB568" t="s">
        <v>74</v>
      </c>
      <c r="BC568" t="s">
        <v>74</v>
      </c>
      <c r="BD568" t="s">
        <v>11315</v>
      </c>
      <c r="BE568" t="s">
        <v>11316</v>
      </c>
      <c r="BF568" t="str">
        <f>HYPERLINK("http://dx.doi.org/10.1080/15230430.2017.1414477","http://dx.doi.org/10.1080/15230430.2017.1414477")</f>
        <v>http://dx.doi.org/10.1080/15230430.2017.1414477</v>
      </c>
      <c r="BG568" t="s">
        <v>74</v>
      </c>
      <c r="BH568" t="s">
        <v>74</v>
      </c>
      <c r="BI568">
        <v>12</v>
      </c>
      <c r="BJ568" t="s">
        <v>1616</v>
      </c>
      <c r="BK568" t="s">
        <v>101</v>
      </c>
      <c r="BL568" t="s">
        <v>1617</v>
      </c>
      <c r="BM568" t="s">
        <v>11317</v>
      </c>
      <c r="BN568" t="s">
        <v>74</v>
      </c>
      <c r="BO568" t="s">
        <v>2998</v>
      </c>
      <c r="BP568" t="s">
        <v>74</v>
      </c>
      <c r="BQ568" t="s">
        <v>74</v>
      </c>
      <c r="BR568" t="s">
        <v>105</v>
      </c>
      <c r="BS568" t="s">
        <v>11318</v>
      </c>
      <c r="BT568" t="str">
        <f>HYPERLINK("https%3A%2F%2Fwww.webofscience.com%2Fwos%2Fwoscc%2Ffull-record%2FWOS:000438743300001","View Full Record in Web of Science")</f>
        <v>View Full Record in Web of Science</v>
      </c>
    </row>
    <row r="569" spans="1:72" x14ac:dyDescent="0.15">
      <c r="A569" t="s">
        <v>72</v>
      </c>
      <c r="B569" t="s">
        <v>11319</v>
      </c>
      <c r="C569" t="s">
        <v>74</v>
      </c>
      <c r="D569" t="s">
        <v>74</v>
      </c>
      <c r="E569" t="s">
        <v>74</v>
      </c>
      <c r="F569" t="s">
        <v>11320</v>
      </c>
      <c r="G569" t="s">
        <v>74</v>
      </c>
      <c r="H569" t="s">
        <v>74</v>
      </c>
      <c r="I569" t="s">
        <v>11321</v>
      </c>
      <c r="J569" t="s">
        <v>1598</v>
      </c>
      <c r="K569" t="s">
        <v>74</v>
      </c>
      <c r="L569" t="s">
        <v>74</v>
      </c>
      <c r="M569" t="s">
        <v>78</v>
      </c>
      <c r="N569" t="s">
        <v>79</v>
      </c>
      <c r="O569" t="s">
        <v>74</v>
      </c>
      <c r="P569" t="s">
        <v>74</v>
      </c>
      <c r="Q569" t="s">
        <v>74</v>
      </c>
      <c r="R569" t="s">
        <v>74</v>
      </c>
      <c r="S569" t="s">
        <v>74</v>
      </c>
      <c r="T569" t="s">
        <v>11322</v>
      </c>
      <c r="U569" t="s">
        <v>11323</v>
      </c>
      <c r="V569" t="s">
        <v>11324</v>
      </c>
      <c r="W569" t="s">
        <v>11325</v>
      </c>
      <c r="X569" t="s">
        <v>11326</v>
      </c>
      <c r="Y569" t="s">
        <v>11327</v>
      </c>
      <c r="Z569" t="s">
        <v>11328</v>
      </c>
      <c r="AA569" t="s">
        <v>74</v>
      </c>
      <c r="AB569" t="s">
        <v>74</v>
      </c>
      <c r="AC569" t="s">
        <v>11329</v>
      </c>
      <c r="AD569" t="s">
        <v>11330</v>
      </c>
      <c r="AE569" t="s">
        <v>11331</v>
      </c>
      <c r="AF569" t="s">
        <v>74</v>
      </c>
      <c r="AG569">
        <v>83</v>
      </c>
      <c r="AH569">
        <v>19</v>
      </c>
      <c r="AI569">
        <v>21</v>
      </c>
      <c r="AJ569">
        <v>5</v>
      </c>
      <c r="AK569">
        <v>28</v>
      </c>
      <c r="AL569" t="s">
        <v>123</v>
      </c>
      <c r="AM569" t="s">
        <v>124</v>
      </c>
      <c r="AN569" t="s">
        <v>125</v>
      </c>
      <c r="AO569" t="s">
        <v>1609</v>
      </c>
      <c r="AP569" t="s">
        <v>1610</v>
      </c>
      <c r="AQ569" t="s">
        <v>74</v>
      </c>
      <c r="AR569" t="s">
        <v>1611</v>
      </c>
      <c r="AS569" t="s">
        <v>1612</v>
      </c>
      <c r="AT569" t="s">
        <v>11277</v>
      </c>
      <c r="AU569">
        <v>2018</v>
      </c>
      <c r="AV569">
        <v>50</v>
      </c>
      <c r="AW569">
        <v>1</v>
      </c>
      <c r="AX569" t="s">
        <v>74</v>
      </c>
      <c r="AY569" t="s">
        <v>74</v>
      </c>
      <c r="AZ569" t="s">
        <v>74</v>
      </c>
      <c r="BA569" t="s">
        <v>74</v>
      </c>
      <c r="BB569" t="s">
        <v>74</v>
      </c>
      <c r="BC569" t="s">
        <v>74</v>
      </c>
      <c r="BD569" t="s">
        <v>11332</v>
      </c>
      <c r="BE569" t="s">
        <v>11333</v>
      </c>
      <c r="BF569" t="str">
        <f>HYPERLINK("http://dx.doi.org/10.1080/15230430.2017.1414485","http://dx.doi.org/10.1080/15230430.2017.1414485")</f>
        <v>http://dx.doi.org/10.1080/15230430.2017.1414485</v>
      </c>
      <c r="BG569" t="s">
        <v>74</v>
      </c>
      <c r="BH569" t="s">
        <v>74</v>
      </c>
      <c r="BI569">
        <v>12</v>
      </c>
      <c r="BJ569" t="s">
        <v>1616</v>
      </c>
      <c r="BK569" t="s">
        <v>101</v>
      </c>
      <c r="BL569" t="s">
        <v>1617</v>
      </c>
      <c r="BM569" t="s">
        <v>11334</v>
      </c>
      <c r="BN569" t="s">
        <v>74</v>
      </c>
      <c r="BO569" t="s">
        <v>133</v>
      </c>
      <c r="BP569" t="s">
        <v>74</v>
      </c>
      <c r="BQ569" t="s">
        <v>74</v>
      </c>
      <c r="BR569" t="s">
        <v>105</v>
      </c>
      <c r="BS569" t="s">
        <v>11335</v>
      </c>
      <c r="BT569" t="str">
        <f>HYPERLINK("https%3A%2F%2Fwww.webofscience.com%2Fwos%2Fwoscc%2Ffull-record%2FWOS:000438749000001","View Full Record in Web of Science")</f>
        <v>View Full Record in Web of Science</v>
      </c>
    </row>
    <row r="570" spans="1:72" x14ac:dyDescent="0.15">
      <c r="A570" t="s">
        <v>72</v>
      </c>
      <c r="B570" t="s">
        <v>11336</v>
      </c>
      <c r="C570" t="s">
        <v>74</v>
      </c>
      <c r="D570" t="s">
        <v>74</v>
      </c>
      <c r="E570" t="s">
        <v>74</v>
      </c>
      <c r="F570" t="s">
        <v>11337</v>
      </c>
      <c r="G570" t="s">
        <v>74</v>
      </c>
      <c r="H570" t="s">
        <v>74</v>
      </c>
      <c r="I570" t="s">
        <v>11338</v>
      </c>
      <c r="J570" t="s">
        <v>1623</v>
      </c>
      <c r="K570" t="s">
        <v>74</v>
      </c>
      <c r="L570" t="s">
        <v>74</v>
      </c>
      <c r="M570" t="s">
        <v>78</v>
      </c>
      <c r="N570" t="s">
        <v>79</v>
      </c>
      <c r="O570" t="s">
        <v>74</v>
      </c>
      <c r="P570" t="s">
        <v>74</v>
      </c>
      <c r="Q570" t="s">
        <v>74</v>
      </c>
      <c r="R570" t="s">
        <v>74</v>
      </c>
      <c r="S570" t="s">
        <v>74</v>
      </c>
      <c r="T570" t="s">
        <v>11339</v>
      </c>
      <c r="U570" t="s">
        <v>11340</v>
      </c>
      <c r="V570" t="s">
        <v>11341</v>
      </c>
      <c r="W570" t="s">
        <v>11342</v>
      </c>
      <c r="X570" t="s">
        <v>11343</v>
      </c>
      <c r="Y570" t="s">
        <v>11344</v>
      </c>
      <c r="Z570" t="s">
        <v>11345</v>
      </c>
      <c r="AA570" t="s">
        <v>11346</v>
      </c>
      <c r="AB570" t="s">
        <v>11347</v>
      </c>
      <c r="AC570" t="s">
        <v>11348</v>
      </c>
      <c r="AD570" t="s">
        <v>11348</v>
      </c>
      <c r="AE570" t="s">
        <v>11349</v>
      </c>
      <c r="AF570" t="s">
        <v>74</v>
      </c>
      <c r="AG570">
        <v>28</v>
      </c>
      <c r="AH570">
        <v>10</v>
      </c>
      <c r="AI570">
        <v>10</v>
      </c>
      <c r="AJ570">
        <v>1</v>
      </c>
      <c r="AK570">
        <v>6</v>
      </c>
      <c r="AL570" t="s">
        <v>1636</v>
      </c>
      <c r="AM570" t="s">
        <v>1637</v>
      </c>
      <c r="AN570" t="s">
        <v>1638</v>
      </c>
      <c r="AO570" t="s">
        <v>1639</v>
      </c>
      <c r="AP570" t="s">
        <v>1640</v>
      </c>
      <c r="AQ570" t="s">
        <v>74</v>
      </c>
      <c r="AR570" t="s">
        <v>1641</v>
      </c>
      <c r="AS570" t="s">
        <v>1642</v>
      </c>
      <c r="AT570" t="s">
        <v>11277</v>
      </c>
      <c r="AU570">
        <v>2018</v>
      </c>
      <c r="AV570">
        <v>37</v>
      </c>
      <c r="AW570" t="s">
        <v>74</v>
      </c>
      <c r="AX570" t="s">
        <v>74</v>
      </c>
      <c r="AY570" t="s">
        <v>74</v>
      </c>
      <c r="AZ570" t="s">
        <v>74</v>
      </c>
      <c r="BA570" t="s">
        <v>74</v>
      </c>
      <c r="BB570" t="s">
        <v>74</v>
      </c>
      <c r="BC570" t="s">
        <v>74</v>
      </c>
      <c r="BD570">
        <v>1442072</v>
      </c>
      <c r="BE570" t="s">
        <v>11350</v>
      </c>
      <c r="BF570" t="str">
        <f>HYPERLINK("http://dx.doi.org/10.1080/17518369.2018.1442072","http://dx.doi.org/10.1080/17518369.2018.1442072")</f>
        <v>http://dx.doi.org/10.1080/17518369.2018.1442072</v>
      </c>
      <c r="BG570" t="s">
        <v>74</v>
      </c>
      <c r="BH570" t="s">
        <v>74</v>
      </c>
      <c r="BI570">
        <v>8</v>
      </c>
      <c r="BJ570" t="s">
        <v>1644</v>
      </c>
      <c r="BK570" t="s">
        <v>101</v>
      </c>
      <c r="BL570" t="s">
        <v>1645</v>
      </c>
      <c r="BM570" t="s">
        <v>11351</v>
      </c>
      <c r="BN570" t="s">
        <v>74</v>
      </c>
      <c r="BO570" t="s">
        <v>133</v>
      </c>
      <c r="BP570" t="s">
        <v>74</v>
      </c>
      <c r="BQ570" t="s">
        <v>74</v>
      </c>
      <c r="BR570" t="s">
        <v>105</v>
      </c>
      <c r="BS570" t="s">
        <v>11352</v>
      </c>
      <c r="BT570" t="str">
        <f>HYPERLINK("https%3A%2F%2Fwww.webofscience.com%2Fwos%2Fwoscc%2Ffull-record%2FWOS:000427402000001","View Full Record in Web of Science")</f>
        <v>View Full Record in Web of Science</v>
      </c>
    </row>
    <row r="571" spans="1:72" x14ac:dyDescent="0.15">
      <c r="A571" t="s">
        <v>72</v>
      </c>
      <c r="B571" t="s">
        <v>11353</v>
      </c>
      <c r="C571" t="s">
        <v>74</v>
      </c>
      <c r="D571" t="s">
        <v>74</v>
      </c>
      <c r="E571" t="s">
        <v>74</v>
      </c>
      <c r="F571" t="s">
        <v>11354</v>
      </c>
      <c r="G571" t="s">
        <v>74</v>
      </c>
      <c r="H571" t="s">
        <v>74</v>
      </c>
      <c r="I571" t="s">
        <v>11355</v>
      </c>
      <c r="J571" t="s">
        <v>6968</v>
      </c>
      <c r="K571" t="s">
        <v>74</v>
      </c>
      <c r="L571" t="s">
        <v>74</v>
      </c>
      <c r="M571" t="s">
        <v>78</v>
      </c>
      <c r="N571" t="s">
        <v>79</v>
      </c>
      <c r="O571" t="s">
        <v>74</v>
      </c>
      <c r="P571" t="s">
        <v>74</v>
      </c>
      <c r="Q571" t="s">
        <v>74</v>
      </c>
      <c r="R571" t="s">
        <v>74</v>
      </c>
      <c r="S571" t="s">
        <v>74</v>
      </c>
      <c r="T571" t="s">
        <v>74</v>
      </c>
      <c r="U571" t="s">
        <v>11356</v>
      </c>
      <c r="V571" t="s">
        <v>11357</v>
      </c>
      <c r="W571" t="s">
        <v>11358</v>
      </c>
      <c r="X571" t="s">
        <v>11359</v>
      </c>
      <c r="Y571" t="s">
        <v>11360</v>
      </c>
      <c r="Z571" t="s">
        <v>11361</v>
      </c>
      <c r="AA571" t="s">
        <v>11362</v>
      </c>
      <c r="AB571" t="s">
        <v>11363</v>
      </c>
      <c r="AC571" t="s">
        <v>11364</v>
      </c>
      <c r="AD571" t="s">
        <v>11365</v>
      </c>
      <c r="AE571" t="s">
        <v>11366</v>
      </c>
      <c r="AF571" t="s">
        <v>74</v>
      </c>
      <c r="AG571">
        <v>65</v>
      </c>
      <c r="AH571">
        <v>10</v>
      </c>
      <c r="AI571">
        <v>11</v>
      </c>
      <c r="AJ571">
        <v>0</v>
      </c>
      <c r="AK571">
        <v>18</v>
      </c>
      <c r="AL571" t="s">
        <v>1563</v>
      </c>
      <c r="AM571" t="s">
        <v>1564</v>
      </c>
      <c r="AN571" t="s">
        <v>1565</v>
      </c>
      <c r="AO571" t="s">
        <v>6980</v>
      </c>
      <c r="AP571" t="s">
        <v>6981</v>
      </c>
      <c r="AQ571" t="s">
        <v>74</v>
      </c>
      <c r="AR571" t="s">
        <v>6982</v>
      </c>
      <c r="AS571" t="s">
        <v>6983</v>
      </c>
      <c r="AT571" t="s">
        <v>11277</v>
      </c>
      <c r="AU571">
        <v>2018</v>
      </c>
      <c r="AV571">
        <v>10</v>
      </c>
      <c r="AW571">
        <v>1</v>
      </c>
      <c r="AX571" t="s">
        <v>74</v>
      </c>
      <c r="AY571" t="s">
        <v>74</v>
      </c>
      <c r="AZ571" t="s">
        <v>74</v>
      </c>
      <c r="BA571" t="s">
        <v>74</v>
      </c>
      <c r="BB571">
        <v>493</v>
      </c>
      <c r="BC571">
        <v>523</v>
      </c>
      <c r="BD571" t="s">
        <v>74</v>
      </c>
      <c r="BE571" t="s">
        <v>11367</v>
      </c>
      <c r="BF571" t="str">
        <f>HYPERLINK("http://dx.doi.org/10.5194/essd-10-493-2018","http://dx.doi.org/10.5194/essd-10-493-2018")</f>
        <v>http://dx.doi.org/10.5194/essd-10-493-2018</v>
      </c>
      <c r="BG571" t="s">
        <v>74</v>
      </c>
      <c r="BH571" t="s">
        <v>74</v>
      </c>
      <c r="BI571">
        <v>31</v>
      </c>
      <c r="BJ571" t="s">
        <v>6986</v>
      </c>
      <c r="BK571" t="s">
        <v>101</v>
      </c>
      <c r="BL571" t="s">
        <v>6987</v>
      </c>
      <c r="BM571" t="s">
        <v>11368</v>
      </c>
      <c r="BN571" t="s">
        <v>74</v>
      </c>
      <c r="BO571" t="s">
        <v>11369</v>
      </c>
      <c r="BP571" t="s">
        <v>74</v>
      </c>
      <c r="BQ571" t="s">
        <v>74</v>
      </c>
      <c r="BR571" t="s">
        <v>105</v>
      </c>
      <c r="BS571" t="s">
        <v>11370</v>
      </c>
      <c r="BT571" t="str">
        <f>HYPERLINK("https%3A%2F%2Fwww.webofscience.com%2Fwos%2Fwoscc%2Ffull-record%2FWOS:000427271500001","View Full Record in Web of Science")</f>
        <v>View Full Record in Web of Science</v>
      </c>
    </row>
    <row r="572" spans="1:72" x14ac:dyDescent="0.15">
      <c r="A572" t="s">
        <v>72</v>
      </c>
      <c r="B572" t="s">
        <v>11371</v>
      </c>
      <c r="C572" t="s">
        <v>74</v>
      </c>
      <c r="D572" t="s">
        <v>74</v>
      </c>
      <c r="E572" t="s">
        <v>74</v>
      </c>
      <c r="F572" t="s">
        <v>11372</v>
      </c>
      <c r="G572" t="s">
        <v>74</v>
      </c>
      <c r="H572" t="s">
        <v>74</v>
      </c>
      <c r="I572" t="s">
        <v>11373</v>
      </c>
      <c r="J572" t="s">
        <v>1807</v>
      </c>
      <c r="K572" t="s">
        <v>74</v>
      </c>
      <c r="L572" t="s">
        <v>74</v>
      </c>
      <c r="M572" t="s">
        <v>78</v>
      </c>
      <c r="N572" t="s">
        <v>79</v>
      </c>
      <c r="O572" t="s">
        <v>74</v>
      </c>
      <c r="P572" t="s">
        <v>74</v>
      </c>
      <c r="Q572" t="s">
        <v>74</v>
      </c>
      <c r="R572" t="s">
        <v>74</v>
      </c>
      <c r="S572" t="s">
        <v>74</v>
      </c>
      <c r="T572" t="s">
        <v>11374</v>
      </c>
      <c r="U572" t="s">
        <v>11375</v>
      </c>
      <c r="V572" t="s">
        <v>11376</v>
      </c>
      <c r="W572" t="s">
        <v>11377</v>
      </c>
      <c r="X572" t="s">
        <v>11378</v>
      </c>
      <c r="Y572" t="s">
        <v>11379</v>
      </c>
      <c r="Z572" t="s">
        <v>11380</v>
      </c>
      <c r="AA572" t="s">
        <v>11381</v>
      </c>
      <c r="AB572" t="s">
        <v>74</v>
      </c>
      <c r="AC572" t="s">
        <v>11382</v>
      </c>
      <c r="AD572" t="s">
        <v>11382</v>
      </c>
      <c r="AE572" t="s">
        <v>11383</v>
      </c>
      <c r="AF572" t="s">
        <v>74</v>
      </c>
      <c r="AG572">
        <v>65</v>
      </c>
      <c r="AH572">
        <v>11</v>
      </c>
      <c r="AI572">
        <v>12</v>
      </c>
      <c r="AJ572">
        <v>1</v>
      </c>
      <c r="AK572">
        <v>21</v>
      </c>
      <c r="AL572" t="s">
        <v>1820</v>
      </c>
      <c r="AM572" t="s">
        <v>1821</v>
      </c>
      <c r="AN572" t="s">
        <v>1822</v>
      </c>
      <c r="AO572" t="s">
        <v>1823</v>
      </c>
      <c r="AP572" t="s">
        <v>1824</v>
      </c>
      <c r="AQ572" t="s">
        <v>74</v>
      </c>
      <c r="AR572" t="s">
        <v>1825</v>
      </c>
      <c r="AS572" t="s">
        <v>1826</v>
      </c>
      <c r="AT572" t="s">
        <v>11384</v>
      </c>
      <c r="AU572">
        <v>2018</v>
      </c>
      <c r="AV572">
        <v>590</v>
      </c>
      <c r="AW572" t="s">
        <v>74</v>
      </c>
      <c r="AX572" t="s">
        <v>74</v>
      </c>
      <c r="AY572" t="s">
        <v>74</v>
      </c>
      <c r="AZ572" t="s">
        <v>74</v>
      </c>
      <c r="BA572" t="s">
        <v>74</v>
      </c>
      <c r="BB572">
        <v>227</v>
      </c>
      <c r="BC572">
        <v>245</v>
      </c>
      <c r="BD572" t="s">
        <v>74</v>
      </c>
      <c r="BE572" t="s">
        <v>11385</v>
      </c>
      <c r="BF572" t="str">
        <f>HYPERLINK("http://dx.doi.org/10.3354/meps12451","http://dx.doi.org/10.3354/meps12451")</f>
        <v>http://dx.doi.org/10.3354/meps12451</v>
      </c>
      <c r="BG572" t="s">
        <v>74</v>
      </c>
      <c r="BH572" t="s">
        <v>74</v>
      </c>
      <c r="BI572">
        <v>19</v>
      </c>
      <c r="BJ572" t="s">
        <v>1828</v>
      </c>
      <c r="BK572" t="s">
        <v>101</v>
      </c>
      <c r="BL572" t="s">
        <v>1829</v>
      </c>
      <c r="BM572" t="s">
        <v>11386</v>
      </c>
      <c r="BN572" t="s">
        <v>74</v>
      </c>
      <c r="BO572" t="s">
        <v>74</v>
      </c>
      <c r="BP572" t="s">
        <v>74</v>
      </c>
      <c r="BQ572" t="s">
        <v>74</v>
      </c>
      <c r="BR572" t="s">
        <v>105</v>
      </c>
      <c r="BS572" t="s">
        <v>11387</v>
      </c>
      <c r="BT572" t="str">
        <f>HYPERLINK("https%3A%2F%2Fwww.webofscience.com%2Fwos%2Fwoscc%2Ffull-record%2FWOS:000428817200016","View Full Record in Web of Science")</f>
        <v>View Full Record in Web of Science</v>
      </c>
    </row>
    <row r="573" spans="1:72" x14ac:dyDescent="0.15">
      <c r="A573" t="s">
        <v>72</v>
      </c>
      <c r="B573" t="s">
        <v>11388</v>
      </c>
      <c r="C573" t="s">
        <v>74</v>
      </c>
      <c r="D573" t="s">
        <v>74</v>
      </c>
      <c r="E573" t="s">
        <v>74</v>
      </c>
      <c r="F573" t="s">
        <v>11389</v>
      </c>
      <c r="G573" t="s">
        <v>74</v>
      </c>
      <c r="H573" t="s">
        <v>74</v>
      </c>
      <c r="I573" t="s">
        <v>11390</v>
      </c>
      <c r="J573" t="s">
        <v>2238</v>
      </c>
      <c r="K573" t="s">
        <v>74</v>
      </c>
      <c r="L573" t="s">
        <v>74</v>
      </c>
      <c r="M573" t="s">
        <v>78</v>
      </c>
      <c r="N573" t="s">
        <v>79</v>
      </c>
      <c r="O573" t="s">
        <v>74</v>
      </c>
      <c r="P573" t="s">
        <v>74</v>
      </c>
      <c r="Q573" t="s">
        <v>74</v>
      </c>
      <c r="R573" t="s">
        <v>74</v>
      </c>
      <c r="S573" t="s">
        <v>74</v>
      </c>
      <c r="T573" t="s">
        <v>11391</v>
      </c>
      <c r="U573" t="s">
        <v>11392</v>
      </c>
      <c r="V573" t="s">
        <v>11393</v>
      </c>
      <c r="W573" t="s">
        <v>11394</v>
      </c>
      <c r="X573" t="s">
        <v>11395</v>
      </c>
      <c r="Y573" t="s">
        <v>11396</v>
      </c>
      <c r="Z573" t="s">
        <v>11397</v>
      </c>
      <c r="AA573" t="s">
        <v>11398</v>
      </c>
      <c r="AB573" t="s">
        <v>74</v>
      </c>
      <c r="AC573" t="s">
        <v>11399</v>
      </c>
      <c r="AD573" t="s">
        <v>11400</v>
      </c>
      <c r="AE573" t="s">
        <v>11401</v>
      </c>
      <c r="AF573" t="s">
        <v>74</v>
      </c>
      <c r="AG573">
        <v>24</v>
      </c>
      <c r="AH573">
        <v>4</v>
      </c>
      <c r="AI573">
        <v>6</v>
      </c>
      <c r="AJ573">
        <v>0</v>
      </c>
      <c r="AK573">
        <v>6</v>
      </c>
      <c r="AL573" t="s">
        <v>397</v>
      </c>
      <c r="AM573" t="s">
        <v>398</v>
      </c>
      <c r="AN573" t="s">
        <v>399</v>
      </c>
      <c r="AO573" t="s">
        <v>2251</v>
      </c>
      <c r="AP573" t="s">
        <v>74</v>
      </c>
      <c r="AQ573" t="s">
        <v>74</v>
      </c>
      <c r="AR573" t="s">
        <v>2252</v>
      </c>
      <c r="AS573" t="s">
        <v>2253</v>
      </c>
      <c r="AT573" t="s">
        <v>11384</v>
      </c>
      <c r="AU573">
        <v>2018</v>
      </c>
      <c r="AV573">
        <v>70</v>
      </c>
      <c r="AW573" t="s">
        <v>74</v>
      </c>
      <c r="AX573" t="s">
        <v>74</v>
      </c>
      <c r="AY573" t="s">
        <v>74</v>
      </c>
      <c r="AZ573" t="s">
        <v>74</v>
      </c>
      <c r="BA573" t="s">
        <v>74</v>
      </c>
      <c r="BB573" t="s">
        <v>74</v>
      </c>
      <c r="BC573" t="s">
        <v>74</v>
      </c>
      <c r="BD573">
        <v>37</v>
      </c>
      <c r="BE573" t="s">
        <v>11402</v>
      </c>
      <c r="BF573" t="str">
        <f>HYPERLINK("http://dx.doi.org/10.1186/s40623-018-0809-5","http://dx.doi.org/10.1186/s40623-018-0809-5")</f>
        <v>http://dx.doi.org/10.1186/s40623-018-0809-5</v>
      </c>
      <c r="BG573" t="s">
        <v>74</v>
      </c>
      <c r="BH573" t="s">
        <v>74</v>
      </c>
      <c r="BI573">
        <v>9</v>
      </c>
      <c r="BJ573" t="s">
        <v>1243</v>
      </c>
      <c r="BK573" t="s">
        <v>101</v>
      </c>
      <c r="BL573" t="s">
        <v>1181</v>
      </c>
      <c r="BM573" t="s">
        <v>11403</v>
      </c>
      <c r="BN573" t="s">
        <v>74</v>
      </c>
      <c r="BO573" t="s">
        <v>133</v>
      </c>
      <c r="BP573" t="s">
        <v>74</v>
      </c>
      <c r="BQ573" t="s">
        <v>74</v>
      </c>
      <c r="BR573" t="s">
        <v>105</v>
      </c>
      <c r="BS573" t="s">
        <v>11404</v>
      </c>
      <c r="BT573" t="str">
        <f>HYPERLINK("https%3A%2F%2Fwww.webofscience.com%2Fwos%2Fwoscc%2Ffull-record%2FWOS:000427646500001","View Full Record in Web of Science")</f>
        <v>View Full Record in Web of Science</v>
      </c>
    </row>
    <row r="574" spans="1:72" x14ac:dyDescent="0.15">
      <c r="A574" t="s">
        <v>72</v>
      </c>
      <c r="B574" t="s">
        <v>11405</v>
      </c>
      <c r="C574" t="s">
        <v>74</v>
      </c>
      <c r="D574" t="s">
        <v>74</v>
      </c>
      <c r="E574" t="s">
        <v>74</v>
      </c>
      <c r="F574" t="s">
        <v>11406</v>
      </c>
      <c r="G574" t="s">
        <v>74</v>
      </c>
      <c r="H574" t="s">
        <v>74</v>
      </c>
      <c r="I574" t="s">
        <v>11407</v>
      </c>
      <c r="J574" t="s">
        <v>5917</v>
      </c>
      <c r="K574" t="s">
        <v>74</v>
      </c>
      <c r="L574" t="s">
        <v>74</v>
      </c>
      <c r="M574" t="s">
        <v>78</v>
      </c>
      <c r="N574" t="s">
        <v>79</v>
      </c>
      <c r="O574" t="s">
        <v>74</v>
      </c>
      <c r="P574" t="s">
        <v>74</v>
      </c>
      <c r="Q574" t="s">
        <v>74</v>
      </c>
      <c r="R574" t="s">
        <v>74</v>
      </c>
      <c r="S574" t="s">
        <v>74</v>
      </c>
      <c r="T574" t="s">
        <v>11408</v>
      </c>
      <c r="U574" t="s">
        <v>11409</v>
      </c>
      <c r="V574" t="s">
        <v>11410</v>
      </c>
      <c r="W574" t="s">
        <v>11411</v>
      </c>
      <c r="X574" t="s">
        <v>11412</v>
      </c>
      <c r="Y574" t="s">
        <v>11413</v>
      </c>
      <c r="Z574" t="s">
        <v>11414</v>
      </c>
      <c r="AA574" t="s">
        <v>11415</v>
      </c>
      <c r="AB574" t="s">
        <v>74</v>
      </c>
      <c r="AC574" t="s">
        <v>11416</v>
      </c>
      <c r="AD574" t="s">
        <v>11417</v>
      </c>
      <c r="AE574" t="s">
        <v>11418</v>
      </c>
      <c r="AF574" t="s">
        <v>74</v>
      </c>
      <c r="AG574">
        <v>714</v>
      </c>
      <c r="AH574">
        <v>43</v>
      </c>
      <c r="AI574">
        <v>45</v>
      </c>
      <c r="AJ574">
        <v>0</v>
      </c>
      <c r="AK574">
        <v>8</v>
      </c>
      <c r="AL574" t="s">
        <v>2908</v>
      </c>
      <c r="AM574" t="s">
        <v>2909</v>
      </c>
      <c r="AN574" t="s">
        <v>2910</v>
      </c>
      <c r="AO574" t="s">
        <v>5928</v>
      </c>
      <c r="AP574" t="s">
        <v>5929</v>
      </c>
      <c r="AQ574" t="s">
        <v>74</v>
      </c>
      <c r="AR574" t="s">
        <v>5917</v>
      </c>
      <c r="AS574" t="s">
        <v>5930</v>
      </c>
      <c r="AT574" t="s">
        <v>11384</v>
      </c>
      <c r="AU574">
        <v>2018</v>
      </c>
      <c r="AV574">
        <v>4393</v>
      </c>
      <c r="AW574">
        <v>1</v>
      </c>
      <c r="AX574" t="s">
        <v>74</v>
      </c>
      <c r="AY574" t="s">
        <v>74</v>
      </c>
      <c r="AZ574" t="s">
        <v>74</v>
      </c>
      <c r="BA574" t="s">
        <v>74</v>
      </c>
      <c r="BB574">
        <v>1</v>
      </c>
      <c r="BC574">
        <v>238</v>
      </c>
      <c r="BD574" t="s">
        <v>74</v>
      </c>
      <c r="BE574" t="s">
        <v>11419</v>
      </c>
      <c r="BF574" t="str">
        <f>HYPERLINK("http://dx.doi.org/10.11646/zootaxa.4393.1.1","http://dx.doi.org/10.11646/zootaxa.4393.1.1")</f>
        <v>http://dx.doi.org/10.11646/zootaxa.4393.1.1</v>
      </c>
      <c r="BG574" t="s">
        <v>74</v>
      </c>
      <c r="BH574" t="s">
        <v>74</v>
      </c>
      <c r="BI574">
        <v>238</v>
      </c>
      <c r="BJ574" t="s">
        <v>2624</v>
      </c>
      <c r="BK574" t="s">
        <v>101</v>
      </c>
      <c r="BL574" t="s">
        <v>2624</v>
      </c>
      <c r="BM574" t="s">
        <v>11420</v>
      </c>
      <c r="BN574">
        <v>29690402</v>
      </c>
      <c r="BO574" t="s">
        <v>74</v>
      </c>
      <c r="BP574" t="s">
        <v>74</v>
      </c>
      <c r="BQ574" t="s">
        <v>74</v>
      </c>
      <c r="BR574" t="s">
        <v>105</v>
      </c>
      <c r="BS574" t="s">
        <v>11421</v>
      </c>
      <c r="BT574" t="str">
        <f>HYPERLINK("https%3A%2F%2Fwww.webofscience.com%2Fwos%2Fwoscc%2Ffull-record%2FWOS:000427163600001","View Full Record in Web of Science")</f>
        <v>View Full Record in Web of Science</v>
      </c>
    </row>
    <row r="575" spans="1:72" x14ac:dyDescent="0.15">
      <c r="A575" t="s">
        <v>72</v>
      </c>
      <c r="B575" t="s">
        <v>11422</v>
      </c>
      <c r="C575" t="s">
        <v>74</v>
      </c>
      <c r="D575" t="s">
        <v>74</v>
      </c>
      <c r="E575" t="s">
        <v>74</v>
      </c>
      <c r="F575" t="s">
        <v>11423</v>
      </c>
      <c r="G575" t="s">
        <v>74</v>
      </c>
      <c r="H575" t="s">
        <v>74</v>
      </c>
      <c r="I575" t="s">
        <v>11424</v>
      </c>
      <c r="J575" t="s">
        <v>1677</v>
      </c>
      <c r="K575" t="s">
        <v>74</v>
      </c>
      <c r="L575" t="s">
        <v>74</v>
      </c>
      <c r="M575" t="s">
        <v>78</v>
      </c>
      <c r="N575" t="s">
        <v>79</v>
      </c>
      <c r="O575" t="s">
        <v>74</v>
      </c>
      <c r="P575" t="s">
        <v>74</v>
      </c>
      <c r="Q575" t="s">
        <v>74</v>
      </c>
      <c r="R575" t="s">
        <v>74</v>
      </c>
      <c r="S575" t="s">
        <v>74</v>
      </c>
      <c r="T575" t="s">
        <v>74</v>
      </c>
      <c r="U575" t="s">
        <v>11425</v>
      </c>
      <c r="V575" t="s">
        <v>11426</v>
      </c>
      <c r="W575" t="s">
        <v>11427</v>
      </c>
      <c r="X575" t="s">
        <v>11428</v>
      </c>
      <c r="Y575" t="s">
        <v>11429</v>
      </c>
      <c r="Z575" t="s">
        <v>11430</v>
      </c>
      <c r="AA575" t="s">
        <v>11431</v>
      </c>
      <c r="AB575" t="s">
        <v>74</v>
      </c>
      <c r="AC575" t="s">
        <v>11432</v>
      </c>
      <c r="AD575" t="s">
        <v>11433</v>
      </c>
      <c r="AE575" t="s">
        <v>11434</v>
      </c>
      <c r="AF575" t="s">
        <v>74</v>
      </c>
      <c r="AG575">
        <v>70</v>
      </c>
      <c r="AH575">
        <v>48</v>
      </c>
      <c r="AI575">
        <v>50</v>
      </c>
      <c r="AJ575">
        <v>1</v>
      </c>
      <c r="AK575">
        <v>15</v>
      </c>
      <c r="AL575" t="s">
        <v>1689</v>
      </c>
      <c r="AM575" t="s">
        <v>1540</v>
      </c>
      <c r="AN575" t="s">
        <v>1690</v>
      </c>
      <c r="AO575" t="s">
        <v>1691</v>
      </c>
      <c r="AP575" t="s">
        <v>74</v>
      </c>
      <c r="AQ575" t="s">
        <v>74</v>
      </c>
      <c r="AR575" t="s">
        <v>1692</v>
      </c>
      <c r="AS575" t="s">
        <v>1693</v>
      </c>
      <c r="AT575" t="s">
        <v>11384</v>
      </c>
      <c r="AU575">
        <v>2018</v>
      </c>
      <c r="AV575">
        <v>9</v>
      </c>
      <c r="AW575" t="s">
        <v>74</v>
      </c>
      <c r="AX575" t="s">
        <v>74</v>
      </c>
      <c r="AY575" t="s">
        <v>74</v>
      </c>
      <c r="AZ575" t="s">
        <v>74</v>
      </c>
      <c r="BA575" t="s">
        <v>74</v>
      </c>
      <c r="BB575" t="s">
        <v>74</v>
      </c>
      <c r="BC575" t="s">
        <v>74</v>
      </c>
      <c r="BD575">
        <v>1038</v>
      </c>
      <c r="BE575" t="s">
        <v>11435</v>
      </c>
      <c r="BF575" t="str">
        <f>HYPERLINK("http://dx.doi.org/10.1038/s41467-018-03180-5","http://dx.doi.org/10.1038/s41467-018-03180-5")</f>
        <v>http://dx.doi.org/10.1038/s41467-018-03180-5</v>
      </c>
      <c r="BG575" t="s">
        <v>74</v>
      </c>
      <c r="BH575" t="s">
        <v>74</v>
      </c>
      <c r="BI575">
        <v>11</v>
      </c>
      <c r="BJ575" t="s">
        <v>1670</v>
      </c>
      <c r="BK575" t="s">
        <v>101</v>
      </c>
      <c r="BL575" t="s">
        <v>1671</v>
      </c>
      <c r="BM575" t="s">
        <v>11436</v>
      </c>
      <c r="BN575">
        <v>29531221</v>
      </c>
      <c r="BO575" t="s">
        <v>672</v>
      </c>
      <c r="BP575" t="s">
        <v>74</v>
      </c>
      <c r="BQ575" t="s">
        <v>74</v>
      </c>
      <c r="BR575" t="s">
        <v>105</v>
      </c>
      <c r="BS575" t="s">
        <v>11437</v>
      </c>
      <c r="BT575" t="str">
        <f>HYPERLINK("https%3A%2F%2Fwww.webofscience.com%2Fwos%2Fwoscc%2Ffull-record%2FWOS:000427122100002","View Full Record in Web of Science")</f>
        <v>View Full Record in Web of Science</v>
      </c>
    </row>
    <row r="576" spans="1:72" x14ac:dyDescent="0.15">
      <c r="A576" t="s">
        <v>72</v>
      </c>
      <c r="B576" t="s">
        <v>11438</v>
      </c>
      <c r="C576" t="s">
        <v>74</v>
      </c>
      <c r="D576" t="s">
        <v>74</v>
      </c>
      <c r="E576" t="s">
        <v>74</v>
      </c>
      <c r="F576" t="s">
        <v>11439</v>
      </c>
      <c r="G576" t="s">
        <v>74</v>
      </c>
      <c r="H576" t="s">
        <v>74</v>
      </c>
      <c r="I576" t="s">
        <v>11440</v>
      </c>
      <c r="J576" t="s">
        <v>6968</v>
      </c>
      <c r="K576" t="s">
        <v>74</v>
      </c>
      <c r="L576" t="s">
        <v>74</v>
      </c>
      <c r="M576" t="s">
        <v>78</v>
      </c>
      <c r="N576" t="s">
        <v>466</v>
      </c>
      <c r="O576" t="s">
        <v>74</v>
      </c>
      <c r="P576" t="s">
        <v>74</v>
      </c>
      <c r="Q576" t="s">
        <v>74</v>
      </c>
      <c r="R576" t="s">
        <v>74</v>
      </c>
      <c r="S576" t="s">
        <v>74</v>
      </c>
      <c r="T576" t="s">
        <v>74</v>
      </c>
      <c r="U576" t="s">
        <v>11441</v>
      </c>
      <c r="V576" t="s">
        <v>11442</v>
      </c>
      <c r="W576" t="s">
        <v>11443</v>
      </c>
      <c r="X576" t="s">
        <v>11444</v>
      </c>
      <c r="Y576" t="s">
        <v>11445</v>
      </c>
      <c r="Z576" t="s">
        <v>11446</v>
      </c>
      <c r="AA576" t="s">
        <v>11447</v>
      </c>
      <c r="AB576" t="s">
        <v>11448</v>
      </c>
      <c r="AC576" t="s">
        <v>11449</v>
      </c>
      <c r="AD576" t="s">
        <v>11450</v>
      </c>
      <c r="AE576" t="s">
        <v>74</v>
      </c>
      <c r="AF576" t="s">
        <v>74</v>
      </c>
      <c r="AG576">
        <v>176</v>
      </c>
      <c r="AH576">
        <v>547</v>
      </c>
      <c r="AI576">
        <v>557</v>
      </c>
      <c r="AJ576">
        <v>22</v>
      </c>
      <c r="AK576">
        <v>590</v>
      </c>
      <c r="AL576" t="s">
        <v>1563</v>
      </c>
      <c r="AM576" t="s">
        <v>1564</v>
      </c>
      <c r="AN576" t="s">
        <v>1565</v>
      </c>
      <c r="AO576" t="s">
        <v>6980</v>
      </c>
      <c r="AP576" t="s">
        <v>6981</v>
      </c>
      <c r="AQ576" t="s">
        <v>74</v>
      </c>
      <c r="AR576" t="s">
        <v>6982</v>
      </c>
      <c r="AS576" t="s">
        <v>6983</v>
      </c>
      <c r="AT576" t="s">
        <v>11384</v>
      </c>
      <c r="AU576">
        <v>2018</v>
      </c>
      <c r="AV576">
        <v>10</v>
      </c>
      <c r="AW576">
        <v>1</v>
      </c>
      <c r="AX576" t="s">
        <v>74</v>
      </c>
      <c r="AY576" t="s">
        <v>74</v>
      </c>
      <c r="AZ576" t="s">
        <v>74</v>
      </c>
      <c r="BA576" t="s">
        <v>74</v>
      </c>
      <c r="BB576">
        <v>405</v>
      </c>
      <c r="BC576">
        <v>448</v>
      </c>
      <c r="BD576" t="s">
        <v>74</v>
      </c>
      <c r="BE576" t="s">
        <v>11451</v>
      </c>
      <c r="BF576" t="str">
        <f>HYPERLINK("http://dx.doi.org/10.5194/essd-10-405-2018","http://dx.doi.org/10.5194/essd-10-405-2018")</f>
        <v>http://dx.doi.org/10.5194/essd-10-405-2018</v>
      </c>
      <c r="BG576" t="s">
        <v>74</v>
      </c>
      <c r="BH576" t="s">
        <v>74</v>
      </c>
      <c r="BI576">
        <v>44</v>
      </c>
      <c r="BJ576" t="s">
        <v>6986</v>
      </c>
      <c r="BK576" t="s">
        <v>101</v>
      </c>
      <c r="BL576" t="s">
        <v>6987</v>
      </c>
      <c r="BM576" t="s">
        <v>11452</v>
      </c>
      <c r="BN576" t="s">
        <v>74</v>
      </c>
      <c r="BO576" t="s">
        <v>11453</v>
      </c>
      <c r="BP576" t="s">
        <v>555</v>
      </c>
      <c r="BQ576" t="s">
        <v>556</v>
      </c>
      <c r="BR576" t="s">
        <v>105</v>
      </c>
      <c r="BS576" t="s">
        <v>11454</v>
      </c>
      <c r="BT576" t="str">
        <f>HYPERLINK("https%3A%2F%2Fwww.webofscience.com%2Fwos%2Fwoscc%2Ffull-record%2FWOS:000427271100001","View Full Record in Web of Science")</f>
        <v>View Full Record in Web of Science</v>
      </c>
    </row>
    <row r="577" spans="1:72" x14ac:dyDescent="0.15">
      <c r="A577" t="s">
        <v>72</v>
      </c>
      <c r="B577" t="s">
        <v>11455</v>
      </c>
      <c r="C577" t="s">
        <v>74</v>
      </c>
      <c r="D577" t="s">
        <v>74</v>
      </c>
      <c r="E577" t="s">
        <v>74</v>
      </c>
      <c r="F577" t="s">
        <v>11456</v>
      </c>
      <c r="G577" t="s">
        <v>74</v>
      </c>
      <c r="H577" t="s">
        <v>74</v>
      </c>
      <c r="I577" t="s">
        <v>11457</v>
      </c>
      <c r="J577" t="s">
        <v>2139</v>
      </c>
      <c r="K577" t="s">
        <v>74</v>
      </c>
      <c r="L577" t="s">
        <v>74</v>
      </c>
      <c r="M577" t="s">
        <v>78</v>
      </c>
      <c r="N577" t="s">
        <v>79</v>
      </c>
      <c r="O577" t="s">
        <v>74</v>
      </c>
      <c r="P577" t="s">
        <v>74</v>
      </c>
      <c r="Q577" t="s">
        <v>74</v>
      </c>
      <c r="R577" t="s">
        <v>74</v>
      </c>
      <c r="S577" t="s">
        <v>74</v>
      </c>
      <c r="T577" t="s">
        <v>11458</v>
      </c>
      <c r="U577" t="s">
        <v>11459</v>
      </c>
      <c r="V577" t="s">
        <v>11460</v>
      </c>
      <c r="W577" t="s">
        <v>11461</v>
      </c>
      <c r="X577" t="s">
        <v>11462</v>
      </c>
      <c r="Y577" t="s">
        <v>11463</v>
      </c>
      <c r="Z577" t="s">
        <v>11464</v>
      </c>
      <c r="AA577" t="s">
        <v>11465</v>
      </c>
      <c r="AB577" t="s">
        <v>11466</v>
      </c>
      <c r="AC577" t="s">
        <v>11467</v>
      </c>
      <c r="AD577" t="s">
        <v>11468</v>
      </c>
      <c r="AE577" t="s">
        <v>11469</v>
      </c>
      <c r="AF577" t="s">
        <v>74</v>
      </c>
      <c r="AG577">
        <v>121</v>
      </c>
      <c r="AH577">
        <v>41</v>
      </c>
      <c r="AI577">
        <v>44</v>
      </c>
      <c r="AJ577">
        <v>1</v>
      </c>
      <c r="AK577">
        <v>20</v>
      </c>
      <c r="AL577" t="s">
        <v>2152</v>
      </c>
      <c r="AM577" t="s">
        <v>2153</v>
      </c>
      <c r="AN577" t="s">
        <v>2154</v>
      </c>
      <c r="AO577" t="s">
        <v>74</v>
      </c>
      <c r="AP577" t="s">
        <v>2155</v>
      </c>
      <c r="AQ577" t="s">
        <v>74</v>
      </c>
      <c r="AR577" t="s">
        <v>2156</v>
      </c>
      <c r="AS577" t="s">
        <v>2157</v>
      </c>
      <c r="AT577" t="s">
        <v>11384</v>
      </c>
      <c r="AU577">
        <v>2018</v>
      </c>
      <c r="AV577">
        <v>5</v>
      </c>
      <c r="AW577" t="s">
        <v>74</v>
      </c>
      <c r="AX577" t="s">
        <v>74</v>
      </c>
      <c r="AY577" t="s">
        <v>74</v>
      </c>
      <c r="AZ577" t="s">
        <v>74</v>
      </c>
      <c r="BA577" t="s">
        <v>74</v>
      </c>
      <c r="BB577" t="s">
        <v>74</v>
      </c>
      <c r="BC577" t="s">
        <v>74</v>
      </c>
      <c r="BD577">
        <v>75</v>
      </c>
      <c r="BE577" t="s">
        <v>11470</v>
      </c>
      <c r="BF577" t="str">
        <f>HYPERLINK("http://dx.doi.org/10.3389/fmars.2018.00075","http://dx.doi.org/10.3389/fmars.2018.00075")</f>
        <v>http://dx.doi.org/10.3389/fmars.2018.00075</v>
      </c>
      <c r="BG577" t="s">
        <v>74</v>
      </c>
      <c r="BH577" t="s">
        <v>74</v>
      </c>
      <c r="BI577">
        <v>22</v>
      </c>
      <c r="BJ577" t="s">
        <v>2159</v>
      </c>
      <c r="BK577" t="s">
        <v>101</v>
      </c>
      <c r="BL577" t="s">
        <v>1268</v>
      </c>
      <c r="BM577" t="s">
        <v>11471</v>
      </c>
      <c r="BN577" t="s">
        <v>74</v>
      </c>
      <c r="BO577" t="s">
        <v>9837</v>
      </c>
      <c r="BP577" t="s">
        <v>74</v>
      </c>
      <c r="BQ577" t="s">
        <v>74</v>
      </c>
      <c r="BR577" t="s">
        <v>105</v>
      </c>
      <c r="BS577" t="s">
        <v>11472</v>
      </c>
      <c r="BT577" t="str">
        <f>HYPERLINK("https%3A%2F%2Fwww.webofscience.com%2Fwos%2Fwoscc%2Ffull-record%2FWOS:000456934900001","View Full Record in Web of Science")</f>
        <v>View Full Record in Web of Science</v>
      </c>
    </row>
    <row r="578" spans="1:72" x14ac:dyDescent="0.15">
      <c r="A578" t="s">
        <v>72</v>
      </c>
      <c r="B578" t="s">
        <v>11473</v>
      </c>
      <c r="C578" t="s">
        <v>74</v>
      </c>
      <c r="D578" t="s">
        <v>74</v>
      </c>
      <c r="E578" t="s">
        <v>74</v>
      </c>
      <c r="F578" t="s">
        <v>11474</v>
      </c>
      <c r="G578" t="s">
        <v>74</v>
      </c>
      <c r="H578" t="s">
        <v>74</v>
      </c>
      <c r="I578" t="s">
        <v>11475</v>
      </c>
      <c r="J578" t="s">
        <v>1598</v>
      </c>
      <c r="K578" t="s">
        <v>74</v>
      </c>
      <c r="L578" t="s">
        <v>74</v>
      </c>
      <c r="M578" t="s">
        <v>78</v>
      </c>
      <c r="N578" t="s">
        <v>79</v>
      </c>
      <c r="O578" t="s">
        <v>74</v>
      </c>
      <c r="P578" t="s">
        <v>74</v>
      </c>
      <c r="Q578" t="s">
        <v>74</v>
      </c>
      <c r="R578" t="s">
        <v>74</v>
      </c>
      <c r="S578" t="s">
        <v>74</v>
      </c>
      <c r="T578" t="s">
        <v>11476</v>
      </c>
      <c r="U578" t="s">
        <v>11477</v>
      </c>
      <c r="V578" t="s">
        <v>11478</v>
      </c>
      <c r="W578" t="s">
        <v>11479</v>
      </c>
      <c r="X578" t="s">
        <v>11480</v>
      </c>
      <c r="Y578" t="s">
        <v>11481</v>
      </c>
      <c r="Z578" t="s">
        <v>11482</v>
      </c>
      <c r="AA578" t="s">
        <v>11483</v>
      </c>
      <c r="AB578" t="s">
        <v>11484</v>
      </c>
      <c r="AC578" t="s">
        <v>11485</v>
      </c>
      <c r="AD578" t="s">
        <v>11486</v>
      </c>
      <c r="AE578" t="s">
        <v>11487</v>
      </c>
      <c r="AF578" t="s">
        <v>74</v>
      </c>
      <c r="AG578">
        <v>32</v>
      </c>
      <c r="AH578">
        <v>12</v>
      </c>
      <c r="AI578">
        <v>14</v>
      </c>
      <c r="AJ578">
        <v>2</v>
      </c>
      <c r="AK578">
        <v>10</v>
      </c>
      <c r="AL578" t="s">
        <v>123</v>
      </c>
      <c r="AM578" t="s">
        <v>124</v>
      </c>
      <c r="AN578" t="s">
        <v>125</v>
      </c>
      <c r="AO578" t="s">
        <v>1609</v>
      </c>
      <c r="AP578" t="s">
        <v>1610</v>
      </c>
      <c r="AQ578" t="s">
        <v>74</v>
      </c>
      <c r="AR578" t="s">
        <v>1611</v>
      </c>
      <c r="AS578" t="s">
        <v>1612</v>
      </c>
      <c r="AT578" t="s">
        <v>11488</v>
      </c>
      <c r="AU578">
        <v>2018</v>
      </c>
      <c r="AV578">
        <v>50</v>
      </c>
      <c r="AW578">
        <v>1</v>
      </c>
      <c r="AX578" t="s">
        <v>74</v>
      </c>
      <c r="AY578" t="s">
        <v>74</v>
      </c>
      <c r="AZ578" t="s">
        <v>74</v>
      </c>
      <c r="BA578" t="s">
        <v>74</v>
      </c>
      <c r="BB578" t="s">
        <v>74</v>
      </c>
      <c r="BC578" t="s">
        <v>74</v>
      </c>
      <c r="BD578" t="s">
        <v>11489</v>
      </c>
      <c r="BE578" t="s">
        <v>11490</v>
      </c>
      <c r="BF578" t="str">
        <f>HYPERLINK("http://dx.doi.org/10.1080/15230430.2017.1415852","http://dx.doi.org/10.1080/15230430.2017.1415852")</f>
        <v>http://dx.doi.org/10.1080/15230430.2017.1415852</v>
      </c>
      <c r="BG578" t="s">
        <v>74</v>
      </c>
      <c r="BH578" t="s">
        <v>74</v>
      </c>
      <c r="BI578">
        <v>13</v>
      </c>
      <c r="BJ578" t="s">
        <v>1616</v>
      </c>
      <c r="BK578" t="s">
        <v>101</v>
      </c>
      <c r="BL578" t="s">
        <v>1617</v>
      </c>
      <c r="BM578" t="s">
        <v>11491</v>
      </c>
      <c r="BN578" t="s">
        <v>74</v>
      </c>
      <c r="BO578" t="s">
        <v>133</v>
      </c>
      <c r="BP578" t="s">
        <v>74</v>
      </c>
      <c r="BQ578" t="s">
        <v>74</v>
      </c>
      <c r="BR578" t="s">
        <v>105</v>
      </c>
      <c r="BS578" t="s">
        <v>11492</v>
      </c>
      <c r="BT578" t="str">
        <f>HYPERLINK("https%3A%2F%2Fwww.webofscience.com%2Fwos%2Fwoscc%2Ffull-record%2FWOS:000438745200001","View Full Record in Web of Science")</f>
        <v>View Full Record in Web of Science</v>
      </c>
    </row>
    <row r="579" spans="1:72" x14ac:dyDescent="0.15">
      <c r="A579" t="s">
        <v>72</v>
      </c>
      <c r="B579" t="s">
        <v>11493</v>
      </c>
      <c r="C579" t="s">
        <v>74</v>
      </c>
      <c r="D579" t="s">
        <v>74</v>
      </c>
      <c r="E579" t="s">
        <v>74</v>
      </c>
      <c r="F579" t="s">
        <v>11494</v>
      </c>
      <c r="G579" t="s">
        <v>74</v>
      </c>
      <c r="H579" t="s">
        <v>74</v>
      </c>
      <c r="I579" t="s">
        <v>11495</v>
      </c>
      <c r="J579" t="s">
        <v>11496</v>
      </c>
      <c r="K579" t="s">
        <v>74</v>
      </c>
      <c r="L579" t="s">
        <v>74</v>
      </c>
      <c r="M579" t="s">
        <v>78</v>
      </c>
      <c r="N579" t="s">
        <v>8489</v>
      </c>
      <c r="O579" t="s">
        <v>74</v>
      </c>
      <c r="P579" t="s">
        <v>74</v>
      </c>
      <c r="Q579" t="s">
        <v>74</v>
      </c>
      <c r="R579" t="s">
        <v>74</v>
      </c>
      <c r="S579" t="s">
        <v>74</v>
      </c>
      <c r="T579" t="s">
        <v>74</v>
      </c>
      <c r="U579" t="s">
        <v>74</v>
      </c>
      <c r="V579" t="s">
        <v>74</v>
      </c>
      <c r="W579" t="s">
        <v>74</v>
      </c>
      <c r="X579" t="s">
        <v>74</v>
      </c>
      <c r="Y579" t="s">
        <v>74</v>
      </c>
      <c r="Z579" t="s">
        <v>74</v>
      </c>
      <c r="AA579" t="s">
        <v>74</v>
      </c>
      <c r="AB579" t="s">
        <v>74</v>
      </c>
      <c r="AC579" t="s">
        <v>74</v>
      </c>
      <c r="AD579" t="s">
        <v>74</v>
      </c>
      <c r="AE579" t="s">
        <v>74</v>
      </c>
      <c r="AF579" t="s">
        <v>74</v>
      </c>
      <c r="AG579">
        <v>0</v>
      </c>
      <c r="AH579">
        <v>0</v>
      </c>
      <c r="AI579">
        <v>0</v>
      </c>
      <c r="AJ579">
        <v>0</v>
      </c>
      <c r="AK579">
        <v>0</v>
      </c>
      <c r="AL579" t="s">
        <v>5521</v>
      </c>
      <c r="AM579" t="s">
        <v>575</v>
      </c>
      <c r="AN579" t="s">
        <v>5522</v>
      </c>
      <c r="AO579" t="s">
        <v>11497</v>
      </c>
      <c r="AP579" t="s">
        <v>11498</v>
      </c>
      <c r="AQ579" t="s">
        <v>74</v>
      </c>
      <c r="AR579" t="s">
        <v>11496</v>
      </c>
      <c r="AS579" t="s">
        <v>11499</v>
      </c>
      <c r="AT579" t="s">
        <v>11488</v>
      </c>
      <c r="AU579">
        <v>2018</v>
      </c>
      <c r="AV579">
        <v>359</v>
      </c>
      <c r="AW579">
        <v>6380</v>
      </c>
      <c r="AX579" t="s">
        <v>74</v>
      </c>
      <c r="AY579" t="s">
        <v>74</v>
      </c>
      <c r="AZ579" t="s">
        <v>74</v>
      </c>
      <c r="BA579" t="s">
        <v>74</v>
      </c>
      <c r="BB579">
        <v>1078</v>
      </c>
      <c r="BC579">
        <v>1078</v>
      </c>
      <c r="BD579" t="s">
        <v>74</v>
      </c>
      <c r="BE579" t="s">
        <v>74</v>
      </c>
      <c r="BF579" t="s">
        <v>74</v>
      </c>
      <c r="BG579" t="s">
        <v>74</v>
      </c>
      <c r="BH579" t="s">
        <v>74</v>
      </c>
      <c r="BI579">
        <v>1</v>
      </c>
      <c r="BJ579" t="s">
        <v>1670</v>
      </c>
      <c r="BK579" t="s">
        <v>101</v>
      </c>
      <c r="BL579" t="s">
        <v>1671</v>
      </c>
      <c r="BM579" t="s">
        <v>11500</v>
      </c>
      <c r="BN579" t="s">
        <v>74</v>
      </c>
      <c r="BO579" t="s">
        <v>74</v>
      </c>
      <c r="BP579" t="s">
        <v>74</v>
      </c>
      <c r="BQ579" t="s">
        <v>74</v>
      </c>
      <c r="BR579" t="s">
        <v>105</v>
      </c>
      <c r="BS579" t="s">
        <v>11501</v>
      </c>
      <c r="BT579" t="str">
        <f>HYPERLINK("https%3A%2F%2Fwww.webofscience.com%2Fwos%2Fwoscc%2Ffull-record%2FWOS:000426835900010","View Full Record in Web of Science")</f>
        <v>View Full Record in Web of Science</v>
      </c>
    </row>
    <row r="580" spans="1:72" x14ac:dyDescent="0.15">
      <c r="A580" t="s">
        <v>72</v>
      </c>
      <c r="B580" t="s">
        <v>11502</v>
      </c>
      <c r="C580" t="s">
        <v>74</v>
      </c>
      <c r="D580" t="s">
        <v>74</v>
      </c>
      <c r="E580" t="s">
        <v>74</v>
      </c>
      <c r="F580" t="s">
        <v>11503</v>
      </c>
      <c r="G580" t="s">
        <v>74</v>
      </c>
      <c r="H580" t="s">
        <v>74</v>
      </c>
      <c r="I580" t="s">
        <v>11504</v>
      </c>
      <c r="J580" t="s">
        <v>5917</v>
      </c>
      <c r="K580" t="s">
        <v>74</v>
      </c>
      <c r="L580" t="s">
        <v>74</v>
      </c>
      <c r="M580" t="s">
        <v>78</v>
      </c>
      <c r="N580" t="s">
        <v>79</v>
      </c>
      <c r="O580" t="s">
        <v>74</v>
      </c>
      <c r="P580" t="s">
        <v>74</v>
      </c>
      <c r="Q580" t="s">
        <v>74</v>
      </c>
      <c r="R580" t="s">
        <v>74</v>
      </c>
      <c r="S580" t="s">
        <v>74</v>
      </c>
      <c r="T580" t="s">
        <v>11505</v>
      </c>
      <c r="U580" t="s">
        <v>11506</v>
      </c>
      <c r="V580" t="s">
        <v>11507</v>
      </c>
      <c r="W580" t="s">
        <v>11508</v>
      </c>
      <c r="X580" t="s">
        <v>11509</v>
      </c>
      <c r="Y580" t="s">
        <v>11510</v>
      </c>
      <c r="Z580" t="s">
        <v>11511</v>
      </c>
      <c r="AA580" t="s">
        <v>74</v>
      </c>
      <c r="AB580" t="s">
        <v>74</v>
      </c>
      <c r="AC580" t="s">
        <v>11512</v>
      </c>
      <c r="AD580" t="s">
        <v>11513</v>
      </c>
      <c r="AE580" t="s">
        <v>11514</v>
      </c>
      <c r="AF580" t="s">
        <v>74</v>
      </c>
      <c r="AG580">
        <v>227</v>
      </c>
      <c r="AH580">
        <v>2</v>
      </c>
      <c r="AI580">
        <v>2</v>
      </c>
      <c r="AJ580">
        <v>0</v>
      </c>
      <c r="AK580">
        <v>7</v>
      </c>
      <c r="AL580" t="s">
        <v>2908</v>
      </c>
      <c r="AM580" t="s">
        <v>2909</v>
      </c>
      <c r="AN580" t="s">
        <v>2910</v>
      </c>
      <c r="AO580" t="s">
        <v>5928</v>
      </c>
      <c r="AP580" t="s">
        <v>5929</v>
      </c>
      <c r="AQ580" t="s">
        <v>74</v>
      </c>
      <c r="AR580" t="s">
        <v>5917</v>
      </c>
      <c r="AS580" t="s">
        <v>5930</v>
      </c>
      <c r="AT580" t="s">
        <v>11488</v>
      </c>
      <c r="AU580">
        <v>2018</v>
      </c>
      <c r="AV580">
        <v>4392</v>
      </c>
      <c r="AW580">
        <v>2</v>
      </c>
      <c r="AX580" t="s">
        <v>74</v>
      </c>
      <c r="AY580" t="s">
        <v>74</v>
      </c>
      <c r="AZ580" t="s">
        <v>74</v>
      </c>
      <c r="BA580" t="s">
        <v>74</v>
      </c>
      <c r="BB580">
        <v>201</v>
      </c>
      <c r="BC580">
        <v>240</v>
      </c>
      <c r="BD580" t="s">
        <v>74</v>
      </c>
      <c r="BE580" t="s">
        <v>11515</v>
      </c>
      <c r="BF580" t="str">
        <f>HYPERLINK("http://dx.doi.org/10.11646/zootaxa.4392.2.1","http://dx.doi.org/10.11646/zootaxa.4392.2.1")</f>
        <v>http://dx.doi.org/10.11646/zootaxa.4392.2.1</v>
      </c>
      <c r="BG580" t="s">
        <v>74</v>
      </c>
      <c r="BH580" t="s">
        <v>74</v>
      </c>
      <c r="BI580">
        <v>40</v>
      </c>
      <c r="BJ580" t="s">
        <v>2624</v>
      </c>
      <c r="BK580" t="s">
        <v>101</v>
      </c>
      <c r="BL580" t="s">
        <v>2624</v>
      </c>
      <c r="BM580" t="s">
        <v>11516</v>
      </c>
      <c r="BN580">
        <v>29690403</v>
      </c>
      <c r="BO580" t="s">
        <v>74</v>
      </c>
      <c r="BP580" t="s">
        <v>74</v>
      </c>
      <c r="BQ580" t="s">
        <v>74</v>
      </c>
      <c r="BR580" t="s">
        <v>105</v>
      </c>
      <c r="BS580" t="s">
        <v>11517</v>
      </c>
      <c r="BT580" t="str">
        <f>HYPERLINK("https%3A%2F%2Fwww.webofscience.com%2Fwos%2Fwoscc%2Ffull-record%2FWOS:000426821900001","View Full Record in Web of Science")</f>
        <v>View Full Record in Web of Science</v>
      </c>
    </row>
    <row r="581" spans="1:72" x14ac:dyDescent="0.15">
      <c r="A581" t="s">
        <v>72</v>
      </c>
      <c r="B581" t="s">
        <v>11518</v>
      </c>
      <c r="C581" t="s">
        <v>74</v>
      </c>
      <c r="D581" t="s">
        <v>74</v>
      </c>
      <c r="E581" t="s">
        <v>74</v>
      </c>
      <c r="F581" t="s">
        <v>11519</v>
      </c>
      <c r="G581" t="s">
        <v>74</v>
      </c>
      <c r="H581" t="s">
        <v>74</v>
      </c>
      <c r="I581" t="s">
        <v>11520</v>
      </c>
      <c r="J581" t="s">
        <v>5917</v>
      </c>
      <c r="K581" t="s">
        <v>74</v>
      </c>
      <c r="L581" t="s">
        <v>74</v>
      </c>
      <c r="M581" t="s">
        <v>78</v>
      </c>
      <c r="N581" t="s">
        <v>79</v>
      </c>
      <c r="O581" t="s">
        <v>74</v>
      </c>
      <c r="P581" t="s">
        <v>74</v>
      </c>
      <c r="Q581" t="s">
        <v>74</v>
      </c>
      <c r="R581" t="s">
        <v>74</v>
      </c>
      <c r="S581" t="s">
        <v>74</v>
      </c>
      <c r="T581" t="s">
        <v>11521</v>
      </c>
      <c r="U581" t="s">
        <v>74</v>
      </c>
      <c r="V581" t="s">
        <v>11522</v>
      </c>
      <c r="W581" t="s">
        <v>11523</v>
      </c>
      <c r="X581" t="s">
        <v>11524</v>
      </c>
      <c r="Y581" t="s">
        <v>11525</v>
      </c>
      <c r="Z581" t="s">
        <v>11526</v>
      </c>
      <c r="AA581" t="s">
        <v>11527</v>
      </c>
      <c r="AB581" t="s">
        <v>11528</v>
      </c>
      <c r="AC581" t="s">
        <v>11529</v>
      </c>
      <c r="AD581" t="s">
        <v>11530</v>
      </c>
      <c r="AE581" t="s">
        <v>11531</v>
      </c>
      <c r="AF581" t="s">
        <v>74</v>
      </c>
      <c r="AG581">
        <v>22</v>
      </c>
      <c r="AH581">
        <v>4</v>
      </c>
      <c r="AI581">
        <v>4</v>
      </c>
      <c r="AJ581">
        <v>0</v>
      </c>
      <c r="AK581">
        <v>3</v>
      </c>
      <c r="AL581" t="s">
        <v>2908</v>
      </c>
      <c r="AM581" t="s">
        <v>2909</v>
      </c>
      <c r="AN581" t="s">
        <v>11532</v>
      </c>
      <c r="AO581" t="s">
        <v>5928</v>
      </c>
      <c r="AP581" t="s">
        <v>5929</v>
      </c>
      <c r="AQ581" t="s">
        <v>74</v>
      </c>
      <c r="AR581" t="s">
        <v>5917</v>
      </c>
      <c r="AS581" t="s">
        <v>5930</v>
      </c>
      <c r="AT581" t="s">
        <v>11488</v>
      </c>
      <c r="AU581">
        <v>2018</v>
      </c>
      <c r="AV581">
        <v>4392</v>
      </c>
      <c r="AW581">
        <v>2</v>
      </c>
      <c r="AX581" t="s">
        <v>74</v>
      </c>
      <c r="AY581" t="s">
        <v>74</v>
      </c>
      <c r="AZ581" t="s">
        <v>74</v>
      </c>
      <c r="BA581" t="s">
        <v>74</v>
      </c>
      <c r="BB581">
        <v>392</v>
      </c>
      <c r="BC581">
        <v>400</v>
      </c>
      <c r="BD581" t="s">
        <v>74</v>
      </c>
      <c r="BE581" t="s">
        <v>11533</v>
      </c>
      <c r="BF581" t="str">
        <f>HYPERLINK("http://dx.doi.org/10.11646/zootaxa.4392.2.11","http://dx.doi.org/10.11646/zootaxa.4392.2.11")</f>
        <v>http://dx.doi.org/10.11646/zootaxa.4392.2.11</v>
      </c>
      <c r="BG581" t="s">
        <v>74</v>
      </c>
      <c r="BH581" t="s">
        <v>74</v>
      </c>
      <c r="BI581">
        <v>9</v>
      </c>
      <c r="BJ581" t="s">
        <v>2624</v>
      </c>
      <c r="BK581" t="s">
        <v>101</v>
      </c>
      <c r="BL581" t="s">
        <v>2624</v>
      </c>
      <c r="BM581" t="s">
        <v>11516</v>
      </c>
      <c r="BN581">
        <v>29690413</v>
      </c>
      <c r="BO581" t="s">
        <v>74</v>
      </c>
      <c r="BP581" t="s">
        <v>74</v>
      </c>
      <c r="BQ581" t="s">
        <v>74</v>
      </c>
      <c r="BR581" t="s">
        <v>105</v>
      </c>
      <c r="BS581" t="s">
        <v>11534</v>
      </c>
      <c r="BT581" t="str">
        <f>HYPERLINK("https%3A%2F%2Fwww.webofscience.com%2Fwos%2Fwoscc%2Ffull-record%2FWOS:000426821900011","View Full Record in Web of Science")</f>
        <v>View Full Record in Web of Science</v>
      </c>
    </row>
    <row r="582" spans="1:72" x14ac:dyDescent="0.15">
      <c r="A582" t="s">
        <v>72</v>
      </c>
      <c r="B582" t="s">
        <v>11535</v>
      </c>
      <c r="C582" t="s">
        <v>74</v>
      </c>
      <c r="D582" t="s">
        <v>74</v>
      </c>
      <c r="E582" t="s">
        <v>74</v>
      </c>
      <c r="F582" t="s">
        <v>11536</v>
      </c>
      <c r="G582" t="s">
        <v>74</v>
      </c>
      <c r="H582" t="s">
        <v>74</v>
      </c>
      <c r="I582" t="s">
        <v>11537</v>
      </c>
      <c r="J582" t="s">
        <v>3025</v>
      </c>
      <c r="K582" t="s">
        <v>74</v>
      </c>
      <c r="L582" t="s">
        <v>74</v>
      </c>
      <c r="M582" t="s">
        <v>78</v>
      </c>
      <c r="N582" t="s">
        <v>79</v>
      </c>
      <c r="O582" t="s">
        <v>74</v>
      </c>
      <c r="P582" t="s">
        <v>74</v>
      </c>
      <c r="Q582" t="s">
        <v>74</v>
      </c>
      <c r="R582" t="s">
        <v>74</v>
      </c>
      <c r="S582" t="s">
        <v>74</v>
      </c>
      <c r="T582" t="s">
        <v>11538</v>
      </c>
      <c r="U582" t="s">
        <v>11539</v>
      </c>
      <c r="V582" t="s">
        <v>11540</v>
      </c>
      <c r="W582" t="s">
        <v>11541</v>
      </c>
      <c r="X582" t="s">
        <v>11542</v>
      </c>
      <c r="Y582" t="s">
        <v>11543</v>
      </c>
      <c r="Z582" t="s">
        <v>11544</v>
      </c>
      <c r="AA582" t="s">
        <v>11545</v>
      </c>
      <c r="AB582" t="s">
        <v>11546</v>
      </c>
      <c r="AC582" t="s">
        <v>11547</v>
      </c>
      <c r="AD582" t="s">
        <v>11548</v>
      </c>
      <c r="AE582" t="s">
        <v>11549</v>
      </c>
      <c r="AF582" t="s">
        <v>74</v>
      </c>
      <c r="AG582">
        <v>33</v>
      </c>
      <c r="AH582">
        <v>39</v>
      </c>
      <c r="AI582">
        <v>41</v>
      </c>
      <c r="AJ582">
        <v>0</v>
      </c>
      <c r="AK582">
        <v>25</v>
      </c>
      <c r="AL582" t="s">
        <v>2152</v>
      </c>
      <c r="AM582" t="s">
        <v>2153</v>
      </c>
      <c r="AN582" t="s">
        <v>2154</v>
      </c>
      <c r="AO582" t="s">
        <v>74</v>
      </c>
      <c r="AP582" t="s">
        <v>3038</v>
      </c>
      <c r="AQ582" t="s">
        <v>74</v>
      </c>
      <c r="AR582" t="s">
        <v>3039</v>
      </c>
      <c r="AS582" t="s">
        <v>3040</v>
      </c>
      <c r="AT582" t="s">
        <v>11550</v>
      </c>
      <c r="AU582">
        <v>2018</v>
      </c>
      <c r="AV582">
        <v>9</v>
      </c>
      <c r="AW582" t="s">
        <v>74</v>
      </c>
      <c r="AX582" t="s">
        <v>74</v>
      </c>
      <c r="AY582" t="s">
        <v>74</v>
      </c>
      <c r="AZ582" t="s">
        <v>74</v>
      </c>
      <c r="BA582" t="s">
        <v>74</v>
      </c>
      <c r="BB582" t="s">
        <v>74</v>
      </c>
      <c r="BC582" t="s">
        <v>74</v>
      </c>
      <c r="BD582">
        <v>412</v>
      </c>
      <c r="BE582" t="s">
        <v>11551</v>
      </c>
      <c r="BF582" t="str">
        <f>HYPERLINK("http://dx.doi.org/10.3389/fmicb.2018.00412","http://dx.doi.org/10.3389/fmicb.2018.00412")</f>
        <v>http://dx.doi.org/10.3389/fmicb.2018.00412</v>
      </c>
      <c r="BG582" t="s">
        <v>74</v>
      </c>
      <c r="BH582" t="s">
        <v>74</v>
      </c>
      <c r="BI582">
        <v>10</v>
      </c>
      <c r="BJ582" t="s">
        <v>510</v>
      </c>
      <c r="BK582" t="s">
        <v>101</v>
      </c>
      <c r="BL582" t="s">
        <v>510</v>
      </c>
      <c r="BM582" t="s">
        <v>11552</v>
      </c>
      <c r="BN582">
        <v>29568291</v>
      </c>
      <c r="BO582" t="s">
        <v>2998</v>
      </c>
      <c r="BP582" t="s">
        <v>74</v>
      </c>
      <c r="BQ582" t="s">
        <v>74</v>
      </c>
      <c r="BR582" t="s">
        <v>105</v>
      </c>
      <c r="BS582" t="s">
        <v>11553</v>
      </c>
      <c r="BT582" t="str">
        <f>HYPERLINK("https%3A%2F%2Fwww.webofscience.com%2Fwos%2Fwoscc%2Ffull-record%2FWOS:000426840700002","View Full Record in Web of Science")</f>
        <v>View Full Record in Web of Science</v>
      </c>
    </row>
    <row r="583" spans="1:72" x14ac:dyDescent="0.15">
      <c r="A583" t="s">
        <v>72</v>
      </c>
      <c r="B583" t="s">
        <v>11554</v>
      </c>
      <c r="C583" t="s">
        <v>74</v>
      </c>
      <c r="D583" t="s">
        <v>74</v>
      </c>
      <c r="E583" t="s">
        <v>74</v>
      </c>
      <c r="F583" t="s">
        <v>11555</v>
      </c>
      <c r="G583" t="s">
        <v>74</v>
      </c>
      <c r="H583" t="s">
        <v>74</v>
      </c>
      <c r="I583" t="s">
        <v>11556</v>
      </c>
      <c r="J583" t="s">
        <v>11557</v>
      </c>
      <c r="K583" t="s">
        <v>74</v>
      </c>
      <c r="L583" t="s">
        <v>74</v>
      </c>
      <c r="M583" t="s">
        <v>78</v>
      </c>
      <c r="N583" t="s">
        <v>79</v>
      </c>
      <c r="O583" t="s">
        <v>74</v>
      </c>
      <c r="P583" t="s">
        <v>74</v>
      </c>
      <c r="Q583" t="s">
        <v>74</v>
      </c>
      <c r="R583" t="s">
        <v>74</v>
      </c>
      <c r="S583" t="s">
        <v>74</v>
      </c>
      <c r="T583" t="s">
        <v>74</v>
      </c>
      <c r="U583" t="s">
        <v>11558</v>
      </c>
      <c r="V583" t="s">
        <v>11559</v>
      </c>
      <c r="W583" t="s">
        <v>11560</v>
      </c>
      <c r="X583" t="s">
        <v>11561</v>
      </c>
      <c r="Y583" t="s">
        <v>11562</v>
      </c>
      <c r="Z583" t="s">
        <v>11563</v>
      </c>
      <c r="AA583" t="s">
        <v>74</v>
      </c>
      <c r="AB583" t="s">
        <v>11564</v>
      </c>
      <c r="AC583" t="s">
        <v>11565</v>
      </c>
      <c r="AD583" t="s">
        <v>11566</v>
      </c>
      <c r="AE583" t="s">
        <v>11567</v>
      </c>
      <c r="AF583" t="s">
        <v>74</v>
      </c>
      <c r="AG583">
        <v>58</v>
      </c>
      <c r="AH583">
        <v>5</v>
      </c>
      <c r="AI583">
        <v>5</v>
      </c>
      <c r="AJ583">
        <v>0</v>
      </c>
      <c r="AK583">
        <v>17</v>
      </c>
      <c r="AL583" t="s">
        <v>8911</v>
      </c>
      <c r="AM583" t="s">
        <v>575</v>
      </c>
      <c r="AN583" t="s">
        <v>8912</v>
      </c>
      <c r="AO583" t="s">
        <v>11568</v>
      </c>
      <c r="AP583" t="s">
        <v>74</v>
      </c>
      <c r="AQ583" t="s">
        <v>74</v>
      </c>
      <c r="AR583" t="s">
        <v>11569</v>
      </c>
      <c r="AS583" t="s">
        <v>11570</v>
      </c>
      <c r="AT583" t="s">
        <v>11550</v>
      </c>
      <c r="AU583">
        <v>2018</v>
      </c>
      <c r="AV583">
        <v>122</v>
      </c>
      <c r="AW583">
        <v>9</v>
      </c>
      <c r="AX583" t="s">
        <v>74</v>
      </c>
      <c r="AY583" t="s">
        <v>74</v>
      </c>
      <c r="AZ583" t="s">
        <v>74</v>
      </c>
      <c r="BA583" t="s">
        <v>74</v>
      </c>
      <c r="BB583">
        <v>2604</v>
      </c>
      <c r="BC583">
        <v>2610</v>
      </c>
      <c r="BD583" t="s">
        <v>74</v>
      </c>
      <c r="BE583" t="s">
        <v>11571</v>
      </c>
      <c r="BF583" t="str">
        <f>HYPERLINK("http://dx.doi.org/10.1021/acs.jpca.8b00394","http://dx.doi.org/10.1021/acs.jpca.8b00394")</f>
        <v>http://dx.doi.org/10.1021/acs.jpca.8b00394</v>
      </c>
      <c r="BG583" t="s">
        <v>74</v>
      </c>
      <c r="BH583" t="s">
        <v>74</v>
      </c>
      <c r="BI583">
        <v>7</v>
      </c>
      <c r="BJ583" t="s">
        <v>5987</v>
      </c>
      <c r="BK583" t="s">
        <v>101</v>
      </c>
      <c r="BL583" t="s">
        <v>5988</v>
      </c>
      <c r="BM583" t="s">
        <v>11572</v>
      </c>
      <c r="BN583">
        <v>29443521</v>
      </c>
      <c r="BO583" t="s">
        <v>74</v>
      </c>
      <c r="BP583" t="s">
        <v>74</v>
      </c>
      <c r="BQ583" t="s">
        <v>74</v>
      </c>
      <c r="BR583" t="s">
        <v>105</v>
      </c>
      <c r="BS583" t="s">
        <v>11573</v>
      </c>
      <c r="BT583" t="str">
        <f>HYPERLINK("https%3A%2F%2Fwww.webofscience.com%2Fwos%2Fwoscc%2Ffull-record%2FWOS:000427331100027","View Full Record in Web of Science")</f>
        <v>View Full Record in Web of Science</v>
      </c>
    </row>
    <row r="584" spans="1:72" x14ac:dyDescent="0.15">
      <c r="A584" t="s">
        <v>72</v>
      </c>
      <c r="B584" t="s">
        <v>11574</v>
      </c>
      <c r="C584" t="s">
        <v>74</v>
      </c>
      <c r="D584" t="s">
        <v>74</v>
      </c>
      <c r="E584" t="s">
        <v>74</v>
      </c>
      <c r="F584" t="s">
        <v>11575</v>
      </c>
      <c r="G584" t="s">
        <v>74</v>
      </c>
      <c r="H584" t="s">
        <v>74</v>
      </c>
      <c r="I584" t="s">
        <v>11576</v>
      </c>
      <c r="J584" t="s">
        <v>1677</v>
      </c>
      <c r="K584" t="s">
        <v>74</v>
      </c>
      <c r="L584" t="s">
        <v>74</v>
      </c>
      <c r="M584" t="s">
        <v>78</v>
      </c>
      <c r="N584" t="s">
        <v>79</v>
      </c>
      <c r="O584" t="s">
        <v>74</v>
      </c>
      <c r="P584" t="s">
        <v>74</v>
      </c>
      <c r="Q584" t="s">
        <v>74</v>
      </c>
      <c r="R584" t="s">
        <v>74</v>
      </c>
      <c r="S584" t="s">
        <v>74</v>
      </c>
      <c r="T584" t="s">
        <v>74</v>
      </c>
      <c r="U584" t="s">
        <v>11577</v>
      </c>
      <c r="V584" t="s">
        <v>11578</v>
      </c>
      <c r="W584" t="s">
        <v>11579</v>
      </c>
      <c r="X584" t="s">
        <v>11580</v>
      </c>
      <c r="Y584" t="s">
        <v>11581</v>
      </c>
      <c r="Z584" t="s">
        <v>11582</v>
      </c>
      <c r="AA584" t="s">
        <v>11583</v>
      </c>
      <c r="AB584" t="s">
        <v>11584</v>
      </c>
      <c r="AC584" t="s">
        <v>11585</v>
      </c>
      <c r="AD584" t="s">
        <v>11585</v>
      </c>
      <c r="AE584" t="s">
        <v>11586</v>
      </c>
      <c r="AF584" t="s">
        <v>74</v>
      </c>
      <c r="AG584">
        <v>53</v>
      </c>
      <c r="AH584">
        <v>570</v>
      </c>
      <c r="AI584">
        <v>605</v>
      </c>
      <c r="AJ584">
        <v>88</v>
      </c>
      <c r="AK584">
        <v>641</v>
      </c>
      <c r="AL584" t="s">
        <v>1689</v>
      </c>
      <c r="AM584" t="s">
        <v>1540</v>
      </c>
      <c r="AN584" t="s">
        <v>1690</v>
      </c>
      <c r="AO584" t="s">
        <v>1691</v>
      </c>
      <c r="AP584" t="s">
        <v>74</v>
      </c>
      <c r="AQ584" t="s">
        <v>74</v>
      </c>
      <c r="AR584" t="s">
        <v>1692</v>
      </c>
      <c r="AS584" t="s">
        <v>1693</v>
      </c>
      <c r="AT584" t="s">
        <v>11550</v>
      </c>
      <c r="AU584">
        <v>2018</v>
      </c>
      <c r="AV584">
        <v>9</v>
      </c>
      <c r="AW584" t="s">
        <v>74</v>
      </c>
      <c r="AX584" t="s">
        <v>74</v>
      </c>
      <c r="AY584" t="s">
        <v>74</v>
      </c>
      <c r="AZ584" t="s">
        <v>74</v>
      </c>
      <c r="BA584" t="s">
        <v>74</v>
      </c>
      <c r="BB584" t="s">
        <v>74</v>
      </c>
      <c r="BC584" t="s">
        <v>74</v>
      </c>
      <c r="BD584">
        <v>1001</v>
      </c>
      <c r="BE584" t="s">
        <v>11587</v>
      </c>
      <c r="BF584" t="str">
        <f>HYPERLINK("http://dx.doi.org/10.1038/s41467-018-03465-9","http://dx.doi.org/10.1038/s41467-018-03465-9")</f>
        <v>http://dx.doi.org/10.1038/s41467-018-03465-9</v>
      </c>
      <c r="BG584" t="s">
        <v>74</v>
      </c>
      <c r="BH584" t="s">
        <v>74</v>
      </c>
      <c r="BI584">
        <v>8</v>
      </c>
      <c r="BJ584" t="s">
        <v>1670</v>
      </c>
      <c r="BK584" t="s">
        <v>101</v>
      </c>
      <c r="BL584" t="s">
        <v>1671</v>
      </c>
      <c r="BM584" t="s">
        <v>11588</v>
      </c>
      <c r="BN584">
        <v>29520086</v>
      </c>
      <c r="BO584" t="s">
        <v>764</v>
      </c>
      <c r="BP584" t="s">
        <v>555</v>
      </c>
      <c r="BQ584" t="s">
        <v>556</v>
      </c>
      <c r="BR584" t="s">
        <v>105</v>
      </c>
      <c r="BS584" t="s">
        <v>11589</v>
      </c>
      <c r="BT584" t="str">
        <f>HYPERLINK("https%3A%2F%2Fwww.webofscience.com%2Fwos%2Fwoscc%2Ffull-record%2FWOS:000427007700010","View Full Record in Web of Science")</f>
        <v>View Full Record in Web of Science</v>
      </c>
    </row>
    <row r="585" spans="1:72" x14ac:dyDescent="0.15">
      <c r="A585" t="s">
        <v>72</v>
      </c>
      <c r="B585" t="s">
        <v>11590</v>
      </c>
      <c r="C585" t="s">
        <v>74</v>
      </c>
      <c r="D585" t="s">
        <v>74</v>
      </c>
      <c r="E585" t="s">
        <v>74</v>
      </c>
      <c r="F585" t="s">
        <v>11591</v>
      </c>
      <c r="G585" t="s">
        <v>74</v>
      </c>
      <c r="H585" t="s">
        <v>74</v>
      </c>
      <c r="I585" t="s">
        <v>11592</v>
      </c>
      <c r="J585" t="s">
        <v>11593</v>
      </c>
      <c r="K585" t="s">
        <v>74</v>
      </c>
      <c r="L585" t="s">
        <v>74</v>
      </c>
      <c r="M585" t="s">
        <v>78</v>
      </c>
      <c r="N585" t="s">
        <v>79</v>
      </c>
      <c r="O585" t="s">
        <v>74</v>
      </c>
      <c r="P585" t="s">
        <v>74</v>
      </c>
      <c r="Q585" t="s">
        <v>74</v>
      </c>
      <c r="R585" t="s">
        <v>74</v>
      </c>
      <c r="S585" t="s">
        <v>74</v>
      </c>
      <c r="T585" t="s">
        <v>11594</v>
      </c>
      <c r="U585" t="s">
        <v>11595</v>
      </c>
      <c r="V585" t="s">
        <v>11596</v>
      </c>
      <c r="W585" t="s">
        <v>11597</v>
      </c>
      <c r="X585" t="s">
        <v>11598</v>
      </c>
      <c r="Y585" t="s">
        <v>11599</v>
      </c>
      <c r="Z585" t="s">
        <v>11600</v>
      </c>
      <c r="AA585" t="s">
        <v>11601</v>
      </c>
      <c r="AB585" t="s">
        <v>74</v>
      </c>
      <c r="AC585" t="s">
        <v>11602</v>
      </c>
      <c r="AD585" t="s">
        <v>11603</v>
      </c>
      <c r="AE585" t="s">
        <v>11604</v>
      </c>
      <c r="AF585" t="s">
        <v>74</v>
      </c>
      <c r="AG585">
        <v>43</v>
      </c>
      <c r="AH585">
        <v>33</v>
      </c>
      <c r="AI585">
        <v>38</v>
      </c>
      <c r="AJ585">
        <v>2</v>
      </c>
      <c r="AK585">
        <v>40</v>
      </c>
      <c r="AL585" t="s">
        <v>3231</v>
      </c>
      <c r="AM585" t="s">
        <v>1540</v>
      </c>
      <c r="AN585" t="s">
        <v>3232</v>
      </c>
      <c r="AO585" t="s">
        <v>11605</v>
      </c>
      <c r="AP585" t="s">
        <v>74</v>
      </c>
      <c r="AQ585" t="s">
        <v>74</v>
      </c>
      <c r="AR585" t="s">
        <v>11606</v>
      </c>
      <c r="AS585" t="s">
        <v>11607</v>
      </c>
      <c r="AT585" t="s">
        <v>11608</v>
      </c>
      <c r="AU585">
        <v>2018</v>
      </c>
      <c r="AV585">
        <v>6</v>
      </c>
      <c r="AW585" t="s">
        <v>74</v>
      </c>
      <c r="AX585" t="s">
        <v>74</v>
      </c>
      <c r="AY585" t="s">
        <v>74</v>
      </c>
      <c r="AZ585" t="s">
        <v>74</v>
      </c>
      <c r="BA585" t="s">
        <v>74</v>
      </c>
      <c r="BB585" t="s">
        <v>74</v>
      </c>
      <c r="BC585" t="s">
        <v>74</v>
      </c>
      <c r="BD585">
        <v>3</v>
      </c>
      <c r="BE585" t="s">
        <v>11609</v>
      </c>
      <c r="BF585" t="str">
        <f>HYPERLINK("http://dx.doi.org/10.1186/s40462-018-0121-9","http://dx.doi.org/10.1186/s40462-018-0121-9")</f>
        <v>http://dx.doi.org/10.1186/s40462-018-0121-9</v>
      </c>
      <c r="BG585" t="s">
        <v>74</v>
      </c>
      <c r="BH585" t="s">
        <v>74</v>
      </c>
      <c r="BI585">
        <v>15</v>
      </c>
      <c r="BJ585" t="s">
        <v>314</v>
      </c>
      <c r="BK585" t="s">
        <v>101</v>
      </c>
      <c r="BL585" t="s">
        <v>315</v>
      </c>
      <c r="BM585" t="s">
        <v>11610</v>
      </c>
      <c r="BN585">
        <v>29556395</v>
      </c>
      <c r="BO585" t="s">
        <v>487</v>
      </c>
      <c r="BP585" t="s">
        <v>74</v>
      </c>
      <c r="BQ585" t="s">
        <v>74</v>
      </c>
      <c r="BR585" t="s">
        <v>105</v>
      </c>
      <c r="BS585" t="s">
        <v>11611</v>
      </c>
      <c r="BT585" t="str">
        <f>HYPERLINK("https%3A%2F%2Fwww.webofscience.com%2Fwos%2Fwoscc%2Ffull-record%2FWOS:000427121900001","View Full Record in Web of Science")</f>
        <v>View Full Record in Web of Science</v>
      </c>
    </row>
    <row r="586" spans="1:72" x14ac:dyDescent="0.15">
      <c r="A586" t="s">
        <v>72</v>
      </c>
      <c r="B586" t="s">
        <v>11612</v>
      </c>
      <c r="C586" t="s">
        <v>74</v>
      </c>
      <c r="D586" t="s">
        <v>74</v>
      </c>
      <c r="E586" t="s">
        <v>74</v>
      </c>
      <c r="F586" t="s">
        <v>11613</v>
      </c>
      <c r="G586" t="s">
        <v>74</v>
      </c>
      <c r="H586" t="s">
        <v>74</v>
      </c>
      <c r="I586" t="s">
        <v>11614</v>
      </c>
      <c r="J586" t="s">
        <v>1651</v>
      </c>
      <c r="K586" t="s">
        <v>74</v>
      </c>
      <c r="L586" t="s">
        <v>74</v>
      </c>
      <c r="M586" t="s">
        <v>78</v>
      </c>
      <c r="N586" t="s">
        <v>79</v>
      </c>
      <c r="O586" t="s">
        <v>74</v>
      </c>
      <c r="P586" t="s">
        <v>74</v>
      </c>
      <c r="Q586" t="s">
        <v>74</v>
      </c>
      <c r="R586" t="s">
        <v>74</v>
      </c>
      <c r="S586" t="s">
        <v>74</v>
      </c>
      <c r="T586" t="s">
        <v>74</v>
      </c>
      <c r="U586" t="s">
        <v>11615</v>
      </c>
      <c r="V586" t="s">
        <v>11616</v>
      </c>
      <c r="W586" t="s">
        <v>11617</v>
      </c>
      <c r="X586" t="s">
        <v>4558</v>
      </c>
      <c r="Y586" t="s">
        <v>11618</v>
      </c>
      <c r="Z586" t="s">
        <v>11619</v>
      </c>
      <c r="AA586" t="s">
        <v>11620</v>
      </c>
      <c r="AB586" t="s">
        <v>11621</v>
      </c>
      <c r="AC586" t="s">
        <v>11622</v>
      </c>
      <c r="AD586" t="s">
        <v>11623</v>
      </c>
      <c r="AE586" t="s">
        <v>11624</v>
      </c>
      <c r="AF586" t="s">
        <v>74</v>
      </c>
      <c r="AG586">
        <v>70</v>
      </c>
      <c r="AH586">
        <v>39</v>
      </c>
      <c r="AI586">
        <v>44</v>
      </c>
      <c r="AJ586">
        <v>1</v>
      </c>
      <c r="AK586">
        <v>27</v>
      </c>
      <c r="AL586" t="s">
        <v>1663</v>
      </c>
      <c r="AM586" t="s">
        <v>1664</v>
      </c>
      <c r="AN586" t="s">
        <v>1665</v>
      </c>
      <c r="AO586" t="s">
        <v>1666</v>
      </c>
      <c r="AP586" t="s">
        <v>74</v>
      </c>
      <c r="AQ586" t="s">
        <v>74</v>
      </c>
      <c r="AR586" t="s">
        <v>1667</v>
      </c>
      <c r="AS586" t="s">
        <v>1668</v>
      </c>
      <c r="AT586" t="s">
        <v>11608</v>
      </c>
      <c r="AU586">
        <v>2018</v>
      </c>
      <c r="AV586">
        <v>8</v>
      </c>
      <c r="AW586" t="s">
        <v>74</v>
      </c>
      <c r="AX586" t="s">
        <v>74</v>
      </c>
      <c r="AY586" t="s">
        <v>74</v>
      </c>
      <c r="AZ586" t="s">
        <v>74</v>
      </c>
      <c r="BA586" t="s">
        <v>74</v>
      </c>
      <c r="BB586" t="s">
        <v>74</v>
      </c>
      <c r="BC586" t="s">
        <v>74</v>
      </c>
      <c r="BD586">
        <v>4141</v>
      </c>
      <c r="BE586" t="s">
        <v>11625</v>
      </c>
      <c r="BF586" t="str">
        <f>HYPERLINK("http://dx.doi.org/10.1038/s41598-018-22436-0","http://dx.doi.org/10.1038/s41598-018-22436-0")</f>
        <v>http://dx.doi.org/10.1038/s41598-018-22436-0</v>
      </c>
      <c r="BG586" t="s">
        <v>74</v>
      </c>
      <c r="BH586" t="s">
        <v>74</v>
      </c>
      <c r="BI586">
        <v>10</v>
      </c>
      <c r="BJ586" t="s">
        <v>1670</v>
      </c>
      <c r="BK586" t="s">
        <v>101</v>
      </c>
      <c r="BL586" t="s">
        <v>1671</v>
      </c>
      <c r="BM586" t="s">
        <v>11626</v>
      </c>
      <c r="BN586">
        <v>29515147</v>
      </c>
      <c r="BO586" t="s">
        <v>764</v>
      </c>
      <c r="BP586" t="s">
        <v>74</v>
      </c>
      <c r="BQ586" t="s">
        <v>74</v>
      </c>
      <c r="BR586" t="s">
        <v>105</v>
      </c>
      <c r="BS586" t="s">
        <v>11627</v>
      </c>
      <c r="BT586" t="str">
        <f>HYPERLINK("https%3A%2F%2Fwww.webofscience.com%2Fwos%2Fwoscc%2Ffull-record%2FWOS:000426814000039","View Full Record in Web of Science")</f>
        <v>View Full Record in Web of Science</v>
      </c>
    </row>
    <row r="587" spans="1:72" x14ac:dyDescent="0.15">
      <c r="A587" t="s">
        <v>72</v>
      </c>
      <c r="B587" t="s">
        <v>11628</v>
      </c>
      <c r="C587" t="s">
        <v>74</v>
      </c>
      <c r="D587" t="s">
        <v>74</v>
      </c>
      <c r="E587" t="s">
        <v>74</v>
      </c>
      <c r="F587" t="s">
        <v>11629</v>
      </c>
      <c r="G587" t="s">
        <v>74</v>
      </c>
      <c r="H587" t="s">
        <v>74</v>
      </c>
      <c r="I587" t="s">
        <v>11630</v>
      </c>
      <c r="J587" t="s">
        <v>11631</v>
      </c>
      <c r="K587" t="s">
        <v>74</v>
      </c>
      <c r="L587" t="s">
        <v>74</v>
      </c>
      <c r="M587" t="s">
        <v>78</v>
      </c>
      <c r="N587" t="s">
        <v>79</v>
      </c>
      <c r="O587" t="s">
        <v>74</v>
      </c>
      <c r="P587" t="s">
        <v>74</v>
      </c>
      <c r="Q587" t="s">
        <v>74</v>
      </c>
      <c r="R587" t="s">
        <v>74</v>
      </c>
      <c r="S587" t="s">
        <v>74</v>
      </c>
      <c r="T587" t="s">
        <v>74</v>
      </c>
      <c r="U587" t="s">
        <v>11632</v>
      </c>
      <c r="V587" t="s">
        <v>11633</v>
      </c>
      <c r="W587" t="s">
        <v>11634</v>
      </c>
      <c r="X587" t="s">
        <v>11635</v>
      </c>
      <c r="Y587" t="s">
        <v>11636</v>
      </c>
      <c r="Z587" t="s">
        <v>11637</v>
      </c>
      <c r="AA587" t="s">
        <v>11638</v>
      </c>
      <c r="AB587" t="s">
        <v>11639</v>
      </c>
      <c r="AC587" t="s">
        <v>11640</v>
      </c>
      <c r="AD587" t="s">
        <v>11641</v>
      </c>
      <c r="AE587" t="s">
        <v>11642</v>
      </c>
      <c r="AF587" t="s">
        <v>74</v>
      </c>
      <c r="AG587">
        <v>57</v>
      </c>
      <c r="AH587">
        <v>187</v>
      </c>
      <c r="AI587">
        <v>206</v>
      </c>
      <c r="AJ587">
        <v>28</v>
      </c>
      <c r="AK587">
        <v>293</v>
      </c>
      <c r="AL587" t="s">
        <v>8911</v>
      </c>
      <c r="AM587" t="s">
        <v>575</v>
      </c>
      <c r="AN587" t="s">
        <v>8912</v>
      </c>
      <c r="AO587" t="s">
        <v>11643</v>
      </c>
      <c r="AP587" t="s">
        <v>11644</v>
      </c>
      <c r="AQ587" t="s">
        <v>74</v>
      </c>
      <c r="AR587" t="s">
        <v>11645</v>
      </c>
      <c r="AS587" t="s">
        <v>11646</v>
      </c>
      <c r="AT587" t="s">
        <v>11647</v>
      </c>
      <c r="AU587">
        <v>2018</v>
      </c>
      <c r="AV587">
        <v>52</v>
      </c>
      <c r="AW587">
        <v>5</v>
      </c>
      <c r="AX587" t="s">
        <v>74</v>
      </c>
      <c r="AY587" t="s">
        <v>74</v>
      </c>
      <c r="AZ587" t="s">
        <v>74</v>
      </c>
      <c r="BA587" t="s">
        <v>74</v>
      </c>
      <c r="BB587">
        <v>2538</v>
      </c>
      <c r="BC587">
        <v>2548</v>
      </c>
      <c r="BD587" t="s">
        <v>74</v>
      </c>
      <c r="BE587" t="s">
        <v>11648</v>
      </c>
      <c r="BF587" t="str">
        <f>HYPERLINK("http://dx.doi.org/10.1021/acs.est.7b05513","http://dx.doi.org/10.1021/acs.est.7b05513")</f>
        <v>http://dx.doi.org/10.1021/acs.est.7b05513</v>
      </c>
      <c r="BG587" t="s">
        <v>74</v>
      </c>
      <c r="BH587" t="s">
        <v>74</v>
      </c>
      <c r="BI587">
        <v>11</v>
      </c>
      <c r="BJ587" t="s">
        <v>8917</v>
      </c>
      <c r="BK587" t="s">
        <v>101</v>
      </c>
      <c r="BL587" t="s">
        <v>8918</v>
      </c>
      <c r="BM587" t="s">
        <v>11649</v>
      </c>
      <c r="BN587">
        <v>29393627</v>
      </c>
      <c r="BO587" t="s">
        <v>74</v>
      </c>
      <c r="BP587" t="s">
        <v>74</v>
      </c>
      <c r="BQ587" t="s">
        <v>74</v>
      </c>
      <c r="BR587" t="s">
        <v>105</v>
      </c>
      <c r="BS587" t="s">
        <v>11650</v>
      </c>
      <c r="BT587" t="str">
        <f>HYPERLINK("https%3A%2F%2Fwww.webofscience.com%2Fwos%2Fwoscc%2Ffull-record%2FWOS:000427202700015","View Full Record in Web of Science")</f>
        <v>View Full Record in Web of Science</v>
      </c>
    </row>
    <row r="588" spans="1:72" x14ac:dyDescent="0.15">
      <c r="A588" t="s">
        <v>72</v>
      </c>
      <c r="B588" t="s">
        <v>11651</v>
      </c>
      <c r="C588" t="s">
        <v>74</v>
      </c>
      <c r="D588" t="s">
        <v>74</v>
      </c>
      <c r="E588" t="s">
        <v>74</v>
      </c>
      <c r="F588" t="s">
        <v>11652</v>
      </c>
      <c r="G588" t="s">
        <v>74</v>
      </c>
      <c r="H588" t="s">
        <v>74</v>
      </c>
      <c r="I588" t="s">
        <v>11653</v>
      </c>
      <c r="J588" t="s">
        <v>1677</v>
      </c>
      <c r="K588" t="s">
        <v>74</v>
      </c>
      <c r="L588" t="s">
        <v>74</v>
      </c>
      <c r="M588" t="s">
        <v>78</v>
      </c>
      <c r="N588" t="s">
        <v>79</v>
      </c>
      <c r="O588" t="s">
        <v>74</v>
      </c>
      <c r="P588" t="s">
        <v>74</v>
      </c>
      <c r="Q588" t="s">
        <v>74</v>
      </c>
      <c r="R588" t="s">
        <v>74</v>
      </c>
      <c r="S588" t="s">
        <v>74</v>
      </c>
      <c r="T588" t="s">
        <v>74</v>
      </c>
      <c r="U588" t="s">
        <v>11654</v>
      </c>
      <c r="V588" t="s">
        <v>11655</v>
      </c>
      <c r="W588" t="s">
        <v>11656</v>
      </c>
      <c r="X588" t="s">
        <v>11657</v>
      </c>
      <c r="Y588" t="s">
        <v>11658</v>
      </c>
      <c r="Z588" t="s">
        <v>11659</v>
      </c>
      <c r="AA588" t="s">
        <v>11660</v>
      </c>
      <c r="AB588" t="s">
        <v>11661</v>
      </c>
      <c r="AC588" t="s">
        <v>11662</v>
      </c>
      <c r="AD588" t="s">
        <v>11663</v>
      </c>
      <c r="AE588" t="s">
        <v>11664</v>
      </c>
      <c r="AF588" t="s">
        <v>74</v>
      </c>
      <c r="AG588">
        <v>92</v>
      </c>
      <c r="AH588">
        <v>40</v>
      </c>
      <c r="AI588">
        <v>42</v>
      </c>
      <c r="AJ588">
        <v>3</v>
      </c>
      <c r="AK588">
        <v>59</v>
      </c>
      <c r="AL588" t="s">
        <v>1689</v>
      </c>
      <c r="AM588" t="s">
        <v>1540</v>
      </c>
      <c r="AN588" t="s">
        <v>1690</v>
      </c>
      <c r="AO588" t="s">
        <v>1691</v>
      </c>
      <c r="AP588" t="s">
        <v>74</v>
      </c>
      <c r="AQ588" t="s">
        <v>74</v>
      </c>
      <c r="AR588" t="s">
        <v>1692</v>
      </c>
      <c r="AS588" t="s">
        <v>1693</v>
      </c>
      <c r="AT588" t="s">
        <v>11647</v>
      </c>
      <c r="AU588">
        <v>2018</v>
      </c>
      <c r="AV588">
        <v>9</v>
      </c>
      <c r="AW588" t="s">
        <v>74</v>
      </c>
      <c r="AX588" t="s">
        <v>74</v>
      </c>
      <c r="AY588" t="s">
        <v>74</v>
      </c>
      <c r="AZ588" t="s">
        <v>74</v>
      </c>
      <c r="BA588" t="s">
        <v>74</v>
      </c>
      <c r="BB588" t="s">
        <v>74</v>
      </c>
      <c r="BC588" t="s">
        <v>74</v>
      </c>
      <c r="BD588">
        <v>961</v>
      </c>
      <c r="BE588" t="s">
        <v>11665</v>
      </c>
      <c r="BF588" t="str">
        <f>HYPERLINK("http://dx.doi.org/10.1038/s41467-018-03328-3","http://dx.doi.org/10.1038/s41467-018-03328-3")</f>
        <v>http://dx.doi.org/10.1038/s41467-018-03328-3</v>
      </c>
      <c r="BG588" t="s">
        <v>74</v>
      </c>
      <c r="BH588" t="s">
        <v>74</v>
      </c>
      <c r="BI588">
        <v>11</v>
      </c>
      <c r="BJ588" t="s">
        <v>1670</v>
      </c>
      <c r="BK588" t="s">
        <v>101</v>
      </c>
      <c r="BL588" t="s">
        <v>1671</v>
      </c>
      <c r="BM588" t="s">
        <v>11666</v>
      </c>
      <c r="BN588">
        <v>29511182</v>
      </c>
      <c r="BO588" t="s">
        <v>2293</v>
      </c>
      <c r="BP588" t="s">
        <v>74</v>
      </c>
      <c r="BQ588" t="s">
        <v>74</v>
      </c>
      <c r="BR588" t="s">
        <v>105</v>
      </c>
      <c r="BS588" t="s">
        <v>11667</v>
      </c>
      <c r="BT588" t="str">
        <f>HYPERLINK("https%3A%2F%2Fwww.webofscience.com%2Fwos%2Fwoscc%2Ffull-record%2FWOS:000426659300007","View Full Record in Web of Science")</f>
        <v>View Full Record in Web of Science</v>
      </c>
    </row>
    <row r="589" spans="1:72" x14ac:dyDescent="0.15">
      <c r="A589" t="s">
        <v>72</v>
      </c>
      <c r="B589" t="s">
        <v>11668</v>
      </c>
      <c r="C589" t="s">
        <v>74</v>
      </c>
      <c r="D589" t="s">
        <v>74</v>
      </c>
      <c r="E589" t="s">
        <v>74</v>
      </c>
      <c r="F589" t="s">
        <v>11669</v>
      </c>
      <c r="G589" t="s">
        <v>74</v>
      </c>
      <c r="H589" t="s">
        <v>74</v>
      </c>
      <c r="I589" t="s">
        <v>11670</v>
      </c>
      <c r="J589" t="s">
        <v>11631</v>
      </c>
      <c r="K589" t="s">
        <v>74</v>
      </c>
      <c r="L589" t="s">
        <v>74</v>
      </c>
      <c r="M589" t="s">
        <v>78</v>
      </c>
      <c r="N589" t="s">
        <v>79</v>
      </c>
      <c r="O589" t="s">
        <v>74</v>
      </c>
      <c r="P589" t="s">
        <v>74</v>
      </c>
      <c r="Q589" t="s">
        <v>74</v>
      </c>
      <c r="R589" t="s">
        <v>74</v>
      </c>
      <c r="S589" t="s">
        <v>74</v>
      </c>
      <c r="T589" t="s">
        <v>74</v>
      </c>
      <c r="U589" t="s">
        <v>11671</v>
      </c>
      <c r="V589" t="s">
        <v>11672</v>
      </c>
      <c r="W589" t="s">
        <v>11673</v>
      </c>
      <c r="X589" t="s">
        <v>11674</v>
      </c>
      <c r="Y589" t="s">
        <v>11675</v>
      </c>
      <c r="Z589" t="s">
        <v>11582</v>
      </c>
      <c r="AA589" t="s">
        <v>11676</v>
      </c>
      <c r="AB589" t="s">
        <v>11677</v>
      </c>
      <c r="AC589" t="s">
        <v>11678</v>
      </c>
      <c r="AD589" t="s">
        <v>11679</v>
      </c>
      <c r="AE589" t="s">
        <v>11680</v>
      </c>
      <c r="AF589" t="s">
        <v>74</v>
      </c>
      <c r="AG589">
        <v>61</v>
      </c>
      <c r="AH589">
        <v>123</v>
      </c>
      <c r="AI589">
        <v>131</v>
      </c>
      <c r="AJ589">
        <v>7</v>
      </c>
      <c r="AK589">
        <v>287</v>
      </c>
      <c r="AL589" t="s">
        <v>8911</v>
      </c>
      <c r="AM589" t="s">
        <v>575</v>
      </c>
      <c r="AN589" t="s">
        <v>8912</v>
      </c>
      <c r="AO589" t="s">
        <v>11643</v>
      </c>
      <c r="AP589" t="s">
        <v>11644</v>
      </c>
      <c r="AQ589" t="s">
        <v>74</v>
      </c>
      <c r="AR589" t="s">
        <v>11645</v>
      </c>
      <c r="AS589" t="s">
        <v>11646</v>
      </c>
      <c r="AT589" t="s">
        <v>11647</v>
      </c>
      <c r="AU589">
        <v>2018</v>
      </c>
      <c r="AV589">
        <v>52</v>
      </c>
      <c r="AW589">
        <v>5</v>
      </c>
      <c r="AX589" t="s">
        <v>74</v>
      </c>
      <c r="AY589" t="s">
        <v>74</v>
      </c>
      <c r="AZ589" t="s">
        <v>74</v>
      </c>
      <c r="BA589" t="s">
        <v>74</v>
      </c>
      <c r="BB589">
        <v>3195</v>
      </c>
      <c r="BC589">
        <v>3201</v>
      </c>
      <c r="BD589" t="s">
        <v>74</v>
      </c>
      <c r="BE589" t="s">
        <v>11681</v>
      </c>
      <c r="BF589" t="str">
        <f>HYPERLINK("http://dx.doi.org/10.1021/acs.est.7b05759","http://dx.doi.org/10.1021/acs.est.7b05759")</f>
        <v>http://dx.doi.org/10.1021/acs.est.7b05759</v>
      </c>
      <c r="BG589" t="s">
        <v>74</v>
      </c>
      <c r="BH589" t="s">
        <v>74</v>
      </c>
      <c r="BI589">
        <v>7</v>
      </c>
      <c r="BJ589" t="s">
        <v>8917</v>
      </c>
      <c r="BK589" t="s">
        <v>101</v>
      </c>
      <c r="BL589" t="s">
        <v>8918</v>
      </c>
      <c r="BM589" t="s">
        <v>11649</v>
      </c>
      <c r="BN589">
        <v>29397707</v>
      </c>
      <c r="BO589" t="s">
        <v>288</v>
      </c>
      <c r="BP589" t="s">
        <v>74</v>
      </c>
      <c r="BQ589" t="s">
        <v>74</v>
      </c>
      <c r="BR589" t="s">
        <v>105</v>
      </c>
      <c r="BS589" t="s">
        <v>11682</v>
      </c>
      <c r="BT589" t="str">
        <f>HYPERLINK("https%3A%2F%2Fwww.webofscience.com%2Fwos%2Fwoscc%2Ffull-record%2FWOS:000427202700086","View Full Record in Web of Science")</f>
        <v>View Full Record in Web of Science</v>
      </c>
    </row>
    <row r="590" spans="1:72" x14ac:dyDescent="0.15">
      <c r="A590" t="s">
        <v>72</v>
      </c>
      <c r="B590" t="s">
        <v>11683</v>
      </c>
      <c r="C590" t="s">
        <v>74</v>
      </c>
      <c r="D590" t="s">
        <v>74</v>
      </c>
      <c r="E590" t="s">
        <v>74</v>
      </c>
      <c r="F590" t="s">
        <v>11684</v>
      </c>
      <c r="G590" t="s">
        <v>74</v>
      </c>
      <c r="H590" t="s">
        <v>74</v>
      </c>
      <c r="I590" t="s">
        <v>11685</v>
      </c>
      <c r="J590" t="s">
        <v>1598</v>
      </c>
      <c r="K590" t="s">
        <v>74</v>
      </c>
      <c r="L590" t="s">
        <v>74</v>
      </c>
      <c r="M590" t="s">
        <v>78</v>
      </c>
      <c r="N590" t="s">
        <v>79</v>
      </c>
      <c r="O590" t="s">
        <v>74</v>
      </c>
      <c r="P590" t="s">
        <v>74</v>
      </c>
      <c r="Q590" t="s">
        <v>74</v>
      </c>
      <c r="R590" t="s">
        <v>74</v>
      </c>
      <c r="S590" t="s">
        <v>74</v>
      </c>
      <c r="T590" t="s">
        <v>74</v>
      </c>
      <c r="U590" t="s">
        <v>11686</v>
      </c>
      <c r="V590" t="s">
        <v>74</v>
      </c>
      <c r="W590" t="s">
        <v>11687</v>
      </c>
      <c r="X590" t="s">
        <v>11688</v>
      </c>
      <c r="Y590" t="s">
        <v>11689</v>
      </c>
      <c r="Z590" t="s">
        <v>11690</v>
      </c>
      <c r="AA590" t="s">
        <v>11691</v>
      </c>
      <c r="AB590" t="s">
        <v>11692</v>
      </c>
      <c r="AC590" t="s">
        <v>11693</v>
      </c>
      <c r="AD590" t="s">
        <v>11693</v>
      </c>
      <c r="AE590" t="s">
        <v>11694</v>
      </c>
      <c r="AF590" t="s">
        <v>74</v>
      </c>
      <c r="AG590">
        <v>50</v>
      </c>
      <c r="AH590">
        <v>3</v>
      </c>
      <c r="AI590">
        <v>3</v>
      </c>
      <c r="AJ590">
        <v>1</v>
      </c>
      <c r="AK590">
        <v>9</v>
      </c>
      <c r="AL590" t="s">
        <v>123</v>
      </c>
      <c r="AM590" t="s">
        <v>124</v>
      </c>
      <c r="AN590" t="s">
        <v>125</v>
      </c>
      <c r="AO590" t="s">
        <v>1609</v>
      </c>
      <c r="AP590" t="s">
        <v>1610</v>
      </c>
      <c r="AQ590" t="s">
        <v>74</v>
      </c>
      <c r="AR590" t="s">
        <v>1611</v>
      </c>
      <c r="AS590" t="s">
        <v>1612</v>
      </c>
      <c r="AT590" t="s">
        <v>11695</v>
      </c>
      <c r="AU590">
        <v>2018</v>
      </c>
      <c r="AV590">
        <v>50</v>
      </c>
      <c r="AW590">
        <v>1</v>
      </c>
      <c r="AX590" t="s">
        <v>74</v>
      </c>
      <c r="AY590" t="s">
        <v>74</v>
      </c>
      <c r="AZ590" t="s">
        <v>74</v>
      </c>
      <c r="BA590" t="s">
        <v>74</v>
      </c>
      <c r="BB590" t="s">
        <v>74</v>
      </c>
      <c r="BC590" t="s">
        <v>74</v>
      </c>
      <c r="BD590" t="s">
        <v>11696</v>
      </c>
      <c r="BE590" t="s">
        <v>11697</v>
      </c>
      <c r="BF590" t="str">
        <f>HYPERLINK("http://dx.doi.org/10.1080/15230430.2018.1433786","http://dx.doi.org/10.1080/15230430.2018.1433786")</f>
        <v>http://dx.doi.org/10.1080/15230430.2018.1433786</v>
      </c>
      <c r="BG590" t="s">
        <v>74</v>
      </c>
      <c r="BH590" t="s">
        <v>74</v>
      </c>
      <c r="BI590">
        <v>6</v>
      </c>
      <c r="BJ590" t="s">
        <v>1616</v>
      </c>
      <c r="BK590" t="s">
        <v>101</v>
      </c>
      <c r="BL590" t="s">
        <v>1617</v>
      </c>
      <c r="BM590" t="s">
        <v>11698</v>
      </c>
      <c r="BN590" t="s">
        <v>74</v>
      </c>
      <c r="BO590" t="s">
        <v>764</v>
      </c>
      <c r="BP590" t="s">
        <v>74</v>
      </c>
      <c r="BQ590" t="s">
        <v>74</v>
      </c>
      <c r="BR590" t="s">
        <v>105</v>
      </c>
      <c r="BS590" t="s">
        <v>11699</v>
      </c>
      <c r="BT590" t="str">
        <f>HYPERLINK("https%3A%2F%2Fwww.webofscience.com%2Fwos%2Fwoscc%2Ffull-record%2FWOS:000438742200001","View Full Record in Web of Science")</f>
        <v>View Full Record in Web of Science</v>
      </c>
    </row>
    <row r="591" spans="1:72" x14ac:dyDescent="0.15">
      <c r="A591" t="s">
        <v>72</v>
      </c>
      <c r="B591" t="s">
        <v>11700</v>
      </c>
      <c r="C591" t="s">
        <v>74</v>
      </c>
      <c r="D591" t="s">
        <v>74</v>
      </c>
      <c r="E591" t="s">
        <v>74</v>
      </c>
      <c r="F591" t="s">
        <v>11701</v>
      </c>
      <c r="G591" t="s">
        <v>74</v>
      </c>
      <c r="H591" t="s">
        <v>74</v>
      </c>
      <c r="I591" t="s">
        <v>11702</v>
      </c>
      <c r="J591" t="s">
        <v>1651</v>
      </c>
      <c r="K591" t="s">
        <v>74</v>
      </c>
      <c r="L591" t="s">
        <v>74</v>
      </c>
      <c r="M591" t="s">
        <v>78</v>
      </c>
      <c r="N591" t="s">
        <v>79</v>
      </c>
      <c r="O591" t="s">
        <v>74</v>
      </c>
      <c r="P591" t="s">
        <v>74</v>
      </c>
      <c r="Q591" t="s">
        <v>74</v>
      </c>
      <c r="R591" t="s">
        <v>74</v>
      </c>
      <c r="S591" t="s">
        <v>74</v>
      </c>
      <c r="T591" t="s">
        <v>74</v>
      </c>
      <c r="U591" t="s">
        <v>11703</v>
      </c>
      <c r="V591" t="s">
        <v>11704</v>
      </c>
      <c r="W591" t="s">
        <v>11705</v>
      </c>
      <c r="X591" t="s">
        <v>11706</v>
      </c>
      <c r="Y591" t="s">
        <v>11707</v>
      </c>
      <c r="Z591" t="s">
        <v>11708</v>
      </c>
      <c r="AA591" t="s">
        <v>11709</v>
      </c>
      <c r="AB591" t="s">
        <v>11710</v>
      </c>
      <c r="AC591" t="s">
        <v>11711</v>
      </c>
      <c r="AD591" t="s">
        <v>11712</v>
      </c>
      <c r="AE591" t="s">
        <v>11713</v>
      </c>
      <c r="AF591" t="s">
        <v>74</v>
      </c>
      <c r="AG591">
        <v>54</v>
      </c>
      <c r="AH591">
        <v>14</v>
      </c>
      <c r="AI591">
        <v>15</v>
      </c>
      <c r="AJ591">
        <v>3</v>
      </c>
      <c r="AK591">
        <v>21</v>
      </c>
      <c r="AL591" t="s">
        <v>1663</v>
      </c>
      <c r="AM591" t="s">
        <v>1664</v>
      </c>
      <c r="AN591" t="s">
        <v>1665</v>
      </c>
      <c r="AO591" t="s">
        <v>1666</v>
      </c>
      <c r="AP591" t="s">
        <v>74</v>
      </c>
      <c r="AQ591" t="s">
        <v>74</v>
      </c>
      <c r="AR591" t="s">
        <v>1667</v>
      </c>
      <c r="AS591" t="s">
        <v>1668</v>
      </c>
      <c r="AT591" t="s">
        <v>11695</v>
      </c>
      <c r="AU591">
        <v>2018</v>
      </c>
      <c r="AV591">
        <v>8</v>
      </c>
      <c r="AW591" t="s">
        <v>74</v>
      </c>
      <c r="AX591" t="s">
        <v>74</v>
      </c>
      <c r="AY591" t="s">
        <v>74</v>
      </c>
      <c r="AZ591" t="s">
        <v>74</v>
      </c>
      <c r="BA591" t="s">
        <v>74</v>
      </c>
      <c r="BB591" t="s">
        <v>74</v>
      </c>
      <c r="BC591" t="s">
        <v>74</v>
      </c>
      <c r="BD591">
        <v>3993</v>
      </c>
      <c r="BE591" t="s">
        <v>11714</v>
      </c>
      <c r="BF591" t="str">
        <f>HYPERLINK("http://dx.doi.org/10.1038/s41598-018-22148-5","http://dx.doi.org/10.1038/s41598-018-22148-5")</f>
        <v>http://dx.doi.org/10.1038/s41598-018-22148-5</v>
      </c>
      <c r="BG591" t="s">
        <v>74</v>
      </c>
      <c r="BH591" t="s">
        <v>74</v>
      </c>
      <c r="BI591">
        <v>12</v>
      </c>
      <c r="BJ591" t="s">
        <v>1670</v>
      </c>
      <c r="BK591" t="s">
        <v>101</v>
      </c>
      <c r="BL591" t="s">
        <v>1671</v>
      </c>
      <c r="BM591" t="s">
        <v>11715</v>
      </c>
      <c r="BN591">
        <v>29507352</v>
      </c>
      <c r="BO591" t="s">
        <v>2293</v>
      </c>
      <c r="BP591" t="s">
        <v>74</v>
      </c>
      <c r="BQ591" t="s">
        <v>74</v>
      </c>
      <c r="BR591" t="s">
        <v>105</v>
      </c>
      <c r="BS591" t="s">
        <v>11716</v>
      </c>
      <c r="BT591" t="str">
        <f>HYPERLINK("https%3A%2F%2Fwww.webofscience.com%2Fwos%2Fwoscc%2Ffull-record%2FWOS:000426540800026","View Full Record in Web of Science")</f>
        <v>View Full Record in Web of Science</v>
      </c>
    </row>
    <row r="592" spans="1:72" x14ac:dyDescent="0.15">
      <c r="A592" t="s">
        <v>72</v>
      </c>
      <c r="B592" t="s">
        <v>11717</v>
      </c>
      <c r="C592" t="s">
        <v>74</v>
      </c>
      <c r="D592" t="s">
        <v>74</v>
      </c>
      <c r="E592" t="s">
        <v>74</v>
      </c>
      <c r="F592" t="s">
        <v>11718</v>
      </c>
      <c r="G592" t="s">
        <v>74</v>
      </c>
      <c r="H592" t="s">
        <v>74</v>
      </c>
      <c r="I592" t="s">
        <v>11719</v>
      </c>
      <c r="J592" t="s">
        <v>2139</v>
      </c>
      <c r="K592" t="s">
        <v>74</v>
      </c>
      <c r="L592" t="s">
        <v>74</v>
      </c>
      <c r="M592" t="s">
        <v>78</v>
      </c>
      <c r="N592" t="s">
        <v>79</v>
      </c>
      <c r="O592" t="s">
        <v>74</v>
      </c>
      <c r="P592" t="s">
        <v>74</v>
      </c>
      <c r="Q592" t="s">
        <v>74</v>
      </c>
      <c r="R592" t="s">
        <v>74</v>
      </c>
      <c r="S592" t="s">
        <v>74</v>
      </c>
      <c r="T592" t="s">
        <v>11720</v>
      </c>
      <c r="U592" t="s">
        <v>11721</v>
      </c>
      <c r="V592" t="s">
        <v>11722</v>
      </c>
      <c r="W592" t="s">
        <v>11723</v>
      </c>
      <c r="X592" t="s">
        <v>11724</v>
      </c>
      <c r="Y592" t="s">
        <v>11725</v>
      </c>
      <c r="Z592" t="s">
        <v>11726</v>
      </c>
      <c r="AA592" t="s">
        <v>11727</v>
      </c>
      <c r="AB592" t="s">
        <v>11728</v>
      </c>
      <c r="AC592" t="s">
        <v>11729</v>
      </c>
      <c r="AD592" t="s">
        <v>11730</v>
      </c>
      <c r="AE592" t="s">
        <v>11731</v>
      </c>
      <c r="AF592" t="s">
        <v>74</v>
      </c>
      <c r="AG592">
        <v>108</v>
      </c>
      <c r="AH592">
        <v>27</v>
      </c>
      <c r="AI592">
        <v>29</v>
      </c>
      <c r="AJ592">
        <v>3</v>
      </c>
      <c r="AK592">
        <v>19</v>
      </c>
      <c r="AL592" t="s">
        <v>2152</v>
      </c>
      <c r="AM592" t="s">
        <v>2153</v>
      </c>
      <c r="AN592" t="s">
        <v>2154</v>
      </c>
      <c r="AO592" t="s">
        <v>74</v>
      </c>
      <c r="AP592" t="s">
        <v>2155</v>
      </c>
      <c r="AQ592" t="s">
        <v>74</v>
      </c>
      <c r="AR592" t="s">
        <v>2156</v>
      </c>
      <c r="AS592" t="s">
        <v>2157</v>
      </c>
      <c r="AT592" t="s">
        <v>11732</v>
      </c>
      <c r="AU592">
        <v>2018</v>
      </c>
      <c r="AV592">
        <v>5</v>
      </c>
      <c r="AW592" t="s">
        <v>74</v>
      </c>
      <c r="AX592" t="s">
        <v>74</v>
      </c>
      <c r="AY592" t="s">
        <v>74</v>
      </c>
      <c r="AZ592" t="s">
        <v>74</v>
      </c>
      <c r="BA592" t="s">
        <v>74</v>
      </c>
      <c r="BB592" t="s">
        <v>74</v>
      </c>
      <c r="BC592" t="s">
        <v>74</v>
      </c>
      <c r="BD592">
        <v>50</v>
      </c>
      <c r="BE592" t="s">
        <v>11733</v>
      </c>
      <c r="BF592" t="str">
        <f>HYPERLINK("http://dx.doi.org/10.3389/fmars.2018.00050","http://dx.doi.org/10.3389/fmars.2018.00050")</f>
        <v>http://dx.doi.org/10.3389/fmars.2018.00050</v>
      </c>
      <c r="BG592" t="s">
        <v>74</v>
      </c>
      <c r="BH592" t="s">
        <v>74</v>
      </c>
      <c r="BI592">
        <v>19</v>
      </c>
      <c r="BJ592" t="s">
        <v>2159</v>
      </c>
      <c r="BK592" t="s">
        <v>101</v>
      </c>
      <c r="BL592" t="s">
        <v>1268</v>
      </c>
      <c r="BM592" t="s">
        <v>11734</v>
      </c>
      <c r="BN592" t="s">
        <v>74</v>
      </c>
      <c r="BO592" t="s">
        <v>6449</v>
      </c>
      <c r="BP592" t="s">
        <v>74</v>
      </c>
      <c r="BQ592" t="s">
        <v>74</v>
      </c>
      <c r="BR592" t="s">
        <v>105</v>
      </c>
      <c r="BS592" t="s">
        <v>11735</v>
      </c>
      <c r="BT592" t="str">
        <f>HYPERLINK("https%3A%2F%2Fwww.webofscience.com%2Fwos%2Fwoscc%2Ffull-record%2FWOS:000456931000001","View Full Record in Web of Science")</f>
        <v>View Full Record in Web of Science</v>
      </c>
    </row>
    <row r="593" spans="1:72" x14ac:dyDescent="0.15">
      <c r="A593" t="s">
        <v>72</v>
      </c>
      <c r="B593" t="s">
        <v>11736</v>
      </c>
      <c r="C593" t="s">
        <v>74</v>
      </c>
      <c r="D593" t="s">
        <v>74</v>
      </c>
      <c r="E593" t="s">
        <v>74</v>
      </c>
      <c r="F593" t="s">
        <v>11737</v>
      </c>
      <c r="G593" t="s">
        <v>74</v>
      </c>
      <c r="H593" t="s">
        <v>74</v>
      </c>
      <c r="I593" t="s">
        <v>11738</v>
      </c>
      <c r="J593" t="s">
        <v>1576</v>
      </c>
      <c r="K593" t="s">
        <v>74</v>
      </c>
      <c r="L593" t="s">
        <v>74</v>
      </c>
      <c r="M593" t="s">
        <v>78</v>
      </c>
      <c r="N593" t="s">
        <v>79</v>
      </c>
      <c r="O593" t="s">
        <v>74</v>
      </c>
      <c r="P593" t="s">
        <v>74</v>
      </c>
      <c r="Q593" t="s">
        <v>74</v>
      </c>
      <c r="R593" t="s">
        <v>74</v>
      </c>
      <c r="S593" t="s">
        <v>74</v>
      </c>
      <c r="T593" t="s">
        <v>74</v>
      </c>
      <c r="U593" t="s">
        <v>11739</v>
      </c>
      <c r="V593" t="s">
        <v>11740</v>
      </c>
      <c r="W593" t="s">
        <v>11741</v>
      </c>
      <c r="X593" t="s">
        <v>11742</v>
      </c>
      <c r="Y593" t="s">
        <v>11743</v>
      </c>
      <c r="Z593" t="s">
        <v>11744</v>
      </c>
      <c r="AA593" t="s">
        <v>11745</v>
      </c>
      <c r="AB593" t="s">
        <v>11746</v>
      </c>
      <c r="AC593" t="s">
        <v>11747</v>
      </c>
      <c r="AD593" t="s">
        <v>11748</v>
      </c>
      <c r="AE593" t="s">
        <v>11749</v>
      </c>
      <c r="AF593" t="s">
        <v>74</v>
      </c>
      <c r="AG593">
        <v>54</v>
      </c>
      <c r="AH593">
        <v>19</v>
      </c>
      <c r="AI593">
        <v>26</v>
      </c>
      <c r="AJ593">
        <v>2</v>
      </c>
      <c r="AK593">
        <v>17</v>
      </c>
      <c r="AL593" t="s">
        <v>1563</v>
      </c>
      <c r="AM593" t="s">
        <v>1564</v>
      </c>
      <c r="AN593" t="s">
        <v>1565</v>
      </c>
      <c r="AO593" t="s">
        <v>1588</v>
      </c>
      <c r="AP593" t="s">
        <v>1589</v>
      </c>
      <c r="AQ593" t="s">
        <v>74</v>
      </c>
      <c r="AR593" t="s">
        <v>1576</v>
      </c>
      <c r="AS593" t="s">
        <v>1590</v>
      </c>
      <c r="AT593" t="s">
        <v>11732</v>
      </c>
      <c r="AU593">
        <v>2018</v>
      </c>
      <c r="AV593">
        <v>12</v>
      </c>
      <c r="AW593">
        <v>2</v>
      </c>
      <c r="AX593" t="s">
        <v>74</v>
      </c>
      <c r="AY593" t="s">
        <v>74</v>
      </c>
      <c r="AZ593" t="s">
        <v>74</v>
      </c>
      <c r="BA593" t="s">
        <v>74</v>
      </c>
      <c r="BB593">
        <v>795</v>
      </c>
      <c r="BC593">
        <v>810</v>
      </c>
      <c r="BD593" t="s">
        <v>74</v>
      </c>
      <c r="BE593" t="s">
        <v>11750</v>
      </c>
      <c r="BF593" t="str">
        <f>HYPERLINK("http://dx.doi.org/10.5194/tc-12-795-2018","http://dx.doi.org/10.5194/tc-12-795-2018")</f>
        <v>http://dx.doi.org/10.5194/tc-12-795-2018</v>
      </c>
      <c r="BG593" t="s">
        <v>74</v>
      </c>
      <c r="BH593" t="s">
        <v>74</v>
      </c>
      <c r="BI593">
        <v>16</v>
      </c>
      <c r="BJ593" t="s">
        <v>338</v>
      </c>
      <c r="BK593" t="s">
        <v>101</v>
      </c>
      <c r="BL593" t="s">
        <v>339</v>
      </c>
      <c r="BM593" t="s">
        <v>11751</v>
      </c>
      <c r="BN593" t="s">
        <v>74</v>
      </c>
      <c r="BO593" t="s">
        <v>830</v>
      </c>
      <c r="BP593" t="s">
        <v>74</v>
      </c>
      <c r="BQ593" t="s">
        <v>74</v>
      </c>
      <c r="BR593" t="s">
        <v>105</v>
      </c>
      <c r="BS593" t="s">
        <v>11752</v>
      </c>
      <c r="BT593" t="str">
        <f>HYPERLINK("https%3A%2F%2Fwww.webofscience.com%2Fwos%2Fwoscc%2Ffull-record%2FWOS:000426754500001","View Full Record in Web of Science")</f>
        <v>View Full Record in Web of Science</v>
      </c>
    </row>
    <row r="594" spans="1:72" x14ac:dyDescent="0.15">
      <c r="A594" t="s">
        <v>72</v>
      </c>
      <c r="B594" t="s">
        <v>11753</v>
      </c>
      <c r="C594" t="s">
        <v>74</v>
      </c>
      <c r="D594" t="s">
        <v>74</v>
      </c>
      <c r="E594" t="s">
        <v>74</v>
      </c>
      <c r="F594" t="s">
        <v>11754</v>
      </c>
      <c r="G594" t="s">
        <v>74</v>
      </c>
      <c r="H594" t="s">
        <v>74</v>
      </c>
      <c r="I594" t="s">
        <v>11755</v>
      </c>
      <c r="J594" t="s">
        <v>1677</v>
      </c>
      <c r="K594" t="s">
        <v>74</v>
      </c>
      <c r="L594" t="s">
        <v>74</v>
      </c>
      <c r="M594" t="s">
        <v>78</v>
      </c>
      <c r="N594" t="s">
        <v>79</v>
      </c>
      <c r="O594" t="s">
        <v>74</v>
      </c>
      <c r="P594" t="s">
        <v>74</v>
      </c>
      <c r="Q594" t="s">
        <v>74</v>
      </c>
      <c r="R594" t="s">
        <v>74</v>
      </c>
      <c r="S594" t="s">
        <v>74</v>
      </c>
      <c r="T594" t="s">
        <v>74</v>
      </c>
      <c r="U594" t="s">
        <v>11756</v>
      </c>
      <c r="V594" t="s">
        <v>11757</v>
      </c>
      <c r="W594" t="s">
        <v>11758</v>
      </c>
      <c r="X594" t="s">
        <v>11759</v>
      </c>
      <c r="Y594" t="s">
        <v>11760</v>
      </c>
      <c r="Z594" t="s">
        <v>11761</v>
      </c>
      <c r="AA594" t="s">
        <v>11762</v>
      </c>
      <c r="AB594" t="s">
        <v>11763</v>
      </c>
      <c r="AC594" t="s">
        <v>11764</v>
      </c>
      <c r="AD594" t="s">
        <v>11765</v>
      </c>
      <c r="AE594" t="s">
        <v>11766</v>
      </c>
      <c r="AF594" t="s">
        <v>74</v>
      </c>
      <c r="AG594">
        <v>69</v>
      </c>
      <c r="AH594">
        <v>58</v>
      </c>
      <c r="AI594">
        <v>66</v>
      </c>
      <c r="AJ594">
        <v>16</v>
      </c>
      <c r="AK594">
        <v>133</v>
      </c>
      <c r="AL594" t="s">
        <v>1689</v>
      </c>
      <c r="AM594" t="s">
        <v>1540</v>
      </c>
      <c r="AN594" t="s">
        <v>1690</v>
      </c>
      <c r="AO594" t="s">
        <v>1691</v>
      </c>
      <c r="AP594" t="s">
        <v>74</v>
      </c>
      <c r="AQ594" t="s">
        <v>74</v>
      </c>
      <c r="AR594" t="s">
        <v>1692</v>
      </c>
      <c r="AS594" t="s">
        <v>1693</v>
      </c>
      <c r="AT594" t="s">
        <v>11732</v>
      </c>
      <c r="AU594">
        <v>2018</v>
      </c>
      <c r="AV594">
        <v>9</v>
      </c>
      <c r="AW594" t="s">
        <v>74</v>
      </c>
      <c r="AX594" t="s">
        <v>74</v>
      </c>
      <c r="AY594" t="s">
        <v>74</v>
      </c>
      <c r="AZ594" t="s">
        <v>74</v>
      </c>
      <c r="BA594" t="s">
        <v>74</v>
      </c>
      <c r="BB594" t="s">
        <v>74</v>
      </c>
      <c r="BC594" t="s">
        <v>74</v>
      </c>
      <c r="BD594">
        <v>915</v>
      </c>
      <c r="BE594" t="s">
        <v>11767</v>
      </c>
      <c r="BF594" t="str">
        <f>HYPERLINK("http://dx.doi.org/10.1038/s41467-018-03363-0","http://dx.doi.org/10.1038/s41467-018-03363-0")</f>
        <v>http://dx.doi.org/10.1038/s41467-018-03363-0</v>
      </c>
      <c r="BG594" t="s">
        <v>74</v>
      </c>
      <c r="BH594" t="s">
        <v>74</v>
      </c>
      <c r="BI594">
        <v>9</v>
      </c>
      <c r="BJ594" t="s">
        <v>1670</v>
      </c>
      <c r="BK594" t="s">
        <v>101</v>
      </c>
      <c r="BL594" t="s">
        <v>1671</v>
      </c>
      <c r="BM594" t="s">
        <v>11768</v>
      </c>
      <c r="BN594">
        <v>29500422</v>
      </c>
      <c r="BO594" t="s">
        <v>3105</v>
      </c>
      <c r="BP594" t="s">
        <v>74</v>
      </c>
      <c r="BQ594" t="s">
        <v>74</v>
      </c>
      <c r="BR594" t="s">
        <v>105</v>
      </c>
      <c r="BS594" t="s">
        <v>11769</v>
      </c>
      <c r="BT594" t="str">
        <f>HYPERLINK("https%3A%2F%2Fwww.webofscience.com%2Fwos%2Fwoscc%2Ffull-record%2FWOS:000426469900017","View Full Record in Web of Science")</f>
        <v>View Full Record in Web of Science</v>
      </c>
    </row>
    <row r="595" spans="1:72" x14ac:dyDescent="0.15">
      <c r="A595" t="s">
        <v>72</v>
      </c>
      <c r="B595" t="s">
        <v>11770</v>
      </c>
      <c r="C595" t="s">
        <v>74</v>
      </c>
      <c r="D595" t="s">
        <v>74</v>
      </c>
      <c r="E595" t="s">
        <v>74</v>
      </c>
      <c r="F595" t="s">
        <v>11771</v>
      </c>
      <c r="G595" t="s">
        <v>74</v>
      </c>
      <c r="H595" t="s">
        <v>74</v>
      </c>
      <c r="I595" t="s">
        <v>11772</v>
      </c>
      <c r="J595" t="s">
        <v>1651</v>
      </c>
      <c r="K595" t="s">
        <v>74</v>
      </c>
      <c r="L595" t="s">
        <v>74</v>
      </c>
      <c r="M595" t="s">
        <v>78</v>
      </c>
      <c r="N595" t="s">
        <v>79</v>
      </c>
      <c r="O595" t="s">
        <v>74</v>
      </c>
      <c r="P595" t="s">
        <v>74</v>
      </c>
      <c r="Q595" t="s">
        <v>74</v>
      </c>
      <c r="R595" t="s">
        <v>74</v>
      </c>
      <c r="S595" t="s">
        <v>74</v>
      </c>
      <c r="T595" t="s">
        <v>74</v>
      </c>
      <c r="U595" t="s">
        <v>11773</v>
      </c>
      <c r="V595" t="s">
        <v>11774</v>
      </c>
      <c r="W595" t="s">
        <v>11775</v>
      </c>
      <c r="X595" t="s">
        <v>11776</v>
      </c>
      <c r="Y595" t="s">
        <v>11777</v>
      </c>
      <c r="Z595" t="s">
        <v>11778</v>
      </c>
      <c r="AA595" t="s">
        <v>11779</v>
      </c>
      <c r="AB595" t="s">
        <v>11780</v>
      </c>
      <c r="AC595" t="s">
        <v>11781</v>
      </c>
      <c r="AD595" t="s">
        <v>11782</v>
      </c>
      <c r="AE595" t="s">
        <v>11783</v>
      </c>
      <c r="AF595" t="s">
        <v>74</v>
      </c>
      <c r="AG595">
        <v>55</v>
      </c>
      <c r="AH595">
        <v>59</v>
      </c>
      <c r="AI595">
        <v>63</v>
      </c>
      <c r="AJ595">
        <v>1</v>
      </c>
      <c r="AK595">
        <v>42</v>
      </c>
      <c r="AL595" t="s">
        <v>1663</v>
      </c>
      <c r="AM595" t="s">
        <v>1664</v>
      </c>
      <c r="AN595" t="s">
        <v>1665</v>
      </c>
      <c r="AO595" t="s">
        <v>1666</v>
      </c>
      <c r="AP595" t="s">
        <v>74</v>
      </c>
      <c r="AQ595" t="s">
        <v>74</v>
      </c>
      <c r="AR595" t="s">
        <v>1667</v>
      </c>
      <c r="AS595" t="s">
        <v>1668</v>
      </c>
      <c r="AT595" t="s">
        <v>11732</v>
      </c>
      <c r="AU595">
        <v>2018</v>
      </c>
      <c r="AV595">
        <v>8</v>
      </c>
      <c r="AW595" t="s">
        <v>74</v>
      </c>
      <c r="AX595" t="s">
        <v>74</v>
      </c>
      <c r="AY595" t="s">
        <v>74</v>
      </c>
      <c r="AZ595" t="s">
        <v>74</v>
      </c>
      <c r="BA595" t="s">
        <v>74</v>
      </c>
      <c r="BB595" t="s">
        <v>74</v>
      </c>
      <c r="BC595" t="s">
        <v>74</v>
      </c>
      <c r="BD595">
        <v>3926</v>
      </c>
      <c r="BE595" t="s">
        <v>11784</v>
      </c>
      <c r="BF595" t="str">
        <f>HYPERLINK("http://dx.doi.org/10.1038/s41598-018-22313-w","http://dx.doi.org/10.1038/s41598-018-22313-w")</f>
        <v>http://dx.doi.org/10.1038/s41598-018-22313-w</v>
      </c>
      <c r="BG595" t="s">
        <v>74</v>
      </c>
      <c r="BH595" t="s">
        <v>74</v>
      </c>
      <c r="BI595">
        <v>9</v>
      </c>
      <c r="BJ595" t="s">
        <v>1670</v>
      </c>
      <c r="BK595" t="s">
        <v>101</v>
      </c>
      <c r="BL595" t="s">
        <v>1671</v>
      </c>
      <c r="BM595" t="s">
        <v>11785</v>
      </c>
      <c r="BN595">
        <v>29500389</v>
      </c>
      <c r="BO595" t="s">
        <v>764</v>
      </c>
      <c r="BP595" t="s">
        <v>74</v>
      </c>
      <c r="BQ595" t="s">
        <v>74</v>
      </c>
      <c r="BR595" t="s">
        <v>105</v>
      </c>
      <c r="BS595" t="s">
        <v>11786</v>
      </c>
      <c r="BT595" t="str">
        <f>HYPERLINK("https%3A%2F%2Fwww.webofscience.com%2Fwos%2Fwoscc%2Ffull-record%2FWOS:000426467900025","View Full Record in Web of Science")</f>
        <v>View Full Record in Web of Science</v>
      </c>
    </row>
    <row r="596" spans="1:72" x14ac:dyDescent="0.15">
      <c r="A596" t="s">
        <v>11787</v>
      </c>
      <c r="B596" t="s">
        <v>11788</v>
      </c>
      <c r="C596" t="s">
        <v>74</v>
      </c>
      <c r="D596" t="s">
        <v>74</v>
      </c>
      <c r="E596" t="s">
        <v>74</v>
      </c>
      <c r="F596" t="s">
        <v>11789</v>
      </c>
      <c r="G596" t="s">
        <v>74</v>
      </c>
      <c r="H596" t="s">
        <v>74</v>
      </c>
      <c r="I596" t="s">
        <v>11790</v>
      </c>
      <c r="J596" t="s">
        <v>11791</v>
      </c>
      <c r="K596" t="s">
        <v>74</v>
      </c>
      <c r="L596" t="s">
        <v>74</v>
      </c>
      <c r="M596" t="s">
        <v>78</v>
      </c>
      <c r="N596" t="s">
        <v>11792</v>
      </c>
      <c r="O596" t="s">
        <v>11793</v>
      </c>
      <c r="P596" t="s">
        <v>11794</v>
      </c>
      <c r="Q596" t="s">
        <v>11795</v>
      </c>
      <c r="R596" t="s">
        <v>74</v>
      </c>
      <c r="S596" t="s">
        <v>74</v>
      </c>
      <c r="T596" t="s">
        <v>11796</v>
      </c>
      <c r="U596" t="s">
        <v>74</v>
      </c>
      <c r="V596" t="s">
        <v>11797</v>
      </c>
      <c r="W596" t="s">
        <v>11798</v>
      </c>
      <c r="X596" t="s">
        <v>11799</v>
      </c>
      <c r="Y596" t="s">
        <v>11800</v>
      </c>
      <c r="Z596" t="s">
        <v>11801</v>
      </c>
      <c r="AA596" t="s">
        <v>74</v>
      </c>
      <c r="AB596" t="s">
        <v>74</v>
      </c>
      <c r="AC596" t="s">
        <v>11802</v>
      </c>
      <c r="AD596" t="s">
        <v>11803</v>
      </c>
      <c r="AE596" t="s">
        <v>11804</v>
      </c>
      <c r="AF596" t="s">
        <v>74</v>
      </c>
      <c r="AG596">
        <v>17</v>
      </c>
      <c r="AH596">
        <v>1</v>
      </c>
      <c r="AI596">
        <v>1</v>
      </c>
      <c r="AJ596">
        <v>0</v>
      </c>
      <c r="AK596">
        <v>10</v>
      </c>
      <c r="AL596" t="s">
        <v>11805</v>
      </c>
      <c r="AM596" t="s">
        <v>11806</v>
      </c>
      <c r="AN596" t="s">
        <v>11807</v>
      </c>
      <c r="AO596" t="s">
        <v>11808</v>
      </c>
      <c r="AP596" t="s">
        <v>74</v>
      </c>
      <c r="AQ596" t="s">
        <v>74</v>
      </c>
      <c r="AR596" t="s">
        <v>11809</v>
      </c>
      <c r="AS596" t="s">
        <v>11810</v>
      </c>
      <c r="AT596" t="s">
        <v>11811</v>
      </c>
      <c r="AU596">
        <v>2018</v>
      </c>
      <c r="AV596">
        <v>3</v>
      </c>
      <c r="AW596">
        <v>7</v>
      </c>
      <c r="AX596" t="s">
        <v>74</v>
      </c>
      <c r="AY596" t="s">
        <v>74</v>
      </c>
      <c r="AZ596" t="s">
        <v>74</v>
      </c>
      <c r="BA596" t="s">
        <v>74</v>
      </c>
      <c r="BB596">
        <v>177</v>
      </c>
      <c r="BC596">
        <v>182</v>
      </c>
      <c r="BD596" t="s">
        <v>74</v>
      </c>
      <c r="BE596" t="s">
        <v>11812</v>
      </c>
      <c r="BF596" t="str">
        <f>HYPERLINK("http://dx.doi.org/10.21834/e-bpj.v3i7.1313","http://dx.doi.org/10.21834/e-bpj.v3i7.1313")</f>
        <v>http://dx.doi.org/10.21834/e-bpj.v3i7.1313</v>
      </c>
      <c r="BG596" t="s">
        <v>74</v>
      </c>
      <c r="BH596" t="s">
        <v>74</v>
      </c>
      <c r="BI596">
        <v>6</v>
      </c>
      <c r="BJ596" t="s">
        <v>11813</v>
      </c>
      <c r="BK596" t="s">
        <v>11814</v>
      </c>
      <c r="BL596" t="s">
        <v>315</v>
      </c>
      <c r="BM596" t="s">
        <v>11815</v>
      </c>
      <c r="BN596" t="s">
        <v>74</v>
      </c>
      <c r="BO596" t="s">
        <v>162</v>
      </c>
      <c r="BP596" t="s">
        <v>74</v>
      </c>
      <c r="BQ596" t="s">
        <v>74</v>
      </c>
      <c r="BR596" t="s">
        <v>105</v>
      </c>
      <c r="BS596" t="s">
        <v>11816</v>
      </c>
      <c r="BT596" t="str">
        <f>HYPERLINK("https%3A%2F%2Fwww.webofscience.com%2Fwos%2Fwoscc%2Ffull-record%2FWOS:000454299900022","View Full Record in Web of Science")</f>
        <v>View Full Record in Web of Science</v>
      </c>
    </row>
    <row r="597" spans="1:72" x14ac:dyDescent="0.15">
      <c r="A597" t="s">
        <v>11787</v>
      </c>
      <c r="B597" t="s">
        <v>11788</v>
      </c>
      <c r="C597" t="s">
        <v>74</v>
      </c>
      <c r="D597" t="s">
        <v>74</v>
      </c>
      <c r="E597" t="s">
        <v>74</v>
      </c>
      <c r="F597" t="s">
        <v>11789</v>
      </c>
      <c r="G597" t="s">
        <v>74</v>
      </c>
      <c r="H597" t="s">
        <v>74</v>
      </c>
      <c r="I597" t="s">
        <v>11817</v>
      </c>
      <c r="J597" t="s">
        <v>11791</v>
      </c>
      <c r="K597" t="s">
        <v>74</v>
      </c>
      <c r="L597" t="s">
        <v>74</v>
      </c>
      <c r="M597" t="s">
        <v>78</v>
      </c>
      <c r="N597" t="s">
        <v>11792</v>
      </c>
      <c r="O597" t="s">
        <v>11793</v>
      </c>
      <c r="P597" t="s">
        <v>11794</v>
      </c>
      <c r="Q597" t="s">
        <v>11795</v>
      </c>
      <c r="R597" t="s">
        <v>74</v>
      </c>
      <c r="S597" t="s">
        <v>74</v>
      </c>
      <c r="T597" t="s">
        <v>11818</v>
      </c>
      <c r="U597" t="s">
        <v>11819</v>
      </c>
      <c r="V597" t="s">
        <v>11820</v>
      </c>
      <c r="W597" t="s">
        <v>11798</v>
      </c>
      <c r="X597" t="s">
        <v>11799</v>
      </c>
      <c r="Y597" t="s">
        <v>11800</v>
      </c>
      <c r="Z597" t="s">
        <v>11801</v>
      </c>
      <c r="AA597" t="s">
        <v>74</v>
      </c>
      <c r="AB597" t="s">
        <v>11821</v>
      </c>
      <c r="AC597" t="s">
        <v>11822</v>
      </c>
      <c r="AD597" t="s">
        <v>11803</v>
      </c>
      <c r="AE597" t="s">
        <v>11823</v>
      </c>
      <c r="AF597" t="s">
        <v>74</v>
      </c>
      <c r="AG597">
        <v>16</v>
      </c>
      <c r="AH597">
        <v>1</v>
      </c>
      <c r="AI597">
        <v>1</v>
      </c>
      <c r="AJ597">
        <v>0</v>
      </c>
      <c r="AK597">
        <v>6</v>
      </c>
      <c r="AL597" t="s">
        <v>11805</v>
      </c>
      <c r="AM597" t="s">
        <v>11806</v>
      </c>
      <c r="AN597" t="s">
        <v>11807</v>
      </c>
      <c r="AO597" t="s">
        <v>11808</v>
      </c>
      <c r="AP597" t="s">
        <v>74</v>
      </c>
      <c r="AQ597" t="s">
        <v>74</v>
      </c>
      <c r="AR597" t="s">
        <v>11809</v>
      </c>
      <c r="AS597" t="s">
        <v>11810</v>
      </c>
      <c r="AT597" t="s">
        <v>11811</v>
      </c>
      <c r="AU597">
        <v>2018</v>
      </c>
      <c r="AV597">
        <v>3</v>
      </c>
      <c r="AW597">
        <v>7</v>
      </c>
      <c r="AX597" t="s">
        <v>74</v>
      </c>
      <c r="AY597" t="s">
        <v>74</v>
      </c>
      <c r="AZ597" t="s">
        <v>74</v>
      </c>
      <c r="BA597" t="s">
        <v>74</v>
      </c>
      <c r="BB597">
        <v>191</v>
      </c>
      <c r="BC597">
        <v>196</v>
      </c>
      <c r="BD597" t="s">
        <v>74</v>
      </c>
      <c r="BE597" t="s">
        <v>11824</v>
      </c>
      <c r="BF597" t="str">
        <f>HYPERLINK("http://dx.doi.org/10.21834/e-bpj.v3i7.1311","http://dx.doi.org/10.21834/e-bpj.v3i7.1311")</f>
        <v>http://dx.doi.org/10.21834/e-bpj.v3i7.1311</v>
      </c>
      <c r="BG597" t="s">
        <v>74</v>
      </c>
      <c r="BH597" t="s">
        <v>74</v>
      </c>
      <c r="BI597">
        <v>6</v>
      </c>
      <c r="BJ597" t="s">
        <v>11813</v>
      </c>
      <c r="BK597" t="s">
        <v>11814</v>
      </c>
      <c r="BL597" t="s">
        <v>315</v>
      </c>
      <c r="BM597" t="s">
        <v>11815</v>
      </c>
      <c r="BN597" t="s">
        <v>74</v>
      </c>
      <c r="BO597" t="s">
        <v>162</v>
      </c>
      <c r="BP597" t="s">
        <v>74</v>
      </c>
      <c r="BQ597" t="s">
        <v>74</v>
      </c>
      <c r="BR597" t="s">
        <v>105</v>
      </c>
      <c r="BS597" t="s">
        <v>11825</v>
      </c>
      <c r="BT597" t="str">
        <f>HYPERLINK("https%3A%2F%2Fwww.webofscience.com%2Fwos%2Fwoscc%2Ffull-record%2FWOS:000454299900024","View Full Record in Web of Science")</f>
        <v>View Full Record in Web of Science</v>
      </c>
    </row>
    <row r="598" spans="1:72" x14ac:dyDescent="0.15">
      <c r="A598" t="s">
        <v>72</v>
      </c>
      <c r="B598" t="s">
        <v>11826</v>
      </c>
      <c r="C598" t="s">
        <v>74</v>
      </c>
      <c r="D598" t="s">
        <v>74</v>
      </c>
      <c r="E598" t="s">
        <v>74</v>
      </c>
      <c r="F598" t="s">
        <v>11827</v>
      </c>
      <c r="G598" t="s">
        <v>74</v>
      </c>
      <c r="H598" t="s">
        <v>74</v>
      </c>
      <c r="I598" t="s">
        <v>11828</v>
      </c>
      <c r="J598" t="s">
        <v>1598</v>
      </c>
      <c r="K598" t="s">
        <v>74</v>
      </c>
      <c r="L598" t="s">
        <v>74</v>
      </c>
      <c r="M598" t="s">
        <v>78</v>
      </c>
      <c r="N598" t="s">
        <v>79</v>
      </c>
      <c r="O598" t="s">
        <v>74</v>
      </c>
      <c r="P598" t="s">
        <v>74</v>
      </c>
      <c r="Q598" t="s">
        <v>74</v>
      </c>
      <c r="R598" t="s">
        <v>74</v>
      </c>
      <c r="S598" t="s">
        <v>74</v>
      </c>
      <c r="T598" t="s">
        <v>11829</v>
      </c>
      <c r="U598" t="s">
        <v>11830</v>
      </c>
      <c r="V598" t="s">
        <v>11831</v>
      </c>
      <c r="W598" t="s">
        <v>11832</v>
      </c>
      <c r="X598" t="s">
        <v>11833</v>
      </c>
      <c r="Y598" t="s">
        <v>11834</v>
      </c>
      <c r="Z598" t="s">
        <v>11835</v>
      </c>
      <c r="AA598" t="s">
        <v>11836</v>
      </c>
      <c r="AB598" t="s">
        <v>11837</v>
      </c>
      <c r="AC598" t="s">
        <v>11838</v>
      </c>
      <c r="AD598" t="s">
        <v>11839</v>
      </c>
      <c r="AE598" t="s">
        <v>11840</v>
      </c>
      <c r="AF598" t="s">
        <v>74</v>
      </c>
      <c r="AG598">
        <v>61</v>
      </c>
      <c r="AH598">
        <v>19</v>
      </c>
      <c r="AI598">
        <v>27</v>
      </c>
      <c r="AJ598">
        <v>2</v>
      </c>
      <c r="AK598">
        <v>18</v>
      </c>
      <c r="AL598" t="s">
        <v>123</v>
      </c>
      <c r="AM598" t="s">
        <v>124</v>
      </c>
      <c r="AN598" t="s">
        <v>125</v>
      </c>
      <c r="AO598" t="s">
        <v>1609</v>
      </c>
      <c r="AP598" t="s">
        <v>1610</v>
      </c>
      <c r="AQ598" t="s">
        <v>74</v>
      </c>
      <c r="AR598" t="s">
        <v>1611</v>
      </c>
      <c r="AS598" t="s">
        <v>1612</v>
      </c>
      <c r="AT598" t="s">
        <v>11841</v>
      </c>
      <c r="AU598">
        <v>2018</v>
      </c>
      <c r="AV598">
        <v>50</v>
      </c>
      <c r="AW598">
        <v>1</v>
      </c>
      <c r="AX598" t="s">
        <v>74</v>
      </c>
      <c r="AY598" t="s">
        <v>74</v>
      </c>
      <c r="AZ598" t="s">
        <v>74</v>
      </c>
      <c r="BA598" t="s">
        <v>74</v>
      </c>
      <c r="BB598" t="s">
        <v>74</v>
      </c>
      <c r="BC598" t="s">
        <v>74</v>
      </c>
      <c r="BD598" t="s">
        <v>11842</v>
      </c>
      <c r="BE598" t="s">
        <v>11843</v>
      </c>
      <c r="BF598" t="str">
        <f>HYPERLINK("http://dx.doi.org/10.1080/15230430.2017.1414472","http://dx.doi.org/10.1080/15230430.2017.1414472")</f>
        <v>http://dx.doi.org/10.1080/15230430.2017.1414472</v>
      </c>
      <c r="BG598" t="s">
        <v>74</v>
      </c>
      <c r="BH598" t="s">
        <v>74</v>
      </c>
      <c r="BI598">
        <v>14</v>
      </c>
      <c r="BJ598" t="s">
        <v>1616</v>
      </c>
      <c r="BK598" t="s">
        <v>101</v>
      </c>
      <c r="BL598" t="s">
        <v>1617</v>
      </c>
      <c r="BM598" t="s">
        <v>11844</v>
      </c>
      <c r="BN598" t="s">
        <v>74</v>
      </c>
      <c r="BO598" t="s">
        <v>764</v>
      </c>
      <c r="BP598" t="s">
        <v>74</v>
      </c>
      <c r="BQ598" t="s">
        <v>74</v>
      </c>
      <c r="BR598" t="s">
        <v>105</v>
      </c>
      <c r="BS598" t="s">
        <v>11845</v>
      </c>
      <c r="BT598" t="str">
        <f>HYPERLINK("https%3A%2F%2Fwww.webofscience.com%2Fwos%2Fwoscc%2Ffull-record%2FWOS:000438746300001","View Full Record in Web of Science")</f>
        <v>View Full Record in Web of Science</v>
      </c>
    </row>
    <row r="599" spans="1:72" x14ac:dyDescent="0.15">
      <c r="A599" t="s">
        <v>72</v>
      </c>
      <c r="B599" t="s">
        <v>11846</v>
      </c>
      <c r="C599" t="s">
        <v>74</v>
      </c>
      <c r="D599" t="s">
        <v>74</v>
      </c>
      <c r="E599" t="s">
        <v>74</v>
      </c>
      <c r="F599" t="s">
        <v>11847</v>
      </c>
      <c r="G599" t="s">
        <v>74</v>
      </c>
      <c r="H599" t="s">
        <v>74</v>
      </c>
      <c r="I599" t="s">
        <v>11848</v>
      </c>
      <c r="J599" t="s">
        <v>267</v>
      </c>
      <c r="K599" t="s">
        <v>74</v>
      </c>
      <c r="L599" t="s">
        <v>74</v>
      </c>
      <c r="M599" t="s">
        <v>78</v>
      </c>
      <c r="N599" t="s">
        <v>79</v>
      </c>
      <c r="O599" t="s">
        <v>74</v>
      </c>
      <c r="P599" t="s">
        <v>74</v>
      </c>
      <c r="Q599" t="s">
        <v>74</v>
      </c>
      <c r="R599" t="s">
        <v>74</v>
      </c>
      <c r="S599" t="s">
        <v>74</v>
      </c>
      <c r="T599" t="s">
        <v>11849</v>
      </c>
      <c r="U599" t="s">
        <v>11850</v>
      </c>
      <c r="V599" t="s">
        <v>11851</v>
      </c>
      <c r="W599" t="s">
        <v>11852</v>
      </c>
      <c r="X599" t="s">
        <v>11853</v>
      </c>
      <c r="Y599" t="s">
        <v>11854</v>
      </c>
      <c r="Z599" t="s">
        <v>11855</v>
      </c>
      <c r="AA599" t="s">
        <v>11856</v>
      </c>
      <c r="AB599" t="s">
        <v>11857</v>
      </c>
      <c r="AC599" t="s">
        <v>11858</v>
      </c>
      <c r="AD599" t="s">
        <v>11859</v>
      </c>
      <c r="AE599" t="s">
        <v>11860</v>
      </c>
      <c r="AF599" t="s">
        <v>74</v>
      </c>
      <c r="AG599">
        <v>51</v>
      </c>
      <c r="AH599">
        <v>14</v>
      </c>
      <c r="AI599">
        <v>15</v>
      </c>
      <c r="AJ599">
        <v>1</v>
      </c>
      <c r="AK599">
        <v>16</v>
      </c>
      <c r="AL599" t="s">
        <v>277</v>
      </c>
      <c r="AM599" t="s">
        <v>278</v>
      </c>
      <c r="AN599" t="s">
        <v>279</v>
      </c>
      <c r="AO599" t="s">
        <v>280</v>
      </c>
      <c r="AP599" t="s">
        <v>281</v>
      </c>
      <c r="AQ599" t="s">
        <v>74</v>
      </c>
      <c r="AR599" t="s">
        <v>282</v>
      </c>
      <c r="AS599" t="s">
        <v>283</v>
      </c>
      <c r="AT599" t="s">
        <v>11811</v>
      </c>
      <c r="AU599">
        <v>2018</v>
      </c>
      <c r="AV599">
        <v>177</v>
      </c>
      <c r="AW599" t="s">
        <v>74</v>
      </c>
      <c r="AX599" t="s">
        <v>74</v>
      </c>
      <c r="AY599" t="s">
        <v>74</v>
      </c>
      <c r="AZ599" t="s">
        <v>74</v>
      </c>
      <c r="BA599" t="s">
        <v>74</v>
      </c>
      <c r="BB599">
        <v>54</v>
      </c>
      <c r="BC599">
        <v>63</v>
      </c>
      <c r="BD599" t="s">
        <v>74</v>
      </c>
      <c r="BE599" t="s">
        <v>11861</v>
      </c>
      <c r="BF599" t="str">
        <f>HYPERLINK("http://dx.doi.org/10.1016/j.atmosenv.2018.01.007","http://dx.doi.org/10.1016/j.atmosenv.2018.01.007")</f>
        <v>http://dx.doi.org/10.1016/j.atmosenv.2018.01.007</v>
      </c>
      <c r="BG599" t="s">
        <v>74</v>
      </c>
      <c r="BH599" t="s">
        <v>74</v>
      </c>
      <c r="BI599">
        <v>10</v>
      </c>
      <c r="BJ599" t="s">
        <v>285</v>
      </c>
      <c r="BK599" t="s">
        <v>101</v>
      </c>
      <c r="BL599" t="s">
        <v>286</v>
      </c>
      <c r="BM599" t="s">
        <v>11862</v>
      </c>
      <c r="BN599" t="s">
        <v>74</v>
      </c>
      <c r="BO599" t="s">
        <v>2416</v>
      </c>
      <c r="BP599" t="s">
        <v>74</v>
      </c>
      <c r="BQ599" t="s">
        <v>74</v>
      </c>
      <c r="BR599" t="s">
        <v>105</v>
      </c>
      <c r="BS599" t="s">
        <v>11863</v>
      </c>
      <c r="BT599" t="str">
        <f>HYPERLINK("https%3A%2F%2Fwww.webofscience.com%2Fwos%2Fwoscc%2Ffull-record%2FWOS:000428095500006","View Full Record in Web of Science")</f>
        <v>View Full Record in Web of Science</v>
      </c>
    </row>
    <row r="600" spans="1:72" x14ac:dyDescent="0.15">
      <c r="A600" t="s">
        <v>72</v>
      </c>
      <c r="B600" t="s">
        <v>11864</v>
      </c>
      <c r="C600" t="s">
        <v>74</v>
      </c>
      <c r="D600" t="s">
        <v>74</v>
      </c>
      <c r="E600" t="s">
        <v>74</v>
      </c>
      <c r="F600" t="s">
        <v>11865</v>
      </c>
      <c r="G600" t="s">
        <v>74</v>
      </c>
      <c r="H600" t="s">
        <v>74</v>
      </c>
      <c r="I600" t="s">
        <v>11866</v>
      </c>
      <c r="J600" t="s">
        <v>267</v>
      </c>
      <c r="K600" t="s">
        <v>74</v>
      </c>
      <c r="L600" t="s">
        <v>74</v>
      </c>
      <c r="M600" t="s">
        <v>78</v>
      </c>
      <c r="N600" t="s">
        <v>79</v>
      </c>
      <c r="O600" t="s">
        <v>74</v>
      </c>
      <c r="P600" t="s">
        <v>74</v>
      </c>
      <c r="Q600" t="s">
        <v>74</v>
      </c>
      <c r="R600" t="s">
        <v>74</v>
      </c>
      <c r="S600" t="s">
        <v>74</v>
      </c>
      <c r="T600" t="s">
        <v>11867</v>
      </c>
      <c r="U600" t="s">
        <v>11868</v>
      </c>
      <c r="V600" t="s">
        <v>11869</v>
      </c>
      <c r="W600" t="s">
        <v>11870</v>
      </c>
      <c r="X600" t="s">
        <v>11871</v>
      </c>
      <c r="Y600" t="s">
        <v>11872</v>
      </c>
      <c r="Z600" t="s">
        <v>11873</v>
      </c>
      <c r="AA600" t="s">
        <v>11874</v>
      </c>
      <c r="AB600" t="s">
        <v>11875</v>
      </c>
      <c r="AC600" t="s">
        <v>11876</v>
      </c>
      <c r="AD600" t="s">
        <v>11877</v>
      </c>
      <c r="AE600" t="s">
        <v>11878</v>
      </c>
      <c r="AF600" t="s">
        <v>74</v>
      </c>
      <c r="AG600">
        <v>66</v>
      </c>
      <c r="AH600">
        <v>3</v>
      </c>
      <c r="AI600">
        <v>3</v>
      </c>
      <c r="AJ600">
        <v>0</v>
      </c>
      <c r="AK600">
        <v>26</v>
      </c>
      <c r="AL600" t="s">
        <v>277</v>
      </c>
      <c r="AM600" t="s">
        <v>278</v>
      </c>
      <c r="AN600" t="s">
        <v>279</v>
      </c>
      <c r="AO600" t="s">
        <v>280</v>
      </c>
      <c r="AP600" t="s">
        <v>281</v>
      </c>
      <c r="AQ600" t="s">
        <v>74</v>
      </c>
      <c r="AR600" t="s">
        <v>282</v>
      </c>
      <c r="AS600" t="s">
        <v>283</v>
      </c>
      <c r="AT600" t="s">
        <v>11811</v>
      </c>
      <c r="AU600">
        <v>2018</v>
      </c>
      <c r="AV600">
        <v>177</v>
      </c>
      <c r="AW600" t="s">
        <v>74</v>
      </c>
      <c r="AX600" t="s">
        <v>74</v>
      </c>
      <c r="AY600" t="s">
        <v>74</v>
      </c>
      <c r="AZ600" t="s">
        <v>74</v>
      </c>
      <c r="BA600" t="s">
        <v>74</v>
      </c>
      <c r="BB600">
        <v>262</v>
      </c>
      <c r="BC600">
        <v>274</v>
      </c>
      <c r="BD600" t="s">
        <v>74</v>
      </c>
      <c r="BE600" t="s">
        <v>11879</v>
      </c>
      <c r="BF600" t="str">
        <f>HYPERLINK("http://dx.doi.org/10.1016/j.atmosenv.2018.01.027","http://dx.doi.org/10.1016/j.atmosenv.2018.01.027")</f>
        <v>http://dx.doi.org/10.1016/j.atmosenv.2018.01.027</v>
      </c>
      <c r="BG600" t="s">
        <v>74</v>
      </c>
      <c r="BH600" t="s">
        <v>74</v>
      </c>
      <c r="BI600">
        <v>13</v>
      </c>
      <c r="BJ600" t="s">
        <v>285</v>
      </c>
      <c r="BK600" t="s">
        <v>101</v>
      </c>
      <c r="BL600" t="s">
        <v>286</v>
      </c>
      <c r="BM600" t="s">
        <v>11862</v>
      </c>
      <c r="BN600" t="s">
        <v>74</v>
      </c>
      <c r="BO600" t="s">
        <v>1421</v>
      </c>
      <c r="BP600" t="s">
        <v>74</v>
      </c>
      <c r="BQ600" t="s">
        <v>74</v>
      </c>
      <c r="BR600" t="s">
        <v>105</v>
      </c>
      <c r="BS600" t="s">
        <v>11880</v>
      </c>
      <c r="BT600" t="str">
        <f>HYPERLINK("https%3A%2F%2Fwww.webofscience.com%2Fwos%2Fwoscc%2Ffull-record%2FWOS:000428095500025","View Full Record in Web of Science")</f>
        <v>View Full Record in Web of Science</v>
      </c>
    </row>
    <row r="601" spans="1:72" x14ac:dyDescent="0.15">
      <c r="A601" t="s">
        <v>72</v>
      </c>
      <c r="B601" t="s">
        <v>11881</v>
      </c>
      <c r="C601" t="s">
        <v>74</v>
      </c>
      <c r="D601" t="s">
        <v>74</v>
      </c>
      <c r="E601" t="s">
        <v>74</v>
      </c>
      <c r="F601" t="s">
        <v>11882</v>
      </c>
      <c r="G601" t="s">
        <v>74</v>
      </c>
      <c r="H601" t="s">
        <v>74</v>
      </c>
      <c r="I601" t="s">
        <v>11883</v>
      </c>
      <c r="J601" t="s">
        <v>11884</v>
      </c>
      <c r="K601" t="s">
        <v>74</v>
      </c>
      <c r="L601" t="s">
        <v>74</v>
      </c>
      <c r="M601" t="s">
        <v>78</v>
      </c>
      <c r="N601" t="s">
        <v>79</v>
      </c>
      <c r="O601" t="s">
        <v>74</v>
      </c>
      <c r="P601" t="s">
        <v>74</v>
      </c>
      <c r="Q601" t="s">
        <v>74</v>
      </c>
      <c r="R601" t="s">
        <v>74</v>
      </c>
      <c r="S601" t="s">
        <v>74</v>
      </c>
      <c r="T601" t="s">
        <v>11885</v>
      </c>
      <c r="U601" t="s">
        <v>11886</v>
      </c>
      <c r="V601" t="s">
        <v>11887</v>
      </c>
      <c r="W601" t="s">
        <v>11888</v>
      </c>
      <c r="X601" t="s">
        <v>11889</v>
      </c>
      <c r="Y601" t="s">
        <v>11890</v>
      </c>
      <c r="Z601" t="s">
        <v>11891</v>
      </c>
      <c r="AA601" t="s">
        <v>11892</v>
      </c>
      <c r="AB601" t="s">
        <v>11893</v>
      </c>
      <c r="AC601" t="s">
        <v>11894</v>
      </c>
      <c r="AD601" t="s">
        <v>11895</v>
      </c>
      <c r="AE601" t="s">
        <v>11896</v>
      </c>
      <c r="AF601" t="s">
        <v>74</v>
      </c>
      <c r="AG601">
        <v>94</v>
      </c>
      <c r="AH601">
        <v>25</v>
      </c>
      <c r="AI601">
        <v>26</v>
      </c>
      <c r="AJ601">
        <v>3</v>
      </c>
      <c r="AK601">
        <v>31</v>
      </c>
      <c r="AL601" t="s">
        <v>11897</v>
      </c>
      <c r="AM601" t="s">
        <v>11898</v>
      </c>
      <c r="AN601" t="s">
        <v>11899</v>
      </c>
      <c r="AO601" t="s">
        <v>11900</v>
      </c>
      <c r="AP601" t="s">
        <v>11901</v>
      </c>
      <c r="AQ601" t="s">
        <v>74</v>
      </c>
      <c r="AR601" t="s">
        <v>11884</v>
      </c>
      <c r="AS601" t="s">
        <v>11902</v>
      </c>
      <c r="AT601" t="s">
        <v>11811</v>
      </c>
      <c r="AU601">
        <v>2018</v>
      </c>
      <c r="AV601">
        <v>146</v>
      </c>
      <c r="AW601" t="s">
        <v>74</v>
      </c>
      <c r="AX601" t="s">
        <v>74</v>
      </c>
      <c r="AY601" t="s">
        <v>74</v>
      </c>
      <c r="AZ601" t="s">
        <v>74</v>
      </c>
      <c r="BA601" t="s">
        <v>74</v>
      </c>
      <c r="BB601">
        <v>43</v>
      </c>
      <c r="BC601">
        <v>55</v>
      </c>
      <c r="BD601" t="s">
        <v>74</v>
      </c>
      <c r="BE601" t="s">
        <v>11903</v>
      </c>
      <c r="BF601" t="str">
        <f>HYPERLINK("http://dx.doi.org/10.1016/j.biochi.2017.11.010","http://dx.doi.org/10.1016/j.biochi.2017.11.010")</f>
        <v>http://dx.doi.org/10.1016/j.biochi.2017.11.010</v>
      </c>
      <c r="BG601" t="s">
        <v>74</v>
      </c>
      <c r="BH601" t="s">
        <v>74</v>
      </c>
      <c r="BI601">
        <v>13</v>
      </c>
      <c r="BJ601" t="s">
        <v>3394</v>
      </c>
      <c r="BK601" t="s">
        <v>101</v>
      </c>
      <c r="BL601" t="s">
        <v>3394</v>
      </c>
      <c r="BM601" t="s">
        <v>11904</v>
      </c>
      <c r="BN601">
        <v>29155109</v>
      </c>
      <c r="BO601" t="s">
        <v>341</v>
      </c>
      <c r="BP601" t="s">
        <v>74</v>
      </c>
      <c r="BQ601" t="s">
        <v>74</v>
      </c>
      <c r="BR601" t="s">
        <v>105</v>
      </c>
      <c r="BS601" t="s">
        <v>11905</v>
      </c>
      <c r="BT601" t="str">
        <f>HYPERLINK("https%3A%2F%2Fwww.webofscience.com%2Fwos%2Fwoscc%2Ffull-record%2FWOS:000425283600006","View Full Record in Web of Science")</f>
        <v>View Full Record in Web of Science</v>
      </c>
    </row>
    <row r="602" spans="1:72" x14ac:dyDescent="0.15">
      <c r="A602" t="s">
        <v>72</v>
      </c>
      <c r="B602" t="s">
        <v>11906</v>
      </c>
      <c r="C602" t="s">
        <v>74</v>
      </c>
      <c r="D602" t="s">
        <v>74</v>
      </c>
      <c r="E602" t="s">
        <v>74</v>
      </c>
      <c r="F602" t="s">
        <v>11907</v>
      </c>
      <c r="G602" t="s">
        <v>74</v>
      </c>
      <c r="H602" t="s">
        <v>74</v>
      </c>
      <c r="I602" t="s">
        <v>11908</v>
      </c>
      <c r="J602" t="s">
        <v>11909</v>
      </c>
      <c r="K602" t="s">
        <v>74</v>
      </c>
      <c r="L602" t="s">
        <v>74</v>
      </c>
      <c r="M602" t="s">
        <v>78</v>
      </c>
      <c r="N602" t="s">
        <v>79</v>
      </c>
      <c r="O602" t="s">
        <v>74</v>
      </c>
      <c r="P602" t="s">
        <v>74</v>
      </c>
      <c r="Q602" t="s">
        <v>74</v>
      </c>
      <c r="R602" t="s">
        <v>74</v>
      </c>
      <c r="S602" t="s">
        <v>74</v>
      </c>
      <c r="T602" t="s">
        <v>11910</v>
      </c>
      <c r="U602" t="s">
        <v>11911</v>
      </c>
      <c r="V602" t="s">
        <v>11912</v>
      </c>
      <c r="W602" t="s">
        <v>11913</v>
      </c>
      <c r="X602" t="s">
        <v>11914</v>
      </c>
      <c r="Y602" t="s">
        <v>11915</v>
      </c>
      <c r="Z602" t="s">
        <v>11916</v>
      </c>
      <c r="AA602" t="s">
        <v>11917</v>
      </c>
      <c r="AB602" t="s">
        <v>11918</v>
      </c>
      <c r="AC602" t="s">
        <v>74</v>
      </c>
      <c r="AD602" t="s">
        <v>74</v>
      </c>
      <c r="AE602" t="s">
        <v>74</v>
      </c>
      <c r="AF602" t="s">
        <v>74</v>
      </c>
      <c r="AG602">
        <v>157</v>
      </c>
      <c r="AH602">
        <v>13</v>
      </c>
      <c r="AI602">
        <v>16</v>
      </c>
      <c r="AJ602">
        <v>3</v>
      </c>
      <c r="AK602">
        <v>51</v>
      </c>
      <c r="AL602" t="s">
        <v>91</v>
      </c>
      <c r="AM602" t="s">
        <v>1468</v>
      </c>
      <c r="AN602" t="s">
        <v>1469</v>
      </c>
      <c r="AO602" t="s">
        <v>11919</v>
      </c>
      <c r="AP602" t="s">
        <v>11920</v>
      </c>
      <c r="AQ602" t="s">
        <v>74</v>
      </c>
      <c r="AR602" t="s">
        <v>11909</v>
      </c>
      <c r="AS602" t="s">
        <v>11921</v>
      </c>
      <c r="AT602" t="s">
        <v>11811</v>
      </c>
      <c r="AU602">
        <v>2018</v>
      </c>
      <c r="AV602">
        <v>138</v>
      </c>
      <c r="AW602">
        <v>1</v>
      </c>
      <c r="AX602" t="s">
        <v>74</v>
      </c>
      <c r="AY602" t="s">
        <v>74</v>
      </c>
      <c r="AZ602" t="s">
        <v>74</v>
      </c>
      <c r="BA602" t="s">
        <v>74</v>
      </c>
      <c r="BB602">
        <v>1</v>
      </c>
      <c r="BC602">
        <v>21</v>
      </c>
      <c r="BD602" t="s">
        <v>74</v>
      </c>
      <c r="BE602" t="s">
        <v>11922</v>
      </c>
      <c r="BF602" t="str">
        <f>HYPERLINK("http://dx.doi.org/10.1007/s10533-018-0433-2","http://dx.doi.org/10.1007/s10533-018-0433-2")</f>
        <v>http://dx.doi.org/10.1007/s10533-018-0433-2</v>
      </c>
      <c r="BG602" t="s">
        <v>74</v>
      </c>
      <c r="BH602" t="s">
        <v>74</v>
      </c>
      <c r="BI602">
        <v>21</v>
      </c>
      <c r="BJ602" t="s">
        <v>11923</v>
      </c>
      <c r="BK602" t="s">
        <v>101</v>
      </c>
      <c r="BL602" t="s">
        <v>804</v>
      </c>
      <c r="BM602" t="s">
        <v>11924</v>
      </c>
      <c r="BN602" t="s">
        <v>74</v>
      </c>
      <c r="BO602" t="s">
        <v>74</v>
      </c>
      <c r="BP602" t="s">
        <v>74</v>
      </c>
      <c r="BQ602" t="s">
        <v>74</v>
      </c>
      <c r="BR602" t="s">
        <v>105</v>
      </c>
      <c r="BS602" t="s">
        <v>11925</v>
      </c>
      <c r="BT602" t="str">
        <f>HYPERLINK("https%3A%2F%2Fwww.webofscience.com%2Fwos%2Fwoscc%2Ffull-record%2FWOS:000427059700001","View Full Record in Web of Science")</f>
        <v>View Full Record in Web of Science</v>
      </c>
    </row>
    <row r="603" spans="1:72" x14ac:dyDescent="0.15">
      <c r="A603" t="s">
        <v>72</v>
      </c>
      <c r="B603" t="s">
        <v>11926</v>
      </c>
      <c r="C603" t="s">
        <v>74</v>
      </c>
      <c r="D603" t="s">
        <v>74</v>
      </c>
      <c r="E603" t="s">
        <v>74</v>
      </c>
      <c r="F603" t="s">
        <v>11927</v>
      </c>
      <c r="G603" t="s">
        <v>74</v>
      </c>
      <c r="H603" t="s">
        <v>74</v>
      </c>
      <c r="I603" t="s">
        <v>11928</v>
      </c>
      <c r="J603" t="s">
        <v>11929</v>
      </c>
      <c r="K603" t="s">
        <v>74</v>
      </c>
      <c r="L603" t="s">
        <v>74</v>
      </c>
      <c r="M603" t="s">
        <v>78</v>
      </c>
      <c r="N603" t="s">
        <v>79</v>
      </c>
      <c r="O603" t="s">
        <v>74</v>
      </c>
      <c r="P603" t="s">
        <v>74</v>
      </c>
      <c r="Q603" t="s">
        <v>74</v>
      </c>
      <c r="R603" t="s">
        <v>74</v>
      </c>
      <c r="S603" t="s">
        <v>74</v>
      </c>
      <c r="T603" t="s">
        <v>11930</v>
      </c>
      <c r="U603" t="s">
        <v>11931</v>
      </c>
      <c r="V603" t="s">
        <v>11932</v>
      </c>
      <c r="W603" t="s">
        <v>11933</v>
      </c>
      <c r="X603" t="s">
        <v>2719</v>
      </c>
      <c r="Y603" t="s">
        <v>11934</v>
      </c>
      <c r="Z603" t="s">
        <v>11935</v>
      </c>
      <c r="AA603" t="s">
        <v>74</v>
      </c>
      <c r="AB603" t="s">
        <v>11936</v>
      </c>
      <c r="AC603" t="s">
        <v>11937</v>
      </c>
      <c r="AD603" t="s">
        <v>11938</v>
      </c>
      <c r="AE603" t="s">
        <v>11939</v>
      </c>
      <c r="AF603" t="s">
        <v>74</v>
      </c>
      <c r="AG603">
        <v>85</v>
      </c>
      <c r="AH603">
        <v>7</v>
      </c>
      <c r="AI603">
        <v>7</v>
      </c>
      <c r="AJ603">
        <v>1</v>
      </c>
      <c r="AK603">
        <v>19</v>
      </c>
      <c r="AL603" t="s">
        <v>627</v>
      </c>
      <c r="AM603" t="s">
        <v>628</v>
      </c>
      <c r="AN603" t="s">
        <v>629</v>
      </c>
      <c r="AO603" t="s">
        <v>74</v>
      </c>
      <c r="AP603" t="s">
        <v>11940</v>
      </c>
      <c r="AQ603" t="s">
        <v>74</v>
      </c>
      <c r="AR603" t="s">
        <v>11929</v>
      </c>
      <c r="AS603" t="s">
        <v>11941</v>
      </c>
      <c r="AT603" t="s">
        <v>11811</v>
      </c>
      <c r="AU603">
        <v>2018</v>
      </c>
      <c r="AV603">
        <v>6</v>
      </c>
      <c r="AW603">
        <v>1</v>
      </c>
      <c r="AX603" t="s">
        <v>74</v>
      </c>
      <c r="AY603" t="s">
        <v>74</v>
      </c>
      <c r="AZ603" t="s">
        <v>74</v>
      </c>
      <c r="BA603" t="s">
        <v>74</v>
      </c>
      <c r="BB603" t="s">
        <v>74</v>
      </c>
      <c r="BC603" t="s">
        <v>74</v>
      </c>
      <c r="BD603">
        <v>3</v>
      </c>
      <c r="BE603" t="s">
        <v>11942</v>
      </c>
      <c r="BF603" t="str">
        <f>HYPERLINK("http://dx.doi.org/10.3390/cli6010003","http://dx.doi.org/10.3390/cli6010003")</f>
        <v>http://dx.doi.org/10.3390/cli6010003</v>
      </c>
      <c r="BG603" t="s">
        <v>74</v>
      </c>
      <c r="BH603" t="s">
        <v>74</v>
      </c>
      <c r="BI603">
        <v>30</v>
      </c>
      <c r="BJ603" t="s">
        <v>131</v>
      </c>
      <c r="BK603" t="s">
        <v>261</v>
      </c>
      <c r="BL603" t="s">
        <v>131</v>
      </c>
      <c r="BM603" t="s">
        <v>11943</v>
      </c>
      <c r="BN603" t="s">
        <v>74</v>
      </c>
      <c r="BO603" t="s">
        <v>830</v>
      </c>
      <c r="BP603" t="s">
        <v>74</v>
      </c>
      <c r="BQ603" t="s">
        <v>74</v>
      </c>
      <c r="BR603" t="s">
        <v>105</v>
      </c>
      <c r="BS603" t="s">
        <v>11944</v>
      </c>
      <c r="BT603" t="str">
        <f>HYPERLINK("https%3A%2F%2Fwww.webofscience.com%2Fwos%2Fwoscc%2Ffull-record%2FWOS:000428506200003","View Full Record in Web of Science")</f>
        <v>View Full Record in Web of Science</v>
      </c>
    </row>
    <row r="604" spans="1:72" x14ac:dyDescent="0.15">
      <c r="A604" t="s">
        <v>72</v>
      </c>
      <c r="B604" t="s">
        <v>11945</v>
      </c>
      <c r="C604" t="s">
        <v>74</v>
      </c>
      <c r="D604" t="s">
        <v>74</v>
      </c>
      <c r="E604" t="s">
        <v>74</v>
      </c>
      <c r="F604" t="s">
        <v>11946</v>
      </c>
      <c r="G604" t="s">
        <v>74</v>
      </c>
      <c r="H604" t="s">
        <v>74</v>
      </c>
      <c r="I604" t="s">
        <v>11947</v>
      </c>
      <c r="J604" t="s">
        <v>11929</v>
      </c>
      <c r="K604" t="s">
        <v>74</v>
      </c>
      <c r="L604" t="s">
        <v>74</v>
      </c>
      <c r="M604" t="s">
        <v>78</v>
      </c>
      <c r="N604" t="s">
        <v>79</v>
      </c>
      <c r="O604" t="s">
        <v>74</v>
      </c>
      <c r="P604" t="s">
        <v>74</v>
      </c>
      <c r="Q604" t="s">
        <v>74</v>
      </c>
      <c r="R604" t="s">
        <v>74</v>
      </c>
      <c r="S604" t="s">
        <v>74</v>
      </c>
      <c r="T604" t="s">
        <v>11948</v>
      </c>
      <c r="U604" t="s">
        <v>11949</v>
      </c>
      <c r="V604" t="s">
        <v>11950</v>
      </c>
      <c r="W604" t="s">
        <v>11951</v>
      </c>
      <c r="X604" t="s">
        <v>11952</v>
      </c>
      <c r="Y604" t="s">
        <v>11953</v>
      </c>
      <c r="Z604" t="s">
        <v>11954</v>
      </c>
      <c r="AA604" t="s">
        <v>11955</v>
      </c>
      <c r="AB604" t="s">
        <v>11956</v>
      </c>
      <c r="AC604" t="s">
        <v>11957</v>
      </c>
      <c r="AD604" t="s">
        <v>11957</v>
      </c>
      <c r="AE604" t="s">
        <v>11958</v>
      </c>
      <c r="AF604" t="s">
        <v>74</v>
      </c>
      <c r="AG604">
        <v>60</v>
      </c>
      <c r="AH604">
        <v>8</v>
      </c>
      <c r="AI604">
        <v>8</v>
      </c>
      <c r="AJ604">
        <v>0</v>
      </c>
      <c r="AK604">
        <v>8</v>
      </c>
      <c r="AL604" t="s">
        <v>627</v>
      </c>
      <c r="AM604" t="s">
        <v>628</v>
      </c>
      <c r="AN604" t="s">
        <v>629</v>
      </c>
      <c r="AO604" t="s">
        <v>11940</v>
      </c>
      <c r="AP604" t="s">
        <v>74</v>
      </c>
      <c r="AQ604" t="s">
        <v>74</v>
      </c>
      <c r="AR604" t="s">
        <v>11929</v>
      </c>
      <c r="AS604" t="s">
        <v>11941</v>
      </c>
      <c r="AT604" t="s">
        <v>11811</v>
      </c>
      <c r="AU604">
        <v>2018</v>
      </c>
      <c r="AV604">
        <v>6</v>
      </c>
      <c r="AW604">
        <v>1</v>
      </c>
      <c r="AX604" t="s">
        <v>74</v>
      </c>
      <c r="AY604" t="s">
        <v>74</v>
      </c>
      <c r="AZ604" t="s">
        <v>74</v>
      </c>
      <c r="BA604" t="s">
        <v>74</v>
      </c>
      <c r="BB604" t="s">
        <v>74</v>
      </c>
      <c r="BC604" t="s">
        <v>74</v>
      </c>
      <c r="BD604">
        <v>17</v>
      </c>
      <c r="BE604" t="s">
        <v>11959</v>
      </c>
      <c r="BF604" t="str">
        <f>HYPERLINK("http://dx.doi.org/10.3390/cli6010017","http://dx.doi.org/10.3390/cli6010017")</f>
        <v>http://dx.doi.org/10.3390/cli6010017</v>
      </c>
      <c r="BG604" t="s">
        <v>74</v>
      </c>
      <c r="BH604" t="s">
        <v>74</v>
      </c>
      <c r="BI604">
        <v>12</v>
      </c>
      <c r="BJ604" t="s">
        <v>131</v>
      </c>
      <c r="BK604" t="s">
        <v>261</v>
      </c>
      <c r="BL604" t="s">
        <v>131</v>
      </c>
      <c r="BM604" t="s">
        <v>11943</v>
      </c>
      <c r="BN604" t="s">
        <v>74</v>
      </c>
      <c r="BO604" t="s">
        <v>830</v>
      </c>
      <c r="BP604" t="s">
        <v>74</v>
      </c>
      <c r="BQ604" t="s">
        <v>74</v>
      </c>
      <c r="BR604" t="s">
        <v>105</v>
      </c>
      <c r="BS604" t="s">
        <v>11960</v>
      </c>
      <c r="BT604" t="str">
        <f>HYPERLINK("https%3A%2F%2Fwww.webofscience.com%2Fwos%2Fwoscc%2Ffull-record%2FWOS:000428506200017","View Full Record in Web of Science")</f>
        <v>View Full Record in Web of Science</v>
      </c>
    </row>
    <row r="605" spans="1:72" x14ac:dyDescent="0.15">
      <c r="A605" t="s">
        <v>72</v>
      </c>
      <c r="B605" t="s">
        <v>11961</v>
      </c>
      <c r="C605" t="s">
        <v>74</v>
      </c>
      <c r="D605" t="s">
        <v>74</v>
      </c>
      <c r="E605" t="s">
        <v>74</v>
      </c>
      <c r="F605" t="s">
        <v>11962</v>
      </c>
      <c r="G605" t="s">
        <v>74</v>
      </c>
      <c r="H605" t="s">
        <v>74</v>
      </c>
      <c r="I605" t="s">
        <v>11963</v>
      </c>
      <c r="J605" t="s">
        <v>11964</v>
      </c>
      <c r="K605" t="s">
        <v>74</v>
      </c>
      <c r="L605" t="s">
        <v>74</v>
      </c>
      <c r="M605" t="s">
        <v>78</v>
      </c>
      <c r="N605" t="s">
        <v>79</v>
      </c>
      <c r="O605" t="s">
        <v>74</v>
      </c>
      <c r="P605" t="s">
        <v>74</v>
      </c>
      <c r="Q605" t="s">
        <v>74</v>
      </c>
      <c r="R605" t="s">
        <v>74</v>
      </c>
      <c r="S605" t="s">
        <v>74</v>
      </c>
      <c r="T605" t="s">
        <v>74</v>
      </c>
      <c r="U605" t="s">
        <v>11965</v>
      </c>
      <c r="V605" t="s">
        <v>11966</v>
      </c>
      <c r="W605" t="s">
        <v>11967</v>
      </c>
      <c r="X605" t="s">
        <v>11968</v>
      </c>
      <c r="Y605" t="s">
        <v>11969</v>
      </c>
      <c r="Z605" t="s">
        <v>11970</v>
      </c>
      <c r="AA605" t="s">
        <v>11971</v>
      </c>
      <c r="AB605" t="s">
        <v>74</v>
      </c>
      <c r="AC605" t="s">
        <v>11972</v>
      </c>
      <c r="AD605" t="s">
        <v>11973</v>
      </c>
      <c r="AE605" t="s">
        <v>11974</v>
      </c>
      <c r="AF605" t="s">
        <v>74</v>
      </c>
      <c r="AG605">
        <v>41</v>
      </c>
      <c r="AH605">
        <v>30</v>
      </c>
      <c r="AI605">
        <v>30</v>
      </c>
      <c r="AJ605">
        <v>2</v>
      </c>
      <c r="AK605">
        <v>20</v>
      </c>
      <c r="AL605" t="s">
        <v>91</v>
      </c>
      <c r="AM605" t="s">
        <v>1468</v>
      </c>
      <c r="AN605" t="s">
        <v>1469</v>
      </c>
      <c r="AO605" t="s">
        <v>11975</v>
      </c>
      <c r="AP605" t="s">
        <v>11976</v>
      </c>
      <c r="AQ605" t="s">
        <v>74</v>
      </c>
      <c r="AR605" t="s">
        <v>11964</v>
      </c>
      <c r="AS605" t="s">
        <v>11977</v>
      </c>
      <c r="AT605" t="s">
        <v>11811</v>
      </c>
      <c r="AU605">
        <v>2018</v>
      </c>
      <c r="AV605">
        <v>147</v>
      </c>
      <c r="AW605" t="s">
        <v>1474</v>
      </c>
      <c r="AX605" t="s">
        <v>74</v>
      </c>
      <c r="AY605" t="s">
        <v>74</v>
      </c>
      <c r="AZ605" t="s">
        <v>74</v>
      </c>
      <c r="BA605" t="s">
        <v>74</v>
      </c>
      <c r="BB605">
        <v>31</v>
      </c>
      <c r="BC605">
        <v>45</v>
      </c>
      <c r="BD605" t="s">
        <v>74</v>
      </c>
      <c r="BE605" t="s">
        <v>11978</v>
      </c>
      <c r="BF605" t="str">
        <f>HYPERLINK("http://dx.doi.org/10.1007/s10584-017-2119-5","http://dx.doi.org/10.1007/s10584-017-2119-5")</f>
        <v>http://dx.doi.org/10.1007/s10584-017-2119-5</v>
      </c>
      <c r="BG605" t="s">
        <v>74</v>
      </c>
      <c r="BH605" t="s">
        <v>74</v>
      </c>
      <c r="BI605">
        <v>15</v>
      </c>
      <c r="BJ605" t="s">
        <v>285</v>
      </c>
      <c r="BK605" t="s">
        <v>101</v>
      </c>
      <c r="BL605" t="s">
        <v>286</v>
      </c>
      <c r="BM605" t="s">
        <v>11979</v>
      </c>
      <c r="BN605" t="s">
        <v>74</v>
      </c>
      <c r="BO605" t="s">
        <v>4840</v>
      </c>
      <c r="BP605" t="s">
        <v>74</v>
      </c>
      <c r="BQ605" t="s">
        <v>74</v>
      </c>
      <c r="BR605" t="s">
        <v>105</v>
      </c>
      <c r="BS605" t="s">
        <v>11980</v>
      </c>
      <c r="BT605" t="str">
        <f>HYPERLINK("https%3A%2F%2Fwww.webofscience.com%2Fwos%2Fwoscc%2Ffull-record%2FWOS:000425959700004","View Full Record in Web of Science")</f>
        <v>View Full Record in Web of Science</v>
      </c>
    </row>
    <row r="606" spans="1:72" x14ac:dyDescent="0.15">
      <c r="A606" t="s">
        <v>72</v>
      </c>
      <c r="B606" t="s">
        <v>11981</v>
      </c>
      <c r="C606" t="s">
        <v>74</v>
      </c>
      <c r="D606" t="s">
        <v>74</v>
      </c>
      <c r="E606" t="s">
        <v>74</v>
      </c>
      <c r="F606" t="s">
        <v>11982</v>
      </c>
      <c r="G606" t="s">
        <v>74</v>
      </c>
      <c r="H606" t="s">
        <v>74</v>
      </c>
      <c r="I606" t="s">
        <v>11983</v>
      </c>
      <c r="J606" t="s">
        <v>8165</v>
      </c>
      <c r="K606" t="s">
        <v>74</v>
      </c>
      <c r="L606" t="s">
        <v>74</v>
      </c>
      <c r="M606" t="s">
        <v>78</v>
      </c>
      <c r="N606" t="s">
        <v>79</v>
      </c>
      <c r="O606" t="s">
        <v>74</v>
      </c>
      <c r="P606" t="s">
        <v>74</v>
      </c>
      <c r="Q606" t="s">
        <v>74</v>
      </c>
      <c r="R606" t="s">
        <v>74</v>
      </c>
      <c r="S606" t="s">
        <v>74</v>
      </c>
      <c r="T606" t="s">
        <v>11984</v>
      </c>
      <c r="U606" t="s">
        <v>11985</v>
      </c>
      <c r="V606" t="s">
        <v>11986</v>
      </c>
      <c r="W606" t="s">
        <v>11987</v>
      </c>
      <c r="X606" t="s">
        <v>11988</v>
      </c>
      <c r="Y606" t="s">
        <v>11989</v>
      </c>
      <c r="Z606" t="s">
        <v>11990</v>
      </c>
      <c r="AA606" t="s">
        <v>11991</v>
      </c>
      <c r="AB606" t="s">
        <v>11992</v>
      </c>
      <c r="AC606" t="s">
        <v>11993</v>
      </c>
      <c r="AD606" t="s">
        <v>11994</v>
      </c>
      <c r="AE606" t="s">
        <v>11995</v>
      </c>
      <c r="AF606" t="s">
        <v>74</v>
      </c>
      <c r="AG606">
        <v>46</v>
      </c>
      <c r="AH606">
        <v>10</v>
      </c>
      <c r="AI606">
        <v>12</v>
      </c>
      <c r="AJ606">
        <v>0</v>
      </c>
      <c r="AK606">
        <v>22</v>
      </c>
      <c r="AL606" t="s">
        <v>277</v>
      </c>
      <c r="AM606" t="s">
        <v>278</v>
      </c>
      <c r="AN606" t="s">
        <v>279</v>
      </c>
      <c r="AO606" t="s">
        <v>8172</v>
      </c>
      <c r="AP606" t="s">
        <v>8173</v>
      </c>
      <c r="AQ606" t="s">
        <v>74</v>
      </c>
      <c r="AR606" t="s">
        <v>8174</v>
      </c>
      <c r="AS606" t="s">
        <v>8175</v>
      </c>
      <c r="AT606" t="s">
        <v>11811</v>
      </c>
      <c r="AU606">
        <v>2018</v>
      </c>
      <c r="AV606">
        <v>133</v>
      </c>
      <c r="AW606" t="s">
        <v>74</v>
      </c>
      <c r="AX606" t="s">
        <v>74</v>
      </c>
      <c r="AY606" t="s">
        <v>74</v>
      </c>
      <c r="AZ606" t="s">
        <v>74</v>
      </c>
      <c r="BA606" t="s">
        <v>74</v>
      </c>
      <c r="BB606">
        <v>59</v>
      </c>
      <c r="BC606">
        <v>71</v>
      </c>
      <c r="BD606" t="s">
        <v>74</v>
      </c>
      <c r="BE606" t="s">
        <v>11996</v>
      </c>
      <c r="BF606" t="str">
        <f>HYPERLINK("http://dx.doi.org/10.1016/j.dsr.2018.01.005","http://dx.doi.org/10.1016/j.dsr.2018.01.005")</f>
        <v>http://dx.doi.org/10.1016/j.dsr.2018.01.005</v>
      </c>
      <c r="BG606" t="s">
        <v>74</v>
      </c>
      <c r="BH606" t="s">
        <v>74</v>
      </c>
      <c r="BI606">
        <v>13</v>
      </c>
      <c r="BJ606" t="s">
        <v>364</v>
      </c>
      <c r="BK606" t="s">
        <v>101</v>
      </c>
      <c r="BL606" t="s">
        <v>364</v>
      </c>
      <c r="BM606" t="s">
        <v>11997</v>
      </c>
      <c r="BN606" t="s">
        <v>74</v>
      </c>
      <c r="BO606" t="s">
        <v>1085</v>
      </c>
      <c r="BP606" t="s">
        <v>74</v>
      </c>
      <c r="BQ606" t="s">
        <v>74</v>
      </c>
      <c r="BR606" t="s">
        <v>105</v>
      </c>
      <c r="BS606" t="s">
        <v>11998</v>
      </c>
      <c r="BT606" t="str">
        <f>HYPERLINK("https%3A%2F%2Fwww.webofscience.com%2Fwos%2Fwoscc%2Ffull-record%2FWOS:000429293400006","View Full Record in Web of Science")</f>
        <v>View Full Record in Web of Science</v>
      </c>
    </row>
    <row r="607" spans="1:72" x14ac:dyDescent="0.15">
      <c r="A607" t="s">
        <v>72</v>
      </c>
      <c r="B607" t="s">
        <v>11999</v>
      </c>
      <c r="C607" t="s">
        <v>74</v>
      </c>
      <c r="D607" t="s">
        <v>74</v>
      </c>
      <c r="E607" t="s">
        <v>74</v>
      </c>
      <c r="F607" t="s">
        <v>12000</v>
      </c>
      <c r="G607" t="s">
        <v>74</v>
      </c>
      <c r="H607" t="s">
        <v>74</v>
      </c>
      <c r="I607" t="s">
        <v>12001</v>
      </c>
      <c r="J607" t="s">
        <v>12002</v>
      </c>
      <c r="K607" t="s">
        <v>74</v>
      </c>
      <c r="L607" t="s">
        <v>74</v>
      </c>
      <c r="M607" t="s">
        <v>78</v>
      </c>
      <c r="N607" t="s">
        <v>79</v>
      </c>
      <c r="O607" t="s">
        <v>74</v>
      </c>
      <c r="P607" t="s">
        <v>74</v>
      </c>
      <c r="Q607" t="s">
        <v>74</v>
      </c>
      <c r="R607" t="s">
        <v>74</v>
      </c>
      <c r="S607" t="s">
        <v>74</v>
      </c>
      <c r="T607" t="s">
        <v>12003</v>
      </c>
      <c r="U607" t="s">
        <v>12004</v>
      </c>
      <c r="V607" t="s">
        <v>12005</v>
      </c>
      <c r="W607" t="s">
        <v>12006</v>
      </c>
      <c r="X607" t="s">
        <v>12007</v>
      </c>
      <c r="Y607" t="s">
        <v>12008</v>
      </c>
      <c r="Z607" t="s">
        <v>12009</v>
      </c>
      <c r="AA607" t="s">
        <v>12010</v>
      </c>
      <c r="AB607" t="s">
        <v>12011</v>
      </c>
      <c r="AC607" t="s">
        <v>12012</v>
      </c>
      <c r="AD607" t="s">
        <v>12013</v>
      </c>
      <c r="AE607" t="s">
        <v>12014</v>
      </c>
      <c r="AF607" t="s">
        <v>74</v>
      </c>
      <c r="AG607">
        <v>100</v>
      </c>
      <c r="AH607">
        <v>33</v>
      </c>
      <c r="AI607">
        <v>35</v>
      </c>
      <c r="AJ607">
        <v>4</v>
      </c>
      <c r="AK607">
        <v>17</v>
      </c>
      <c r="AL607" t="s">
        <v>277</v>
      </c>
      <c r="AM607" t="s">
        <v>278</v>
      </c>
      <c r="AN607" t="s">
        <v>279</v>
      </c>
      <c r="AO607" t="s">
        <v>12015</v>
      </c>
      <c r="AP607" t="s">
        <v>12016</v>
      </c>
      <c r="AQ607" t="s">
        <v>74</v>
      </c>
      <c r="AR607" t="s">
        <v>12017</v>
      </c>
      <c r="AS607" t="s">
        <v>12018</v>
      </c>
      <c r="AT607" t="s">
        <v>11811</v>
      </c>
      <c r="AU607">
        <v>2018</v>
      </c>
      <c r="AV607">
        <v>149</v>
      </c>
      <c r="AW607" t="s">
        <v>74</v>
      </c>
      <c r="AX607" t="s">
        <v>74</v>
      </c>
      <c r="AY607" t="s">
        <v>74</v>
      </c>
      <c r="AZ607" t="s">
        <v>508</v>
      </c>
      <c r="BA607" t="s">
        <v>74</v>
      </c>
      <c r="BB607">
        <v>10</v>
      </c>
      <c r="BC607">
        <v>24</v>
      </c>
      <c r="BD607" t="s">
        <v>74</v>
      </c>
      <c r="BE607" t="s">
        <v>12019</v>
      </c>
      <c r="BF607" t="str">
        <f>HYPERLINK("http://dx.doi.org/10.1016/j.dsr2.2018.02.014","http://dx.doi.org/10.1016/j.dsr2.2018.02.014")</f>
        <v>http://dx.doi.org/10.1016/j.dsr2.2018.02.014</v>
      </c>
      <c r="BG607" t="s">
        <v>74</v>
      </c>
      <c r="BH607" t="s">
        <v>74</v>
      </c>
      <c r="BI607">
        <v>15</v>
      </c>
      <c r="BJ607" t="s">
        <v>364</v>
      </c>
      <c r="BK607" t="s">
        <v>101</v>
      </c>
      <c r="BL607" t="s">
        <v>364</v>
      </c>
      <c r="BM607" t="s">
        <v>12020</v>
      </c>
      <c r="BN607" t="s">
        <v>74</v>
      </c>
      <c r="BO607" t="s">
        <v>74</v>
      </c>
      <c r="BP607" t="s">
        <v>74</v>
      </c>
      <c r="BQ607" t="s">
        <v>74</v>
      </c>
      <c r="BR607" t="s">
        <v>105</v>
      </c>
      <c r="BS607" t="s">
        <v>12021</v>
      </c>
      <c r="BT607" t="str">
        <f>HYPERLINK("https%3A%2F%2Fwww.webofscience.com%2Fwos%2Fwoscc%2Ffull-record%2FWOS:000437037100003","View Full Record in Web of Science")</f>
        <v>View Full Record in Web of Science</v>
      </c>
    </row>
    <row r="608" spans="1:72" x14ac:dyDescent="0.15">
      <c r="A608" t="s">
        <v>72</v>
      </c>
      <c r="B608" t="s">
        <v>12022</v>
      </c>
      <c r="C608" t="s">
        <v>74</v>
      </c>
      <c r="D608" t="s">
        <v>74</v>
      </c>
      <c r="E608" t="s">
        <v>74</v>
      </c>
      <c r="F608" t="s">
        <v>12023</v>
      </c>
      <c r="G608" t="s">
        <v>74</v>
      </c>
      <c r="H608" t="s">
        <v>74</v>
      </c>
      <c r="I608" t="s">
        <v>12024</v>
      </c>
      <c r="J608" t="s">
        <v>12002</v>
      </c>
      <c r="K608" t="s">
        <v>74</v>
      </c>
      <c r="L608" t="s">
        <v>74</v>
      </c>
      <c r="M608" t="s">
        <v>78</v>
      </c>
      <c r="N608" t="s">
        <v>79</v>
      </c>
      <c r="O608" t="s">
        <v>74</v>
      </c>
      <c r="P608" t="s">
        <v>74</v>
      </c>
      <c r="Q608" t="s">
        <v>74</v>
      </c>
      <c r="R608" t="s">
        <v>74</v>
      </c>
      <c r="S608" t="s">
        <v>74</v>
      </c>
      <c r="T608" t="s">
        <v>12025</v>
      </c>
      <c r="U608" t="s">
        <v>12026</v>
      </c>
      <c r="V608" t="s">
        <v>12027</v>
      </c>
      <c r="W608" t="s">
        <v>12028</v>
      </c>
      <c r="X608" t="s">
        <v>74</v>
      </c>
      <c r="Y608" t="s">
        <v>12029</v>
      </c>
      <c r="Z608" t="s">
        <v>12030</v>
      </c>
      <c r="AA608" t="s">
        <v>12031</v>
      </c>
      <c r="AB608" t="s">
        <v>12032</v>
      </c>
      <c r="AC608" t="s">
        <v>12033</v>
      </c>
      <c r="AD608" t="s">
        <v>12034</v>
      </c>
      <c r="AE608" t="s">
        <v>12035</v>
      </c>
      <c r="AF608" t="s">
        <v>74</v>
      </c>
      <c r="AG608">
        <v>60</v>
      </c>
      <c r="AH608">
        <v>2</v>
      </c>
      <c r="AI608">
        <v>2</v>
      </c>
      <c r="AJ608">
        <v>1</v>
      </c>
      <c r="AK608">
        <v>6</v>
      </c>
      <c r="AL608" t="s">
        <v>277</v>
      </c>
      <c r="AM608" t="s">
        <v>278</v>
      </c>
      <c r="AN608" t="s">
        <v>279</v>
      </c>
      <c r="AO608" t="s">
        <v>12015</v>
      </c>
      <c r="AP608" t="s">
        <v>12016</v>
      </c>
      <c r="AQ608" t="s">
        <v>74</v>
      </c>
      <c r="AR608" t="s">
        <v>12017</v>
      </c>
      <c r="AS608" t="s">
        <v>12018</v>
      </c>
      <c r="AT608" t="s">
        <v>11811</v>
      </c>
      <c r="AU608">
        <v>2018</v>
      </c>
      <c r="AV608">
        <v>149</v>
      </c>
      <c r="AW608" t="s">
        <v>74</v>
      </c>
      <c r="AX608" t="s">
        <v>74</v>
      </c>
      <c r="AY608" t="s">
        <v>74</v>
      </c>
      <c r="AZ608" t="s">
        <v>508</v>
      </c>
      <c r="BA608" t="s">
        <v>74</v>
      </c>
      <c r="BB608">
        <v>47</v>
      </c>
      <c r="BC608">
        <v>57</v>
      </c>
      <c r="BD608" t="s">
        <v>74</v>
      </c>
      <c r="BE608" t="s">
        <v>12036</v>
      </c>
      <c r="BF608" t="str">
        <f>HYPERLINK("http://dx.doi.org/10.1016/j.dsr2.2017.12.007","http://dx.doi.org/10.1016/j.dsr2.2017.12.007")</f>
        <v>http://dx.doi.org/10.1016/j.dsr2.2017.12.007</v>
      </c>
      <c r="BG608" t="s">
        <v>74</v>
      </c>
      <c r="BH608" t="s">
        <v>74</v>
      </c>
      <c r="BI608">
        <v>11</v>
      </c>
      <c r="BJ608" t="s">
        <v>364</v>
      </c>
      <c r="BK608" t="s">
        <v>101</v>
      </c>
      <c r="BL608" t="s">
        <v>364</v>
      </c>
      <c r="BM608" t="s">
        <v>12020</v>
      </c>
      <c r="BN608" t="s">
        <v>74</v>
      </c>
      <c r="BO608" t="s">
        <v>74</v>
      </c>
      <c r="BP608" t="s">
        <v>74</v>
      </c>
      <c r="BQ608" t="s">
        <v>74</v>
      </c>
      <c r="BR608" t="s">
        <v>105</v>
      </c>
      <c r="BS608" t="s">
        <v>12037</v>
      </c>
      <c r="BT608" t="str">
        <f>HYPERLINK("https%3A%2F%2Fwww.webofscience.com%2Fwos%2Fwoscc%2Ffull-record%2FWOS:000437037100006","View Full Record in Web of Science")</f>
        <v>View Full Record in Web of Science</v>
      </c>
    </row>
    <row r="609" spans="1:72" x14ac:dyDescent="0.15">
      <c r="A609" t="s">
        <v>72</v>
      </c>
      <c r="B609" t="s">
        <v>12038</v>
      </c>
      <c r="C609" t="s">
        <v>74</v>
      </c>
      <c r="D609" t="s">
        <v>74</v>
      </c>
      <c r="E609" t="s">
        <v>74</v>
      </c>
      <c r="F609" t="s">
        <v>12039</v>
      </c>
      <c r="G609" t="s">
        <v>74</v>
      </c>
      <c r="H609" t="s">
        <v>74</v>
      </c>
      <c r="I609" t="s">
        <v>12040</v>
      </c>
      <c r="J609" t="s">
        <v>12002</v>
      </c>
      <c r="K609" t="s">
        <v>74</v>
      </c>
      <c r="L609" t="s">
        <v>74</v>
      </c>
      <c r="M609" t="s">
        <v>78</v>
      </c>
      <c r="N609" t="s">
        <v>79</v>
      </c>
      <c r="O609" t="s">
        <v>74</v>
      </c>
      <c r="P609" t="s">
        <v>74</v>
      </c>
      <c r="Q609" t="s">
        <v>74</v>
      </c>
      <c r="R609" t="s">
        <v>74</v>
      </c>
      <c r="S609" t="s">
        <v>74</v>
      </c>
      <c r="T609" t="s">
        <v>12041</v>
      </c>
      <c r="U609" t="s">
        <v>12042</v>
      </c>
      <c r="V609" t="s">
        <v>12043</v>
      </c>
      <c r="W609" t="s">
        <v>12044</v>
      </c>
      <c r="X609" t="s">
        <v>12045</v>
      </c>
      <c r="Y609" t="s">
        <v>12046</v>
      </c>
      <c r="Z609" t="s">
        <v>12047</v>
      </c>
      <c r="AA609" t="s">
        <v>12048</v>
      </c>
      <c r="AB609" t="s">
        <v>12049</v>
      </c>
      <c r="AC609" t="s">
        <v>12050</v>
      </c>
      <c r="AD609" t="s">
        <v>12051</v>
      </c>
      <c r="AE609" t="s">
        <v>12052</v>
      </c>
      <c r="AF609" t="s">
        <v>74</v>
      </c>
      <c r="AG609">
        <v>111</v>
      </c>
      <c r="AH609">
        <v>26</v>
      </c>
      <c r="AI609">
        <v>26</v>
      </c>
      <c r="AJ609">
        <v>0</v>
      </c>
      <c r="AK609">
        <v>23</v>
      </c>
      <c r="AL609" t="s">
        <v>277</v>
      </c>
      <c r="AM609" t="s">
        <v>278</v>
      </c>
      <c r="AN609" t="s">
        <v>279</v>
      </c>
      <c r="AO609" t="s">
        <v>12015</v>
      </c>
      <c r="AP609" t="s">
        <v>12016</v>
      </c>
      <c r="AQ609" t="s">
        <v>74</v>
      </c>
      <c r="AR609" t="s">
        <v>12017</v>
      </c>
      <c r="AS609" t="s">
        <v>12018</v>
      </c>
      <c r="AT609" t="s">
        <v>11811</v>
      </c>
      <c r="AU609">
        <v>2018</v>
      </c>
      <c r="AV609">
        <v>149</v>
      </c>
      <c r="AW609" t="s">
        <v>74</v>
      </c>
      <c r="AX609" t="s">
        <v>74</v>
      </c>
      <c r="AY609" t="s">
        <v>74</v>
      </c>
      <c r="AZ609" t="s">
        <v>508</v>
      </c>
      <c r="BA609" t="s">
        <v>74</v>
      </c>
      <c r="BB609">
        <v>70</v>
      </c>
      <c r="BC609">
        <v>83</v>
      </c>
      <c r="BD609" t="s">
        <v>74</v>
      </c>
      <c r="BE609" t="s">
        <v>12053</v>
      </c>
      <c r="BF609" t="str">
        <f>HYPERLINK("http://dx.doi.org/10.1016/j.dsr2.2017.12.002","http://dx.doi.org/10.1016/j.dsr2.2017.12.002")</f>
        <v>http://dx.doi.org/10.1016/j.dsr2.2017.12.002</v>
      </c>
      <c r="BG609" t="s">
        <v>74</v>
      </c>
      <c r="BH609" t="s">
        <v>74</v>
      </c>
      <c r="BI609">
        <v>14</v>
      </c>
      <c r="BJ609" t="s">
        <v>364</v>
      </c>
      <c r="BK609" t="s">
        <v>101</v>
      </c>
      <c r="BL609" t="s">
        <v>364</v>
      </c>
      <c r="BM609" t="s">
        <v>12020</v>
      </c>
      <c r="BN609" t="s">
        <v>74</v>
      </c>
      <c r="BO609" t="s">
        <v>1085</v>
      </c>
      <c r="BP609" t="s">
        <v>74</v>
      </c>
      <c r="BQ609" t="s">
        <v>74</v>
      </c>
      <c r="BR609" t="s">
        <v>105</v>
      </c>
      <c r="BS609" t="s">
        <v>12054</v>
      </c>
      <c r="BT609" t="str">
        <f>HYPERLINK("https%3A%2F%2Fwww.webofscience.com%2Fwos%2Fwoscc%2Ffull-record%2FWOS:000437037100008","View Full Record in Web of Science")</f>
        <v>View Full Record in Web of Science</v>
      </c>
    </row>
    <row r="610" spans="1:72" x14ac:dyDescent="0.15">
      <c r="A610" t="s">
        <v>72</v>
      </c>
      <c r="B610" t="s">
        <v>12055</v>
      </c>
      <c r="C610" t="s">
        <v>74</v>
      </c>
      <c r="D610" t="s">
        <v>74</v>
      </c>
      <c r="E610" t="s">
        <v>74</v>
      </c>
      <c r="F610" t="s">
        <v>12056</v>
      </c>
      <c r="G610" t="s">
        <v>74</v>
      </c>
      <c r="H610" t="s">
        <v>74</v>
      </c>
      <c r="I610" t="s">
        <v>12057</v>
      </c>
      <c r="J610" t="s">
        <v>12002</v>
      </c>
      <c r="K610" t="s">
        <v>74</v>
      </c>
      <c r="L610" t="s">
        <v>74</v>
      </c>
      <c r="M610" t="s">
        <v>78</v>
      </c>
      <c r="N610" t="s">
        <v>79</v>
      </c>
      <c r="O610" t="s">
        <v>74</v>
      </c>
      <c r="P610" t="s">
        <v>74</v>
      </c>
      <c r="Q610" t="s">
        <v>74</v>
      </c>
      <c r="R610" t="s">
        <v>74</v>
      </c>
      <c r="S610" t="s">
        <v>74</v>
      </c>
      <c r="T610" t="s">
        <v>12058</v>
      </c>
      <c r="U610" t="s">
        <v>12059</v>
      </c>
      <c r="V610" t="s">
        <v>12060</v>
      </c>
      <c r="W610" t="s">
        <v>12061</v>
      </c>
      <c r="X610" t="s">
        <v>12062</v>
      </c>
      <c r="Y610" t="s">
        <v>12063</v>
      </c>
      <c r="Z610" t="s">
        <v>12064</v>
      </c>
      <c r="AA610" t="s">
        <v>12065</v>
      </c>
      <c r="AB610" t="s">
        <v>12066</v>
      </c>
      <c r="AC610" t="s">
        <v>12067</v>
      </c>
      <c r="AD610" t="s">
        <v>12068</v>
      </c>
      <c r="AE610" t="s">
        <v>12069</v>
      </c>
      <c r="AF610" t="s">
        <v>74</v>
      </c>
      <c r="AG610">
        <v>85</v>
      </c>
      <c r="AH610">
        <v>25</v>
      </c>
      <c r="AI610">
        <v>29</v>
      </c>
      <c r="AJ610">
        <v>2</v>
      </c>
      <c r="AK610">
        <v>33</v>
      </c>
      <c r="AL610" t="s">
        <v>277</v>
      </c>
      <c r="AM610" t="s">
        <v>278</v>
      </c>
      <c r="AN610" t="s">
        <v>279</v>
      </c>
      <c r="AO610" t="s">
        <v>12015</v>
      </c>
      <c r="AP610" t="s">
        <v>12016</v>
      </c>
      <c r="AQ610" t="s">
        <v>74</v>
      </c>
      <c r="AR610" t="s">
        <v>12017</v>
      </c>
      <c r="AS610" t="s">
        <v>12018</v>
      </c>
      <c r="AT610" t="s">
        <v>11811</v>
      </c>
      <c r="AU610">
        <v>2018</v>
      </c>
      <c r="AV610">
        <v>149</v>
      </c>
      <c r="AW610" t="s">
        <v>74</v>
      </c>
      <c r="AX610" t="s">
        <v>74</v>
      </c>
      <c r="AY610" t="s">
        <v>74</v>
      </c>
      <c r="AZ610" t="s">
        <v>508</v>
      </c>
      <c r="BA610" t="s">
        <v>74</v>
      </c>
      <c r="BB610">
        <v>111</v>
      </c>
      <c r="BC610">
        <v>123</v>
      </c>
      <c r="BD610" t="s">
        <v>74</v>
      </c>
      <c r="BE610" t="s">
        <v>12070</v>
      </c>
      <c r="BF610" t="str">
        <f>HYPERLINK("http://dx.doi.org/10.1016/j.dsr2.2017.12.003","http://dx.doi.org/10.1016/j.dsr2.2017.12.003")</f>
        <v>http://dx.doi.org/10.1016/j.dsr2.2017.12.003</v>
      </c>
      <c r="BG610" t="s">
        <v>74</v>
      </c>
      <c r="BH610" t="s">
        <v>74</v>
      </c>
      <c r="BI610">
        <v>13</v>
      </c>
      <c r="BJ610" t="s">
        <v>364</v>
      </c>
      <c r="BK610" t="s">
        <v>101</v>
      </c>
      <c r="BL610" t="s">
        <v>364</v>
      </c>
      <c r="BM610" t="s">
        <v>12020</v>
      </c>
      <c r="BN610" t="s">
        <v>74</v>
      </c>
      <c r="BO610" t="s">
        <v>1085</v>
      </c>
      <c r="BP610" t="s">
        <v>74</v>
      </c>
      <c r="BQ610" t="s">
        <v>74</v>
      </c>
      <c r="BR610" t="s">
        <v>105</v>
      </c>
      <c r="BS610" t="s">
        <v>12071</v>
      </c>
      <c r="BT610" t="str">
        <f>HYPERLINK("https%3A%2F%2Fwww.webofscience.com%2Fwos%2Fwoscc%2Ffull-record%2FWOS:000437037100011","View Full Record in Web of Science")</f>
        <v>View Full Record in Web of Science</v>
      </c>
    </row>
    <row r="611" spans="1:72" x14ac:dyDescent="0.15">
      <c r="A611" t="s">
        <v>72</v>
      </c>
      <c r="B611" t="s">
        <v>12072</v>
      </c>
      <c r="C611" t="s">
        <v>74</v>
      </c>
      <c r="D611" t="s">
        <v>74</v>
      </c>
      <c r="E611" t="s">
        <v>74</v>
      </c>
      <c r="F611" t="s">
        <v>12073</v>
      </c>
      <c r="G611" t="s">
        <v>74</v>
      </c>
      <c r="H611" t="s">
        <v>74</v>
      </c>
      <c r="I611" t="s">
        <v>12074</v>
      </c>
      <c r="J611" t="s">
        <v>12002</v>
      </c>
      <c r="K611" t="s">
        <v>74</v>
      </c>
      <c r="L611" t="s">
        <v>74</v>
      </c>
      <c r="M611" t="s">
        <v>78</v>
      </c>
      <c r="N611" t="s">
        <v>79</v>
      </c>
      <c r="O611" t="s">
        <v>74</v>
      </c>
      <c r="P611" t="s">
        <v>74</v>
      </c>
      <c r="Q611" t="s">
        <v>74</v>
      </c>
      <c r="R611" t="s">
        <v>74</v>
      </c>
      <c r="S611" t="s">
        <v>74</v>
      </c>
      <c r="T611" t="s">
        <v>12075</v>
      </c>
      <c r="U611" t="s">
        <v>12076</v>
      </c>
      <c r="V611" t="s">
        <v>12077</v>
      </c>
      <c r="W611" t="s">
        <v>12078</v>
      </c>
      <c r="X611" t="s">
        <v>12062</v>
      </c>
      <c r="Y611" t="s">
        <v>12063</v>
      </c>
      <c r="Z611" t="s">
        <v>12064</v>
      </c>
      <c r="AA611" t="s">
        <v>12079</v>
      </c>
      <c r="AB611" t="s">
        <v>12080</v>
      </c>
      <c r="AC611" t="s">
        <v>12081</v>
      </c>
      <c r="AD611" t="s">
        <v>12082</v>
      </c>
      <c r="AE611" t="s">
        <v>12083</v>
      </c>
      <c r="AF611" t="s">
        <v>74</v>
      </c>
      <c r="AG611">
        <v>56</v>
      </c>
      <c r="AH611">
        <v>64</v>
      </c>
      <c r="AI611">
        <v>72</v>
      </c>
      <c r="AJ611">
        <v>3</v>
      </c>
      <c r="AK611">
        <v>25</v>
      </c>
      <c r="AL611" t="s">
        <v>277</v>
      </c>
      <c r="AM611" t="s">
        <v>278</v>
      </c>
      <c r="AN611" t="s">
        <v>279</v>
      </c>
      <c r="AO611" t="s">
        <v>12015</v>
      </c>
      <c r="AP611" t="s">
        <v>12016</v>
      </c>
      <c r="AQ611" t="s">
        <v>74</v>
      </c>
      <c r="AR611" t="s">
        <v>12017</v>
      </c>
      <c r="AS611" t="s">
        <v>12018</v>
      </c>
      <c r="AT611" t="s">
        <v>11811</v>
      </c>
      <c r="AU611">
        <v>2018</v>
      </c>
      <c r="AV611">
        <v>149</v>
      </c>
      <c r="AW611" t="s">
        <v>74</v>
      </c>
      <c r="AX611" t="s">
        <v>74</v>
      </c>
      <c r="AY611" t="s">
        <v>74</v>
      </c>
      <c r="AZ611" t="s">
        <v>508</v>
      </c>
      <c r="BA611" t="s">
        <v>74</v>
      </c>
      <c r="BB611">
        <v>161</v>
      </c>
      <c r="BC611">
        <v>170</v>
      </c>
      <c r="BD611" t="s">
        <v>74</v>
      </c>
      <c r="BE611" t="s">
        <v>12084</v>
      </c>
      <c r="BF611" t="str">
        <f>HYPERLINK("http://dx.doi.org/10.1016/j.dsr2.2017.02.010","http://dx.doi.org/10.1016/j.dsr2.2017.02.010")</f>
        <v>http://dx.doi.org/10.1016/j.dsr2.2017.02.010</v>
      </c>
      <c r="BG611" t="s">
        <v>74</v>
      </c>
      <c r="BH611" t="s">
        <v>74</v>
      </c>
      <c r="BI611">
        <v>10</v>
      </c>
      <c r="BJ611" t="s">
        <v>364</v>
      </c>
      <c r="BK611" t="s">
        <v>101</v>
      </c>
      <c r="BL611" t="s">
        <v>364</v>
      </c>
      <c r="BM611" t="s">
        <v>12020</v>
      </c>
      <c r="BN611" t="s">
        <v>74</v>
      </c>
      <c r="BO611" t="s">
        <v>1085</v>
      </c>
      <c r="BP611" t="s">
        <v>74</v>
      </c>
      <c r="BQ611" t="s">
        <v>74</v>
      </c>
      <c r="BR611" t="s">
        <v>105</v>
      </c>
      <c r="BS611" t="s">
        <v>12085</v>
      </c>
      <c r="BT611" t="str">
        <f>HYPERLINK("https%3A%2F%2Fwww.webofscience.com%2Fwos%2Fwoscc%2Ffull-record%2FWOS:000437037100015","View Full Record in Web of Science")</f>
        <v>View Full Record in Web of Science</v>
      </c>
    </row>
    <row r="612" spans="1:72" x14ac:dyDescent="0.15">
      <c r="A612" t="s">
        <v>72</v>
      </c>
      <c r="B612" t="s">
        <v>12086</v>
      </c>
      <c r="C612" t="s">
        <v>74</v>
      </c>
      <c r="D612" t="s">
        <v>74</v>
      </c>
      <c r="E612" t="s">
        <v>74</v>
      </c>
      <c r="F612" t="s">
        <v>12087</v>
      </c>
      <c r="G612" t="s">
        <v>74</v>
      </c>
      <c r="H612" t="s">
        <v>74</v>
      </c>
      <c r="I612" t="s">
        <v>12088</v>
      </c>
      <c r="J612" t="s">
        <v>12002</v>
      </c>
      <c r="K612" t="s">
        <v>74</v>
      </c>
      <c r="L612" t="s">
        <v>74</v>
      </c>
      <c r="M612" t="s">
        <v>78</v>
      </c>
      <c r="N612" t="s">
        <v>79</v>
      </c>
      <c r="O612" t="s">
        <v>74</v>
      </c>
      <c r="P612" t="s">
        <v>74</v>
      </c>
      <c r="Q612" t="s">
        <v>74</v>
      </c>
      <c r="R612" t="s">
        <v>74</v>
      </c>
      <c r="S612" t="s">
        <v>74</v>
      </c>
      <c r="T612" t="s">
        <v>12089</v>
      </c>
      <c r="U612" t="s">
        <v>12090</v>
      </c>
      <c r="V612" t="s">
        <v>12091</v>
      </c>
      <c r="W612" t="s">
        <v>12092</v>
      </c>
      <c r="X612" t="s">
        <v>12093</v>
      </c>
      <c r="Y612" t="s">
        <v>12094</v>
      </c>
      <c r="Z612" t="s">
        <v>12095</v>
      </c>
      <c r="AA612" t="s">
        <v>12096</v>
      </c>
      <c r="AB612" t="s">
        <v>12097</v>
      </c>
      <c r="AC612" t="s">
        <v>12098</v>
      </c>
      <c r="AD612" t="s">
        <v>12099</v>
      </c>
      <c r="AE612" t="s">
        <v>12100</v>
      </c>
      <c r="AF612" t="s">
        <v>74</v>
      </c>
      <c r="AG612">
        <v>118</v>
      </c>
      <c r="AH612">
        <v>18</v>
      </c>
      <c r="AI612">
        <v>19</v>
      </c>
      <c r="AJ612">
        <v>1</v>
      </c>
      <c r="AK612">
        <v>17</v>
      </c>
      <c r="AL612" t="s">
        <v>277</v>
      </c>
      <c r="AM612" t="s">
        <v>278</v>
      </c>
      <c r="AN612" t="s">
        <v>279</v>
      </c>
      <c r="AO612" t="s">
        <v>12015</v>
      </c>
      <c r="AP612" t="s">
        <v>12016</v>
      </c>
      <c r="AQ612" t="s">
        <v>74</v>
      </c>
      <c r="AR612" t="s">
        <v>12017</v>
      </c>
      <c r="AS612" t="s">
        <v>12018</v>
      </c>
      <c r="AT612" t="s">
        <v>11811</v>
      </c>
      <c r="AU612">
        <v>2018</v>
      </c>
      <c r="AV612">
        <v>149</v>
      </c>
      <c r="AW612" t="s">
        <v>74</v>
      </c>
      <c r="AX612" t="s">
        <v>74</v>
      </c>
      <c r="AY612" t="s">
        <v>74</v>
      </c>
      <c r="AZ612" t="s">
        <v>508</v>
      </c>
      <c r="BA612" t="s">
        <v>74</v>
      </c>
      <c r="BB612">
        <v>171</v>
      </c>
      <c r="BC612">
        <v>181</v>
      </c>
      <c r="BD612" t="s">
        <v>74</v>
      </c>
      <c r="BE612" t="s">
        <v>12101</v>
      </c>
      <c r="BF612" t="str">
        <f>HYPERLINK("http://dx.doi.org/10.1016/j.dsr2.2017.02.008","http://dx.doi.org/10.1016/j.dsr2.2017.02.008")</f>
        <v>http://dx.doi.org/10.1016/j.dsr2.2017.02.008</v>
      </c>
      <c r="BG612" t="s">
        <v>74</v>
      </c>
      <c r="BH612" t="s">
        <v>74</v>
      </c>
      <c r="BI612">
        <v>11</v>
      </c>
      <c r="BJ612" t="s">
        <v>364</v>
      </c>
      <c r="BK612" t="s">
        <v>101</v>
      </c>
      <c r="BL612" t="s">
        <v>364</v>
      </c>
      <c r="BM612" t="s">
        <v>12020</v>
      </c>
      <c r="BN612" t="s">
        <v>74</v>
      </c>
      <c r="BO612" t="s">
        <v>74</v>
      </c>
      <c r="BP612" t="s">
        <v>74</v>
      </c>
      <c r="BQ612" t="s">
        <v>74</v>
      </c>
      <c r="BR612" t="s">
        <v>105</v>
      </c>
      <c r="BS612" t="s">
        <v>12102</v>
      </c>
      <c r="BT612" t="str">
        <f>HYPERLINK("https%3A%2F%2Fwww.webofscience.com%2Fwos%2Fwoscc%2Ffull-record%2FWOS:000437037100016","View Full Record in Web of Science")</f>
        <v>View Full Record in Web of Science</v>
      </c>
    </row>
    <row r="613" spans="1:72" x14ac:dyDescent="0.15">
      <c r="A613" t="s">
        <v>72</v>
      </c>
      <c r="B613" t="s">
        <v>12103</v>
      </c>
      <c r="C613" t="s">
        <v>74</v>
      </c>
      <c r="D613" t="s">
        <v>74</v>
      </c>
      <c r="E613" t="s">
        <v>74</v>
      </c>
      <c r="F613" t="s">
        <v>12104</v>
      </c>
      <c r="G613" t="s">
        <v>74</v>
      </c>
      <c r="H613" t="s">
        <v>74</v>
      </c>
      <c r="I613" t="s">
        <v>12105</v>
      </c>
      <c r="J613" t="s">
        <v>12002</v>
      </c>
      <c r="K613" t="s">
        <v>74</v>
      </c>
      <c r="L613" t="s">
        <v>74</v>
      </c>
      <c r="M613" t="s">
        <v>78</v>
      </c>
      <c r="N613" t="s">
        <v>79</v>
      </c>
      <c r="O613" t="s">
        <v>74</v>
      </c>
      <c r="P613" t="s">
        <v>74</v>
      </c>
      <c r="Q613" t="s">
        <v>74</v>
      </c>
      <c r="R613" t="s">
        <v>74</v>
      </c>
      <c r="S613" t="s">
        <v>74</v>
      </c>
      <c r="T613" t="s">
        <v>12106</v>
      </c>
      <c r="U613" t="s">
        <v>12107</v>
      </c>
      <c r="V613" t="s">
        <v>12108</v>
      </c>
      <c r="W613" t="s">
        <v>12109</v>
      </c>
      <c r="X613" t="s">
        <v>12110</v>
      </c>
      <c r="Y613" t="s">
        <v>12094</v>
      </c>
      <c r="Z613" t="s">
        <v>12095</v>
      </c>
      <c r="AA613" t="s">
        <v>12111</v>
      </c>
      <c r="AB613" t="s">
        <v>12112</v>
      </c>
      <c r="AC613" t="s">
        <v>12113</v>
      </c>
      <c r="AD613" t="s">
        <v>12114</v>
      </c>
      <c r="AE613" t="s">
        <v>12115</v>
      </c>
      <c r="AF613" t="s">
        <v>74</v>
      </c>
      <c r="AG613">
        <v>106</v>
      </c>
      <c r="AH613">
        <v>20</v>
      </c>
      <c r="AI613">
        <v>20</v>
      </c>
      <c r="AJ613">
        <v>0</v>
      </c>
      <c r="AK613">
        <v>10</v>
      </c>
      <c r="AL613" t="s">
        <v>277</v>
      </c>
      <c r="AM613" t="s">
        <v>278</v>
      </c>
      <c r="AN613" t="s">
        <v>279</v>
      </c>
      <c r="AO613" t="s">
        <v>12015</v>
      </c>
      <c r="AP613" t="s">
        <v>12016</v>
      </c>
      <c r="AQ613" t="s">
        <v>74</v>
      </c>
      <c r="AR613" t="s">
        <v>12017</v>
      </c>
      <c r="AS613" t="s">
        <v>12018</v>
      </c>
      <c r="AT613" t="s">
        <v>11811</v>
      </c>
      <c r="AU613">
        <v>2018</v>
      </c>
      <c r="AV613">
        <v>149</v>
      </c>
      <c r="AW613" t="s">
        <v>74</v>
      </c>
      <c r="AX613" t="s">
        <v>74</v>
      </c>
      <c r="AY613" t="s">
        <v>74</v>
      </c>
      <c r="AZ613" t="s">
        <v>508</v>
      </c>
      <c r="BA613" t="s">
        <v>74</v>
      </c>
      <c r="BB613">
        <v>182</v>
      </c>
      <c r="BC613">
        <v>192</v>
      </c>
      <c r="BD613" t="s">
        <v>74</v>
      </c>
      <c r="BE613" t="s">
        <v>12116</v>
      </c>
      <c r="BF613" t="str">
        <f>HYPERLINK("http://dx.doi.org/10.1016/j.dsr2.2017.07.007","http://dx.doi.org/10.1016/j.dsr2.2017.07.007")</f>
        <v>http://dx.doi.org/10.1016/j.dsr2.2017.07.007</v>
      </c>
      <c r="BG613" t="s">
        <v>74</v>
      </c>
      <c r="BH613" t="s">
        <v>74</v>
      </c>
      <c r="BI613">
        <v>11</v>
      </c>
      <c r="BJ613" t="s">
        <v>364</v>
      </c>
      <c r="BK613" t="s">
        <v>101</v>
      </c>
      <c r="BL613" t="s">
        <v>364</v>
      </c>
      <c r="BM613" t="s">
        <v>12020</v>
      </c>
      <c r="BN613" t="s">
        <v>74</v>
      </c>
      <c r="BO613" t="s">
        <v>74</v>
      </c>
      <c r="BP613" t="s">
        <v>74</v>
      </c>
      <c r="BQ613" t="s">
        <v>74</v>
      </c>
      <c r="BR613" t="s">
        <v>105</v>
      </c>
      <c r="BS613" t="s">
        <v>12117</v>
      </c>
      <c r="BT613" t="str">
        <f>HYPERLINK("https%3A%2F%2Fwww.webofscience.com%2Fwos%2Fwoscc%2Ffull-record%2FWOS:000437037100017","View Full Record in Web of Science")</f>
        <v>View Full Record in Web of Science</v>
      </c>
    </row>
    <row r="614" spans="1:72" x14ac:dyDescent="0.15">
      <c r="A614" t="s">
        <v>72</v>
      </c>
      <c r="B614" t="s">
        <v>12118</v>
      </c>
      <c r="C614" t="s">
        <v>74</v>
      </c>
      <c r="D614" t="s">
        <v>74</v>
      </c>
      <c r="E614" t="s">
        <v>74</v>
      </c>
      <c r="F614" t="s">
        <v>12119</v>
      </c>
      <c r="G614" t="s">
        <v>74</v>
      </c>
      <c r="H614" t="s">
        <v>74</v>
      </c>
      <c r="I614" t="s">
        <v>12120</v>
      </c>
      <c r="J614" t="s">
        <v>12002</v>
      </c>
      <c r="K614" t="s">
        <v>74</v>
      </c>
      <c r="L614" t="s">
        <v>74</v>
      </c>
      <c r="M614" t="s">
        <v>78</v>
      </c>
      <c r="N614" t="s">
        <v>79</v>
      </c>
      <c r="O614" t="s">
        <v>74</v>
      </c>
      <c r="P614" t="s">
        <v>74</v>
      </c>
      <c r="Q614" t="s">
        <v>74</v>
      </c>
      <c r="R614" t="s">
        <v>74</v>
      </c>
      <c r="S614" t="s">
        <v>74</v>
      </c>
      <c r="T614" t="s">
        <v>12121</v>
      </c>
      <c r="U614" t="s">
        <v>12122</v>
      </c>
      <c r="V614" t="s">
        <v>12123</v>
      </c>
      <c r="W614" t="s">
        <v>12124</v>
      </c>
      <c r="X614" t="s">
        <v>12125</v>
      </c>
      <c r="Y614" t="s">
        <v>12126</v>
      </c>
      <c r="Z614" t="s">
        <v>12127</v>
      </c>
      <c r="AA614" t="s">
        <v>12128</v>
      </c>
      <c r="AB614" t="s">
        <v>12129</v>
      </c>
      <c r="AC614" t="s">
        <v>12130</v>
      </c>
      <c r="AD614" t="s">
        <v>12131</v>
      </c>
      <c r="AE614" t="s">
        <v>12132</v>
      </c>
      <c r="AF614" t="s">
        <v>74</v>
      </c>
      <c r="AG614">
        <v>72</v>
      </c>
      <c r="AH614">
        <v>11</v>
      </c>
      <c r="AI614">
        <v>11</v>
      </c>
      <c r="AJ614">
        <v>1</v>
      </c>
      <c r="AK614">
        <v>9</v>
      </c>
      <c r="AL614" t="s">
        <v>277</v>
      </c>
      <c r="AM614" t="s">
        <v>278</v>
      </c>
      <c r="AN614" t="s">
        <v>279</v>
      </c>
      <c r="AO614" t="s">
        <v>12015</v>
      </c>
      <c r="AP614" t="s">
        <v>12016</v>
      </c>
      <c r="AQ614" t="s">
        <v>74</v>
      </c>
      <c r="AR614" t="s">
        <v>12017</v>
      </c>
      <c r="AS614" t="s">
        <v>12018</v>
      </c>
      <c r="AT614" t="s">
        <v>11811</v>
      </c>
      <c r="AU614">
        <v>2018</v>
      </c>
      <c r="AV614">
        <v>149</v>
      </c>
      <c r="AW614" t="s">
        <v>74</v>
      </c>
      <c r="AX614" t="s">
        <v>74</v>
      </c>
      <c r="AY614" t="s">
        <v>74</v>
      </c>
      <c r="AZ614" t="s">
        <v>508</v>
      </c>
      <c r="BA614" t="s">
        <v>74</v>
      </c>
      <c r="BB614">
        <v>206</v>
      </c>
      <c r="BC614">
        <v>217</v>
      </c>
      <c r="BD614" t="s">
        <v>74</v>
      </c>
      <c r="BE614" t="s">
        <v>12133</v>
      </c>
      <c r="BF614" t="str">
        <f>HYPERLINK("http://dx.doi.org/10.1016/j.dsr2.2018.03.003","http://dx.doi.org/10.1016/j.dsr2.2018.03.003")</f>
        <v>http://dx.doi.org/10.1016/j.dsr2.2018.03.003</v>
      </c>
      <c r="BG614" t="s">
        <v>74</v>
      </c>
      <c r="BH614" t="s">
        <v>74</v>
      </c>
      <c r="BI614">
        <v>12</v>
      </c>
      <c r="BJ614" t="s">
        <v>364</v>
      </c>
      <c r="BK614" t="s">
        <v>101</v>
      </c>
      <c r="BL614" t="s">
        <v>364</v>
      </c>
      <c r="BM614" t="s">
        <v>12020</v>
      </c>
      <c r="BN614" t="s">
        <v>74</v>
      </c>
      <c r="BO614" t="s">
        <v>74</v>
      </c>
      <c r="BP614" t="s">
        <v>74</v>
      </c>
      <c r="BQ614" t="s">
        <v>74</v>
      </c>
      <c r="BR614" t="s">
        <v>105</v>
      </c>
      <c r="BS614" t="s">
        <v>12134</v>
      </c>
      <c r="BT614" t="str">
        <f>HYPERLINK("https%3A%2F%2Fwww.webofscience.com%2Fwos%2Fwoscc%2Ffull-record%2FWOS:000437037100019","View Full Record in Web of Science")</f>
        <v>View Full Record in Web of Science</v>
      </c>
    </row>
    <row r="615" spans="1:72" x14ac:dyDescent="0.15">
      <c r="A615" t="s">
        <v>72</v>
      </c>
      <c r="B615" t="s">
        <v>12135</v>
      </c>
      <c r="C615" t="s">
        <v>74</v>
      </c>
      <c r="D615" t="s">
        <v>74</v>
      </c>
      <c r="E615" t="s">
        <v>74</v>
      </c>
      <c r="F615" t="s">
        <v>12136</v>
      </c>
      <c r="G615" t="s">
        <v>74</v>
      </c>
      <c r="H615" t="s">
        <v>74</v>
      </c>
      <c r="I615" t="s">
        <v>12137</v>
      </c>
      <c r="J615" t="s">
        <v>12138</v>
      </c>
      <c r="K615" t="s">
        <v>74</v>
      </c>
      <c r="L615" t="s">
        <v>74</v>
      </c>
      <c r="M615" t="s">
        <v>78</v>
      </c>
      <c r="N615" t="s">
        <v>79</v>
      </c>
      <c r="O615" t="s">
        <v>74</v>
      </c>
      <c r="P615" t="s">
        <v>74</v>
      </c>
      <c r="Q615" t="s">
        <v>74</v>
      </c>
      <c r="R615" t="s">
        <v>74</v>
      </c>
      <c r="S615" t="s">
        <v>74</v>
      </c>
      <c r="T615" t="s">
        <v>12139</v>
      </c>
      <c r="U615" t="s">
        <v>12140</v>
      </c>
      <c r="V615" t="s">
        <v>12141</v>
      </c>
      <c r="W615" t="s">
        <v>12142</v>
      </c>
      <c r="X615" t="s">
        <v>12143</v>
      </c>
      <c r="Y615" t="s">
        <v>12144</v>
      </c>
      <c r="Z615" t="s">
        <v>12145</v>
      </c>
      <c r="AA615" t="s">
        <v>12146</v>
      </c>
      <c r="AB615" t="s">
        <v>12147</v>
      </c>
      <c r="AC615" t="s">
        <v>12148</v>
      </c>
      <c r="AD615" t="s">
        <v>12148</v>
      </c>
      <c r="AE615" t="s">
        <v>12149</v>
      </c>
      <c r="AF615" t="s">
        <v>74</v>
      </c>
      <c r="AG615">
        <v>22</v>
      </c>
      <c r="AH615">
        <v>5</v>
      </c>
      <c r="AI615">
        <v>5</v>
      </c>
      <c r="AJ615">
        <v>1</v>
      </c>
      <c r="AK615">
        <v>29</v>
      </c>
      <c r="AL615" t="s">
        <v>12150</v>
      </c>
      <c r="AM615" t="s">
        <v>12151</v>
      </c>
      <c r="AN615" t="s">
        <v>12152</v>
      </c>
      <c r="AO615" t="s">
        <v>12153</v>
      </c>
      <c r="AP615" t="s">
        <v>12154</v>
      </c>
      <c r="AQ615" t="s">
        <v>74</v>
      </c>
      <c r="AR615" t="s">
        <v>12155</v>
      </c>
      <c r="AS615" t="s">
        <v>12156</v>
      </c>
      <c r="AT615" t="s">
        <v>11811</v>
      </c>
      <c r="AU615">
        <v>2018</v>
      </c>
      <c r="AV615">
        <v>30</v>
      </c>
      <c r="AW615">
        <v>3</v>
      </c>
      <c r="AX615" t="s">
        <v>74</v>
      </c>
      <c r="AY615" t="s">
        <v>74</v>
      </c>
      <c r="AZ615" t="s">
        <v>74</v>
      </c>
      <c r="BA615" t="s">
        <v>74</v>
      </c>
      <c r="BB615">
        <v>453</v>
      </c>
      <c r="BC615">
        <v>458</v>
      </c>
      <c r="BD615" t="s">
        <v>74</v>
      </c>
      <c r="BE615" t="s">
        <v>12157</v>
      </c>
      <c r="BF615" t="str">
        <f>HYPERLINK("http://dx.doi.org/10.1002/elan.201700772","http://dx.doi.org/10.1002/elan.201700772")</f>
        <v>http://dx.doi.org/10.1002/elan.201700772</v>
      </c>
      <c r="BG615" t="s">
        <v>74</v>
      </c>
      <c r="BH615" t="s">
        <v>74</v>
      </c>
      <c r="BI615">
        <v>6</v>
      </c>
      <c r="BJ615" t="s">
        <v>12158</v>
      </c>
      <c r="BK615" t="s">
        <v>101</v>
      </c>
      <c r="BL615" t="s">
        <v>12159</v>
      </c>
      <c r="BM615" t="s">
        <v>12160</v>
      </c>
      <c r="BN615" t="s">
        <v>74</v>
      </c>
      <c r="BO615" t="s">
        <v>74</v>
      </c>
      <c r="BP615" t="s">
        <v>74</v>
      </c>
      <c r="BQ615" t="s">
        <v>74</v>
      </c>
      <c r="BR615" t="s">
        <v>105</v>
      </c>
      <c r="BS615" t="s">
        <v>12161</v>
      </c>
      <c r="BT615" t="str">
        <f>HYPERLINK("https%3A%2F%2Fwww.webofscience.com%2Fwos%2Fwoscc%2Ffull-record%2FWOS:000427246500007","View Full Record in Web of Science")</f>
        <v>View Full Record in Web of Science</v>
      </c>
    </row>
    <row r="616" spans="1:72" x14ac:dyDescent="0.15">
      <c r="A616" t="s">
        <v>72</v>
      </c>
      <c r="B616" t="s">
        <v>12162</v>
      </c>
      <c r="C616" t="s">
        <v>74</v>
      </c>
      <c r="D616" t="s">
        <v>74</v>
      </c>
      <c r="E616" t="s">
        <v>74</v>
      </c>
      <c r="F616" t="s">
        <v>12163</v>
      </c>
      <c r="G616" t="s">
        <v>74</v>
      </c>
      <c r="H616" t="s">
        <v>74</v>
      </c>
      <c r="I616" t="s">
        <v>12164</v>
      </c>
      <c r="J616" t="s">
        <v>12165</v>
      </c>
      <c r="K616" t="s">
        <v>74</v>
      </c>
      <c r="L616" t="s">
        <v>74</v>
      </c>
      <c r="M616" t="s">
        <v>78</v>
      </c>
      <c r="N616" t="s">
        <v>79</v>
      </c>
      <c r="O616" t="s">
        <v>74</v>
      </c>
      <c r="P616" t="s">
        <v>74</v>
      </c>
      <c r="Q616" t="s">
        <v>74</v>
      </c>
      <c r="R616" t="s">
        <v>74</v>
      </c>
      <c r="S616" t="s">
        <v>74</v>
      </c>
      <c r="T616" t="s">
        <v>12166</v>
      </c>
      <c r="U616" t="s">
        <v>12167</v>
      </c>
      <c r="V616" t="s">
        <v>12168</v>
      </c>
      <c r="W616" t="s">
        <v>12169</v>
      </c>
      <c r="X616" t="s">
        <v>12170</v>
      </c>
      <c r="Y616" t="s">
        <v>12171</v>
      </c>
      <c r="Z616" t="s">
        <v>12172</v>
      </c>
      <c r="AA616" t="s">
        <v>12173</v>
      </c>
      <c r="AB616" t="s">
        <v>12174</v>
      </c>
      <c r="AC616" t="s">
        <v>12175</v>
      </c>
      <c r="AD616" t="s">
        <v>12175</v>
      </c>
      <c r="AE616" t="s">
        <v>12176</v>
      </c>
      <c r="AF616" t="s">
        <v>74</v>
      </c>
      <c r="AG616">
        <v>55</v>
      </c>
      <c r="AH616">
        <v>6</v>
      </c>
      <c r="AI616">
        <v>7</v>
      </c>
      <c r="AJ616">
        <v>0</v>
      </c>
      <c r="AK616">
        <v>35</v>
      </c>
      <c r="AL616" t="s">
        <v>91</v>
      </c>
      <c r="AM616" t="s">
        <v>92</v>
      </c>
      <c r="AN616" t="s">
        <v>93</v>
      </c>
      <c r="AO616" t="s">
        <v>12177</v>
      </c>
      <c r="AP616" t="s">
        <v>12178</v>
      </c>
      <c r="AQ616" t="s">
        <v>74</v>
      </c>
      <c r="AR616" t="s">
        <v>12179</v>
      </c>
      <c r="AS616" t="s">
        <v>2994</v>
      </c>
      <c r="AT616" t="s">
        <v>11811</v>
      </c>
      <c r="AU616">
        <v>2018</v>
      </c>
      <c r="AV616">
        <v>12</v>
      </c>
      <c r="AW616">
        <v>1</v>
      </c>
      <c r="AX616" t="s">
        <v>74</v>
      </c>
      <c r="AY616" t="s">
        <v>74</v>
      </c>
      <c r="AZ616" t="s">
        <v>74</v>
      </c>
      <c r="BA616" t="s">
        <v>74</v>
      </c>
      <c r="BB616">
        <v>52</v>
      </c>
      <c r="BC616">
        <v>62</v>
      </c>
      <c r="BD616" t="s">
        <v>74</v>
      </c>
      <c r="BE616" t="s">
        <v>12180</v>
      </c>
      <c r="BF616" t="str">
        <f>HYPERLINK("http://dx.doi.org/10.1007/s11707-017-0649-9","http://dx.doi.org/10.1007/s11707-017-0649-9")</f>
        <v>http://dx.doi.org/10.1007/s11707-017-0649-9</v>
      </c>
      <c r="BG616" t="s">
        <v>74</v>
      </c>
      <c r="BH616" t="s">
        <v>74</v>
      </c>
      <c r="BI616">
        <v>11</v>
      </c>
      <c r="BJ616" t="s">
        <v>1243</v>
      </c>
      <c r="BK616" t="s">
        <v>101</v>
      </c>
      <c r="BL616" t="s">
        <v>1181</v>
      </c>
      <c r="BM616" t="s">
        <v>12181</v>
      </c>
      <c r="BN616" t="s">
        <v>74</v>
      </c>
      <c r="BO616" t="s">
        <v>74</v>
      </c>
      <c r="BP616" t="s">
        <v>74</v>
      </c>
      <c r="BQ616" t="s">
        <v>74</v>
      </c>
      <c r="BR616" t="s">
        <v>105</v>
      </c>
      <c r="BS616" t="s">
        <v>12182</v>
      </c>
      <c r="BT616" t="str">
        <f>HYPERLINK("https%3A%2F%2Fwww.webofscience.com%2Fwos%2Fwoscc%2Ffull-record%2FWOS:000425157200005","View Full Record in Web of Science")</f>
        <v>View Full Record in Web of Science</v>
      </c>
    </row>
    <row r="617" spans="1:72" x14ac:dyDescent="0.15">
      <c r="A617" t="s">
        <v>72</v>
      </c>
      <c r="B617" t="s">
        <v>12183</v>
      </c>
      <c r="C617" t="s">
        <v>74</v>
      </c>
      <c r="D617" t="s">
        <v>74</v>
      </c>
      <c r="E617" t="s">
        <v>74</v>
      </c>
      <c r="F617" t="s">
        <v>12184</v>
      </c>
      <c r="G617" t="s">
        <v>74</v>
      </c>
      <c r="H617" t="s">
        <v>74</v>
      </c>
      <c r="I617" t="s">
        <v>12185</v>
      </c>
      <c r="J617" t="s">
        <v>12186</v>
      </c>
      <c r="K617" t="s">
        <v>74</v>
      </c>
      <c r="L617" t="s">
        <v>74</v>
      </c>
      <c r="M617" t="s">
        <v>78</v>
      </c>
      <c r="N617" t="s">
        <v>1427</v>
      </c>
      <c r="O617" t="s">
        <v>12187</v>
      </c>
      <c r="P617" t="s">
        <v>12188</v>
      </c>
      <c r="Q617" t="s">
        <v>12189</v>
      </c>
      <c r="R617" t="s">
        <v>74</v>
      </c>
      <c r="S617" t="s">
        <v>74</v>
      </c>
      <c r="T617" t="s">
        <v>12190</v>
      </c>
      <c r="U617" t="s">
        <v>12191</v>
      </c>
      <c r="V617" t="s">
        <v>12192</v>
      </c>
      <c r="W617" t="s">
        <v>12193</v>
      </c>
      <c r="X617" t="s">
        <v>12194</v>
      </c>
      <c r="Y617" t="s">
        <v>12195</v>
      </c>
      <c r="Z617" t="s">
        <v>12196</v>
      </c>
      <c r="AA617" t="s">
        <v>74</v>
      </c>
      <c r="AB617" t="s">
        <v>74</v>
      </c>
      <c r="AC617" t="s">
        <v>12197</v>
      </c>
      <c r="AD617" t="s">
        <v>12198</v>
      </c>
      <c r="AE617" t="s">
        <v>12199</v>
      </c>
      <c r="AF617" t="s">
        <v>74</v>
      </c>
      <c r="AG617">
        <v>66</v>
      </c>
      <c r="AH617">
        <v>29</v>
      </c>
      <c r="AI617">
        <v>32</v>
      </c>
      <c r="AJ617">
        <v>4</v>
      </c>
      <c r="AK617">
        <v>38</v>
      </c>
      <c r="AL617" t="s">
        <v>2815</v>
      </c>
      <c r="AM617" t="s">
        <v>2816</v>
      </c>
      <c r="AN617" t="s">
        <v>2817</v>
      </c>
      <c r="AO617" t="s">
        <v>12200</v>
      </c>
      <c r="AP617" t="s">
        <v>12201</v>
      </c>
      <c r="AQ617" t="s">
        <v>74</v>
      </c>
      <c r="AR617" t="s">
        <v>12202</v>
      </c>
      <c r="AS617" t="s">
        <v>12203</v>
      </c>
      <c r="AT617" t="s">
        <v>11841</v>
      </c>
      <c r="AU617">
        <v>2018</v>
      </c>
      <c r="AV617">
        <v>258</v>
      </c>
      <c r="AW617" t="s">
        <v>74</v>
      </c>
      <c r="AX617" t="s">
        <v>74</v>
      </c>
      <c r="AY617" t="s">
        <v>74</v>
      </c>
      <c r="AZ617" t="s">
        <v>508</v>
      </c>
      <c r="BA617" t="s">
        <v>74</v>
      </c>
      <c r="BB617">
        <v>250</v>
      </c>
      <c r="BC617">
        <v>258</v>
      </c>
      <c r="BD617" t="s">
        <v>74</v>
      </c>
      <c r="BE617" t="s">
        <v>12204</v>
      </c>
      <c r="BF617" t="str">
        <f>HYPERLINK("http://dx.doi.org/10.1016/j.ygcen.2017.05.010","http://dx.doi.org/10.1016/j.ygcen.2017.05.010")</f>
        <v>http://dx.doi.org/10.1016/j.ygcen.2017.05.010</v>
      </c>
      <c r="BG617" t="s">
        <v>74</v>
      </c>
      <c r="BH617" t="s">
        <v>74</v>
      </c>
      <c r="BI617">
        <v>9</v>
      </c>
      <c r="BJ617" t="s">
        <v>12205</v>
      </c>
      <c r="BK617" t="s">
        <v>1449</v>
      </c>
      <c r="BL617" t="s">
        <v>12205</v>
      </c>
      <c r="BM617" t="s">
        <v>12206</v>
      </c>
      <c r="BN617">
        <v>28526480</v>
      </c>
      <c r="BO617" t="s">
        <v>288</v>
      </c>
      <c r="BP617" t="s">
        <v>74</v>
      </c>
      <c r="BQ617" t="s">
        <v>74</v>
      </c>
      <c r="BR617" t="s">
        <v>105</v>
      </c>
      <c r="BS617" t="s">
        <v>12207</v>
      </c>
      <c r="BT617" t="str">
        <f>HYPERLINK("https%3A%2F%2Fwww.webofscience.com%2Fwos%2Fwoscc%2Ffull-record%2FWOS:000426026200028","View Full Record in Web of Science")</f>
        <v>View Full Record in Web of Science</v>
      </c>
    </row>
    <row r="618" spans="1:72" x14ac:dyDescent="0.15">
      <c r="A618" t="s">
        <v>72</v>
      </c>
      <c r="B618" t="s">
        <v>12208</v>
      </c>
      <c r="C618" t="s">
        <v>74</v>
      </c>
      <c r="D618" t="s">
        <v>74</v>
      </c>
      <c r="E618" t="s">
        <v>74</v>
      </c>
      <c r="F618" t="s">
        <v>12209</v>
      </c>
      <c r="G618" t="s">
        <v>74</v>
      </c>
      <c r="H618" t="s">
        <v>74</v>
      </c>
      <c r="I618" t="s">
        <v>12210</v>
      </c>
      <c r="J618" t="s">
        <v>7385</v>
      </c>
      <c r="K618" t="s">
        <v>74</v>
      </c>
      <c r="L618" t="s">
        <v>74</v>
      </c>
      <c r="M618" t="s">
        <v>78</v>
      </c>
      <c r="N618" t="s">
        <v>79</v>
      </c>
      <c r="O618" t="s">
        <v>74</v>
      </c>
      <c r="P618" t="s">
        <v>74</v>
      </c>
      <c r="Q618" t="s">
        <v>74</v>
      </c>
      <c r="R618" t="s">
        <v>74</v>
      </c>
      <c r="S618" t="s">
        <v>74</v>
      </c>
      <c r="T618" t="s">
        <v>74</v>
      </c>
      <c r="U618" t="s">
        <v>74</v>
      </c>
      <c r="V618" t="s">
        <v>12211</v>
      </c>
      <c r="W618" t="s">
        <v>12212</v>
      </c>
      <c r="X618" t="s">
        <v>12213</v>
      </c>
      <c r="Y618" t="s">
        <v>12214</v>
      </c>
      <c r="Z618" t="s">
        <v>12215</v>
      </c>
      <c r="AA618" t="s">
        <v>12216</v>
      </c>
      <c r="AB618" t="s">
        <v>12217</v>
      </c>
      <c r="AC618" t="s">
        <v>12218</v>
      </c>
      <c r="AD618" t="s">
        <v>12219</v>
      </c>
      <c r="AE618" t="s">
        <v>12220</v>
      </c>
      <c r="AF618" t="s">
        <v>74</v>
      </c>
      <c r="AG618">
        <v>9</v>
      </c>
      <c r="AH618">
        <v>5</v>
      </c>
      <c r="AI618">
        <v>5</v>
      </c>
      <c r="AJ618">
        <v>0</v>
      </c>
      <c r="AK618">
        <v>5</v>
      </c>
      <c r="AL618" t="s">
        <v>7397</v>
      </c>
      <c r="AM618" t="s">
        <v>575</v>
      </c>
      <c r="AN618" t="s">
        <v>7398</v>
      </c>
      <c r="AO618" t="s">
        <v>74</v>
      </c>
      <c r="AP618" t="s">
        <v>7399</v>
      </c>
      <c r="AQ618" t="s">
        <v>74</v>
      </c>
      <c r="AR618" t="s">
        <v>7385</v>
      </c>
      <c r="AS618" t="s">
        <v>7400</v>
      </c>
      <c r="AT618" t="s">
        <v>11811</v>
      </c>
      <c r="AU618">
        <v>2018</v>
      </c>
      <c r="AV618">
        <v>6</v>
      </c>
      <c r="AW618">
        <v>10</v>
      </c>
      <c r="AX618" t="s">
        <v>74</v>
      </c>
      <c r="AY618" t="s">
        <v>74</v>
      </c>
      <c r="AZ618" t="s">
        <v>74</v>
      </c>
      <c r="BA618" t="s">
        <v>74</v>
      </c>
      <c r="BB618" t="s">
        <v>74</v>
      </c>
      <c r="BC618" t="s">
        <v>74</v>
      </c>
      <c r="BD618" t="s">
        <v>12221</v>
      </c>
      <c r="BE618" t="s">
        <v>12222</v>
      </c>
      <c r="BF618" t="str">
        <f>HYPERLINK("http://dx.doi.org/10.1128/genomeA.00145-18","http://dx.doi.org/10.1128/genomeA.00145-18")</f>
        <v>http://dx.doi.org/10.1128/genomeA.00145-18</v>
      </c>
      <c r="BG618" t="s">
        <v>74</v>
      </c>
      <c r="BH618" t="s">
        <v>74</v>
      </c>
      <c r="BI618">
        <v>2</v>
      </c>
      <c r="BJ618" t="s">
        <v>510</v>
      </c>
      <c r="BK618" t="s">
        <v>261</v>
      </c>
      <c r="BL618" t="s">
        <v>510</v>
      </c>
      <c r="BM618" t="s">
        <v>12223</v>
      </c>
      <c r="BN618">
        <v>29519839</v>
      </c>
      <c r="BO618" t="s">
        <v>764</v>
      </c>
      <c r="BP618" t="s">
        <v>74</v>
      </c>
      <c r="BQ618" t="s">
        <v>74</v>
      </c>
      <c r="BR618" t="s">
        <v>105</v>
      </c>
      <c r="BS618" t="s">
        <v>12224</v>
      </c>
      <c r="BT618" t="str">
        <f>HYPERLINK("https%3A%2F%2Fwww.webofscience.com%2Fwos%2Fwoscc%2Ffull-record%2FWOS:000452324500021","View Full Record in Web of Science")</f>
        <v>View Full Record in Web of Science</v>
      </c>
    </row>
    <row r="619" spans="1:72" x14ac:dyDescent="0.15">
      <c r="A619" t="s">
        <v>72</v>
      </c>
      <c r="B619" t="s">
        <v>12225</v>
      </c>
      <c r="C619" t="s">
        <v>74</v>
      </c>
      <c r="D619" t="s">
        <v>74</v>
      </c>
      <c r="E619" t="s">
        <v>74</v>
      </c>
      <c r="F619" t="s">
        <v>12226</v>
      </c>
      <c r="G619" t="s">
        <v>74</v>
      </c>
      <c r="H619" t="s">
        <v>74</v>
      </c>
      <c r="I619" t="s">
        <v>12227</v>
      </c>
      <c r="J619" t="s">
        <v>1297</v>
      </c>
      <c r="K619" t="s">
        <v>74</v>
      </c>
      <c r="L619" t="s">
        <v>74</v>
      </c>
      <c r="M619" t="s">
        <v>78</v>
      </c>
      <c r="N619" t="s">
        <v>79</v>
      </c>
      <c r="O619" t="s">
        <v>74</v>
      </c>
      <c r="P619" t="s">
        <v>74</v>
      </c>
      <c r="Q619" t="s">
        <v>74</v>
      </c>
      <c r="R619" t="s">
        <v>74</v>
      </c>
      <c r="S619" t="s">
        <v>74</v>
      </c>
      <c r="T619" t="s">
        <v>12228</v>
      </c>
      <c r="U619" t="s">
        <v>12229</v>
      </c>
      <c r="V619" t="s">
        <v>12230</v>
      </c>
      <c r="W619" t="s">
        <v>12231</v>
      </c>
      <c r="X619" t="s">
        <v>12232</v>
      </c>
      <c r="Y619" t="s">
        <v>12233</v>
      </c>
      <c r="Z619" t="s">
        <v>12234</v>
      </c>
      <c r="AA619" t="s">
        <v>12235</v>
      </c>
      <c r="AB619" t="s">
        <v>12236</v>
      </c>
      <c r="AC619" t="s">
        <v>12237</v>
      </c>
      <c r="AD619" t="s">
        <v>12238</v>
      </c>
      <c r="AE619" t="s">
        <v>12239</v>
      </c>
      <c r="AF619" t="s">
        <v>74</v>
      </c>
      <c r="AG619">
        <v>94</v>
      </c>
      <c r="AH619">
        <v>41</v>
      </c>
      <c r="AI619">
        <v>51</v>
      </c>
      <c r="AJ619">
        <v>1</v>
      </c>
      <c r="AK619">
        <v>24</v>
      </c>
      <c r="AL619" t="s">
        <v>277</v>
      </c>
      <c r="AM619" t="s">
        <v>278</v>
      </c>
      <c r="AN619" t="s">
        <v>279</v>
      </c>
      <c r="AO619" t="s">
        <v>1310</v>
      </c>
      <c r="AP619" t="s">
        <v>1311</v>
      </c>
      <c r="AQ619" t="s">
        <v>74</v>
      </c>
      <c r="AR619" t="s">
        <v>1312</v>
      </c>
      <c r="AS619" t="s">
        <v>1313</v>
      </c>
      <c r="AT619" t="s">
        <v>11841</v>
      </c>
      <c r="AU619">
        <v>2018</v>
      </c>
      <c r="AV619">
        <v>224</v>
      </c>
      <c r="AW619" t="s">
        <v>74</v>
      </c>
      <c r="AX619" t="s">
        <v>74</v>
      </c>
      <c r="AY619" t="s">
        <v>74</v>
      </c>
      <c r="AZ619" t="s">
        <v>74</v>
      </c>
      <c r="BA619" t="s">
        <v>74</v>
      </c>
      <c r="BB619">
        <v>154</v>
      </c>
      <c r="BC619">
        <v>170</v>
      </c>
      <c r="BD619" t="s">
        <v>74</v>
      </c>
      <c r="BE619" t="s">
        <v>12240</v>
      </c>
      <c r="BF619" t="str">
        <f>HYPERLINK("http://dx.doi.org/10.1016/j.gca.2018.01.002","http://dx.doi.org/10.1016/j.gca.2018.01.002")</f>
        <v>http://dx.doi.org/10.1016/j.gca.2018.01.002</v>
      </c>
      <c r="BG619" t="s">
        <v>74</v>
      </c>
      <c r="BH619" t="s">
        <v>74</v>
      </c>
      <c r="BI619">
        <v>17</v>
      </c>
      <c r="BJ619" t="s">
        <v>260</v>
      </c>
      <c r="BK619" t="s">
        <v>101</v>
      </c>
      <c r="BL619" t="s">
        <v>260</v>
      </c>
      <c r="BM619" t="s">
        <v>12241</v>
      </c>
      <c r="BN619" t="s">
        <v>74</v>
      </c>
      <c r="BO619" t="s">
        <v>74</v>
      </c>
      <c r="BP619" t="s">
        <v>74</v>
      </c>
      <c r="BQ619" t="s">
        <v>74</v>
      </c>
      <c r="BR619" t="s">
        <v>105</v>
      </c>
      <c r="BS619" t="s">
        <v>12242</v>
      </c>
      <c r="BT619" t="str">
        <f>HYPERLINK("https%3A%2F%2Fwww.webofscience.com%2Fwos%2Fwoscc%2Ffull-record%2FWOS:000424973700009","View Full Record in Web of Science")</f>
        <v>View Full Record in Web of Science</v>
      </c>
    </row>
    <row r="620" spans="1:72" x14ac:dyDescent="0.15">
      <c r="A620" t="s">
        <v>72</v>
      </c>
      <c r="B620" t="s">
        <v>12243</v>
      </c>
      <c r="C620" t="s">
        <v>74</v>
      </c>
      <c r="D620" t="s">
        <v>74</v>
      </c>
      <c r="E620" t="s">
        <v>74</v>
      </c>
      <c r="F620" t="s">
        <v>12244</v>
      </c>
      <c r="G620" t="s">
        <v>74</v>
      </c>
      <c r="H620" t="s">
        <v>74</v>
      </c>
      <c r="I620" t="s">
        <v>12245</v>
      </c>
      <c r="J620" t="s">
        <v>12246</v>
      </c>
      <c r="K620" t="s">
        <v>74</v>
      </c>
      <c r="L620" t="s">
        <v>74</v>
      </c>
      <c r="M620" t="s">
        <v>78</v>
      </c>
      <c r="N620" t="s">
        <v>79</v>
      </c>
      <c r="O620" t="s">
        <v>74</v>
      </c>
      <c r="P620" t="s">
        <v>74</v>
      </c>
      <c r="Q620" t="s">
        <v>74</v>
      </c>
      <c r="R620" t="s">
        <v>74</v>
      </c>
      <c r="S620" t="s">
        <v>74</v>
      </c>
      <c r="T620" t="s">
        <v>12247</v>
      </c>
      <c r="U620" t="s">
        <v>12248</v>
      </c>
      <c r="V620" t="s">
        <v>12249</v>
      </c>
      <c r="W620" t="s">
        <v>12250</v>
      </c>
      <c r="X620" t="s">
        <v>12251</v>
      </c>
      <c r="Y620" t="s">
        <v>12252</v>
      </c>
      <c r="Z620" t="s">
        <v>12253</v>
      </c>
      <c r="AA620" t="s">
        <v>74</v>
      </c>
      <c r="AB620" t="s">
        <v>74</v>
      </c>
      <c r="AC620" t="s">
        <v>12254</v>
      </c>
      <c r="AD620" t="s">
        <v>12254</v>
      </c>
      <c r="AE620" t="s">
        <v>12255</v>
      </c>
      <c r="AF620" t="s">
        <v>74</v>
      </c>
      <c r="AG620">
        <v>29</v>
      </c>
      <c r="AH620">
        <v>7</v>
      </c>
      <c r="AI620">
        <v>9</v>
      </c>
      <c r="AJ620">
        <v>3</v>
      </c>
      <c r="AK620">
        <v>25</v>
      </c>
      <c r="AL620" t="s">
        <v>91</v>
      </c>
      <c r="AM620" t="s">
        <v>92</v>
      </c>
      <c r="AN620" t="s">
        <v>93</v>
      </c>
      <c r="AO620" t="s">
        <v>12256</v>
      </c>
      <c r="AP620" t="s">
        <v>12257</v>
      </c>
      <c r="AQ620" t="s">
        <v>74</v>
      </c>
      <c r="AR620" t="s">
        <v>12258</v>
      </c>
      <c r="AS620" t="s">
        <v>12259</v>
      </c>
      <c r="AT620" t="s">
        <v>11811</v>
      </c>
      <c r="AU620">
        <v>2018</v>
      </c>
      <c r="AV620">
        <v>15</v>
      </c>
      <c r="AW620">
        <v>3</v>
      </c>
      <c r="AX620" t="s">
        <v>74</v>
      </c>
      <c r="AY620" t="s">
        <v>74</v>
      </c>
      <c r="AZ620" t="s">
        <v>74</v>
      </c>
      <c r="BA620" t="s">
        <v>74</v>
      </c>
      <c r="BB620">
        <v>533</v>
      </c>
      <c r="BC620">
        <v>542</v>
      </c>
      <c r="BD620" t="s">
        <v>74</v>
      </c>
      <c r="BE620" t="s">
        <v>12260</v>
      </c>
      <c r="BF620" t="str">
        <f>HYPERLINK("http://dx.doi.org/10.1007/s13762-017-1412-1","http://dx.doi.org/10.1007/s13762-017-1412-1")</f>
        <v>http://dx.doi.org/10.1007/s13762-017-1412-1</v>
      </c>
      <c r="BG620" t="s">
        <v>74</v>
      </c>
      <c r="BH620" t="s">
        <v>74</v>
      </c>
      <c r="BI620">
        <v>10</v>
      </c>
      <c r="BJ620" t="s">
        <v>921</v>
      </c>
      <c r="BK620" t="s">
        <v>101</v>
      </c>
      <c r="BL620" t="s">
        <v>315</v>
      </c>
      <c r="BM620" t="s">
        <v>12261</v>
      </c>
      <c r="BN620" t="s">
        <v>74</v>
      </c>
      <c r="BO620" t="s">
        <v>74</v>
      </c>
      <c r="BP620" t="s">
        <v>74</v>
      </c>
      <c r="BQ620" t="s">
        <v>74</v>
      </c>
      <c r="BR620" t="s">
        <v>105</v>
      </c>
      <c r="BS620" t="s">
        <v>12262</v>
      </c>
      <c r="BT620" t="str">
        <f>HYPERLINK("https%3A%2F%2Fwww.webofscience.com%2Fwos%2Fwoscc%2Ffull-record%2FWOS:000427115800006","View Full Record in Web of Science")</f>
        <v>View Full Record in Web of Science</v>
      </c>
    </row>
    <row r="621" spans="1:72" x14ac:dyDescent="0.15">
      <c r="A621" t="s">
        <v>72</v>
      </c>
      <c r="B621" t="s">
        <v>12263</v>
      </c>
      <c r="C621" t="s">
        <v>74</v>
      </c>
      <c r="D621" t="s">
        <v>74</v>
      </c>
      <c r="E621" t="s">
        <v>74</v>
      </c>
      <c r="F621" t="s">
        <v>12264</v>
      </c>
      <c r="G621" t="s">
        <v>74</v>
      </c>
      <c r="H621" t="s">
        <v>74</v>
      </c>
      <c r="I621" t="s">
        <v>12265</v>
      </c>
      <c r="J621" t="s">
        <v>138</v>
      </c>
      <c r="K621" t="s">
        <v>74</v>
      </c>
      <c r="L621" t="s">
        <v>74</v>
      </c>
      <c r="M621" t="s">
        <v>78</v>
      </c>
      <c r="N621" t="s">
        <v>79</v>
      </c>
      <c r="O621" t="s">
        <v>74</v>
      </c>
      <c r="P621" t="s">
        <v>74</v>
      </c>
      <c r="Q621" t="s">
        <v>74</v>
      </c>
      <c r="R621" t="s">
        <v>74</v>
      </c>
      <c r="S621" t="s">
        <v>74</v>
      </c>
      <c r="T621" t="s">
        <v>12266</v>
      </c>
      <c r="U621" t="s">
        <v>12267</v>
      </c>
      <c r="V621" t="s">
        <v>12268</v>
      </c>
      <c r="W621" t="s">
        <v>12269</v>
      </c>
      <c r="X621" t="s">
        <v>12270</v>
      </c>
      <c r="Y621" t="s">
        <v>12271</v>
      </c>
      <c r="Z621" t="s">
        <v>12272</v>
      </c>
      <c r="AA621" t="s">
        <v>12273</v>
      </c>
      <c r="AB621" t="s">
        <v>12274</v>
      </c>
      <c r="AC621" t="s">
        <v>12275</v>
      </c>
      <c r="AD621" t="s">
        <v>12276</v>
      </c>
      <c r="AE621" t="s">
        <v>12277</v>
      </c>
      <c r="AF621" t="s">
        <v>74</v>
      </c>
      <c r="AG621">
        <v>61</v>
      </c>
      <c r="AH621">
        <v>2</v>
      </c>
      <c r="AI621">
        <v>2</v>
      </c>
      <c r="AJ621">
        <v>2</v>
      </c>
      <c r="AK621">
        <v>8</v>
      </c>
      <c r="AL621" t="s">
        <v>151</v>
      </c>
      <c r="AM621" t="s">
        <v>152</v>
      </c>
      <c r="AN621" t="s">
        <v>153</v>
      </c>
      <c r="AO621" t="s">
        <v>12278</v>
      </c>
      <c r="AP621" t="s">
        <v>155</v>
      </c>
      <c r="AQ621" t="s">
        <v>74</v>
      </c>
      <c r="AR621" t="s">
        <v>156</v>
      </c>
      <c r="AS621" t="s">
        <v>157</v>
      </c>
      <c r="AT621" t="s">
        <v>11811</v>
      </c>
      <c r="AU621">
        <v>2018</v>
      </c>
      <c r="AV621">
        <v>127</v>
      </c>
      <c r="AW621">
        <v>2</v>
      </c>
      <c r="AX621" t="s">
        <v>74</v>
      </c>
      <c r="AY621" t="s">
        <v>74</v>
      </c>
      <c r="AZ621" t="s">
        <v>74</v>
      </c>
      <c r="BA621" t="s">
        <v>74</v>
      </c>
      <c r="BB621" t="s">
        <v>74</v>
      </c>
      <c r="BC621" t="s">
        <v>74</v>
      </c>
      <c r="BD621">
        <v>28</v>
      </c>
      <c r="BE621" t="s">
        <v>12279</v>
      </c>
      <c r="BF621" t="str">
        <f>HYPERLINK("http://dx.doi.org/10.1007/s12040-018-0930-7","http://dx.doi.org/10.1007/s12040-018-0930-7")</f>
        <v>http://dx.doi.org/10.1007/s12040-018-0930-7</v>
      </c>
      <c r="BG621" t="s">
        <v>74</v>
      </c>
      <c r="BH621" t="s">
        <v>74</v>
      </c>
      <c r="BI621">
        <v>18</v>
      </c>
      <c r="BJ621" t="s">
        <v>159</v>
      </c>
      <c r="BK621" t="s">
        <v>101</v>
      </c>
      <c r="BL621" t="s">
        <v>160</v>
      </c>
      <c r="BM621" t="s">
        <v>12280</v>
      </c>
      <c r="BN621" t="s">
        <v>74</v>
      </c>
      <c r="BO621" t="s">
        <v>162</v>
      </c>
      <c r="BP621" t="s">
        <v>74</v>
      </c>
      <c r="BQ621" t="s">
        <v>74</v>
      </c>
      <c r="BR621" t="s">
        <v>105</v>
      </c>
      <c r="BS621" t="s">
        <v>12281</v>
      </c>
      <c r="BT621" t="str">
        <f>HYPERLINK("https%3A%2F%2Fwww.webofscience.com%2Fwos%2Fwoscc%2Ffull-record%2FWOS:000428310600015","View Full Record in Web of Science")</f>
        <v>View Full Record in Web of Science</v>
      </c>
    </row>
    <row r="622" spans="1:72" x14ac:dyDescent="0.15">
      <c r="A622" t="s">
        <v>72</v>
      </c>
      <c r="B622" t="s">
        <v>12282</v>
      </c>
      <c r="C622" t="s">
        <v>74</v>
      </c>
      <c r="D622" t="s">
        <v>74</v>
      </c>
      <c r="E622" t="s">
        <v>74</v>
      </c>
      <c r="F622" t="s">
        <v>12283</v>
      </c>
      <c r="G622" t="s">
        <v>74</v>
      </c>
      <c r="H622" t="s">
        <v>74</v>
      </c>
      <c r="I622" t="s">
        <v>12284</v>
      </c>
      <c r="J622" t="s">
        <v>3633</v>
      </c>
      <c r="K622" t="s">
        <v>74</v>
      </c>
      <c r="L622" t="s">
        <v>74</v>
      </c>
      <c r="M622" t="s">
        <v>78</v>
      </c>
      <c r="N622" t="s">
        <v>79</v>
      </c>
      <c r="O622" t="s">
        <v>74</v>
      </c>
      <c r="P622" t="s">
        <v>74</v>
      </c>
      <c r="Q622" t="s">
        <v>74</v>
      </c>
      <c r="R622" t="s">
        <v>74</v>
      </c>
      <c r="S622" t="s">
        <v>74</v>
      </c>
      <c r="T622" t="s">
        <v>12285</v>
      </c>
      <c r="U622" t="s">
        <v>12286</v>
      </c>
      <c r="V622" t="s">
        <v>12287</v>
      </c>
      <c r="W622" t="s">
        <v>12288</v>
      </c>
      <c r="X622" t="s">
        <v>12289</v>
      </c>
      <c r="Y622" t="s">
        <v>12290</v>
      </c>
      <c r="Z622" t="s">
        <v>12291</v>
      </c>
      <c r="AA622" t="s">
        <v>12292</v>
      </c>
      <c r="AB622" t="s">
        <v>12293</v>
      </c>
      <c r="AC622" t="s">
        <v>12294</v>
      </c>
      <c r="AD622" t="s">
        <v>12295</v>
      </c>
      <c r="AE622" t="s">
        <v>12296</v>
      </c>
      <c r="AF622" t="s">
        <v>74</v>
      </c>
      <c r="AG622">
        <v>81</v>
      </c>
      <c r="AH622">
        <v>51</v>
      </c>
      <c r="AI622">
        <v>58</v>
      </c>
      <c r="AJ622">
        <v>3</v>
      </c>
      <c r="AK622">
        <v>36</v>
      </c>
      <c r="AL622" t="s">
        <v>574</v>
      </c>
      <c r="AM622" t="s">
        <v>575</v>
      </c>
      <c r="AN622" t="s">
        <v>576</v>
      </c>
      <c r="AO622" t="s">
        <v>3646</v>
      </c>
      <c r="AP622" t="s">
        <v>3647</v>
      </c>
      <c r="AQ622" t="s">
        <v>74</v>
      </c>
      <c r="AR622" t="s">
        <v>3648</v>
      </c>
      <c r="AS622" t="s">
        <v>3649</v>
      </c>
      <c r="AT622" t="s">
        <v>11811</v>
      </c>
      <c r="AU622">
        <v>2018</v>
      </c>
      <c r="AV622">
        <v>123</v>
      </c>
      <c r="AW622">
        <v>3</v>
      </c>
      <c r="AX622" t="s">
        <v>74</v>
      </c>
      <c r="AY622" t="s">
        <v>74</v>
      </c>
      <c r="AZ622" t="s">
        <v>74</v>
      </c>
      <c r="BA622" t="s">
        <v>74</v>
      </c>
      <c r="BB622">
        <v>410</v>
      </c>
      <c r="BC622">
        <v>432</v>
      </c>
      <c r="BD622" t="s">
        <v>74</v>
      </c>
      <c r="BE622" t="s">
        <v>12297</v>
      </c>
      <c r="BF622" t="str">
        <f>HYPERLINK("http://dx.doi.org/10.1002/2017JF004349","http://dx.doi.org/10.1002/2017JF004349")</f>
        <v>http://dx.doi.org/10.1002/2017JF004349</v>
      </c>
      <c r="BG622" t="s">
        <v>74</v>
      </c>
      <c r="BH622" t="s">
        <v>74</v>
      </c>
      <c r="BI622">
        <v>23</v>
      </c>
      <c r="BJ622" t="s">
        <v>1243</v>
      </c>
      <c r="BK622" t="s">
        <v>101</v>
      </c>
      <c r="BL622" t="s">
        <v>1181</v>
      </c>
      <c r="BM622" t="s">
        <v>12298</v>
      </c>
      <c r="BN622" t="s">
        <v>74</v>
      </c>
      <c r="BO622" t="s">
        <v>980</v>
      </c>
      <c r="BP622" t="s">
        <v>74</v>
      </c>
      <c r="BQ622" t="s">
        <v>74</v>
      </c>
      <c r="BR622" t="s">
        <v>105</v>
      </c>
      <c r="BS622" t="s">
        <v>12299</v>
      </c>
      <c r="BT622" t="str">
        <f>HYPERLINK("https%3A%2F%2Fwww.webofscience.com%2Fwos%2Fwoscc%2Ffull-record%2FWOS:000430649400001","View Full Record in Web of Science")</f>
        <v>View Full Record in Web of Science</v>
      </c>
    </row>
    <row r="623" spans="1:72" x14ac:dyDescent="0.15">
      <c r="A623" t="s">
        <v>72</v>
      </c>
      <c r="B623" t="s">
        <v>12300</v>
      </c>
      <c r="C623" t="s">
        <v>74</v>
      </c>
      <c r="D623" t="s">
        <v>74</v>
      </c>
      <c r="E623" t="s">
        <v>74</v>
      </c>
      <c r="F623" t="s">
        <v>12301</v>
      </c>
      <c r="G623" t="s">
        <v>74</v>
      </c>
      <c r="H623" t="s">
        <v>74</v>
      </c>
      <c r="I623" t="s">
        <v>12302</v>
      </c>
      <c r="J623" t="s">
        <v>3656</v>
      </c>
      <c r="K623" t="s">
        <v>74</v>
      </c>
      <c r="L623" t="s">
        <v>74</v>
      </c>
      <c r="M623" t="s">
        <v>78</v>
      </c>
      <c r="N623" t="s">
        <v>79</v>
      </c>
      <c r="O623" t="s">
        <v>74</v>
      </c>
      <c r="P623" t="s">
        <v>74</v>
      </c>
      <c r="Q623" t="s">
        <v>74</v>
      </c>
      <c r="R623" t="s">
        <v>74</v>
      </c>
      <c r="S623" t="s">
        <v>74</v>
      </c>
      <c r="T623" t="s">
        <v>12303</v>
      </c>
      <c r="U623" t="s">
        <v>12304</v>
      </c>
      <c r="V623" t="s">
        <v>12305</v>
      </c>
      <c r="W623" t="s">
        <v>12306</v>
      </c>
      <c r="X623" t="s">
        <v>12307</v>
      </c>
      <c r="Y623" t="s">
        <v>12308</v>
      </c>
      <c r="Z623" t="s">
        <v>12309</v>
      </c>
      <c r="AA623" t="s">
        <v>12310</v>
      </c>
      <c r="AB623" t="s">
        <v>12311</v>
      </c>
      <c r="AC623" t="s">
        <v>12312</v>
      </c>
      <c r="AD623" t="s">
        <v>12313</v>
      </c>
      <c r="AE623" t="s">
        <v>12314</v>
      </c>
      <c r="AF623" t="s">
        <v>74</v>
      </c>
      <c r="AG623">
        <v>50</v>
      </c>
      <c r="AH623">
        <v>3</v>
      </c>
      <c r="AI623">
        <v>4</v>
      </c>
      <c r="AJ623">
        <v>0</v>
      </c>
      <c r="AK623">
        <v>8</v>
      </c>
      <c r="AL623" t="s">
        <v>574</v>
      </c>
      <c r="AM623" t="s">
        <v>575</v>
      </c>
      <c r="AN623" t="s">
        <v>576</v>
      </c>
      <c r="AO623" t="s">
        <v>3669</v>
      </c>
      <c r="AP623" t="s">
        <v>3670</v>
      </c>
      <c r="AQ623" t="s">
        <v>74</v>
      </c>
      <c r="AR623" t="s">
        <v>3671</v>
      </c>
      <c r="AS623" t="s">
        <v>3672</v>
      </c>
      <c r="AT623" t="s">
        <v>11811</v>
      </c>
      <c r="AU623">
        <v>2018</v>
      </c>
      <c r="AV623">
        <v>123</v>
      </c>
      <c r="AW623">
        <v>3</v>
      </c>
      <c r="AX623" t="s">
        <v>74</v>
      </c>
      <c r="AY623" t="s">
        <v>74</v>
      </c>
      <c r="AZ623" t="s">
        <v>74</v>
      </c>
      <c r="BA623" t="s">
        <v>74</v>
      </c>
      <c r="BB623">
        <v>2305</v>
      </c>
      <c r="BC623">
        <v>2314</v>
      </c>
      <c r="BD623" t="s">
        <v>74</v>
      </c>
      <c r="BE623" t="s">
        <v>12315</v>
      </c>
      <c r="BF623" t="str">
        <f>HYPERLINK("http://dx.doi.org/10.1002/2017JC013742","http://dx.doi.org/10.1002/2017JC013742")</f>
        <v>http://dx.doi.org/10.1002/2017JC013742</v>
      </c>
      <c r="BG623" t="s">
        <v>74</v>
      </c>
      <c r="BH623" t="s">
        <v>74</v>
      </c>
      <c r="BI623">
        <v>10</v>
      </c>
      <c r="BJ623" t="s">
        <v>364</v>
      </c>
      <c r="BK623" t="s">
        <v>101</v>
      </c>
      <c r="BL623" t="s">
        <v>364</v>
      </c>
      <c r="BM623" t="s">
        <v>12316</v>
      </c>
      <c r="BN623" t="s">
        <v>74</v>
      </c>
      <c r="BO623" t="s">
        <v>980</v>
      </c>
      <c r="BP623" t="s">
        <v>74</v>
      </c>
      <c r="BQ623" t="s">
        <v>74</v>
      </c>
      <c r="BR623" t="s">
        <v>105</v>
      </c>
      <c r="BS623" t="s">
        <v>12317</v>
      </c>
      <c r="BT623" t="str">
        <f>HYPERLINK("https%3A%2F%2Fwww.webofscience.com%2Fwos%2Fwoscc%2Ffull-record%2FWOS:000430918500041","View Full Record in Web of Science")</f>
        <v>View Full Record in Web of Science</v>
      </c>
    </row>
    <row r="624" spans="1:72" x14ac:dyDescent="0.15">
      <c r="A624" t="s">
        <v>72</v>
      </c>
      <c r="B624" t="s">
        <v>12318</v>
      </c>
      <c r="C624" t="s">
        <v>74</v>
      </c>
      <c r="D624" t="s">
        <v>74</v>
      </c>
      <c r="E624" t="s">
        <v>74</v>
      </c>
      <c r="F624" t="s">
        <v>12319</v>
      </c>
      <c r="G624" t="s">
        <v>74</v>
      </c>
      <c r="H624" t="s">
        <v>74</v>
      </c>
      <c r="I624" t="s">
        <v>12320</v>
      </c>
      <c r="J624" t="s">
        <v>561</v>
      </c>
      <c r="K624" t="s">
        <v>74</v>
      </c>
      <c r="L624" t="s">
        <v>74</v>
      </c>
      <c r="M624" t="s">
        <v>78</v>
      </c>
      <c r="N624" t="s">
        <v>79</v>
      </c>
      <c r="O624" t="s">
        <v>74</v>
      </c>
      <c r="P624" t="s">
        <v>74</v>
      </c>
      <c r="Q624" t="s">
        <v>74</v>
      </c>
      <c r="R624" t="s">
        <v>74</v>
      </c>
      <c r="S624" t="s">
        <v>74</v>
      </c>
      <c r="T624" t="s">
        <v>12321</v>
      </c>
      <c r="U624" t="s">
        <v>12322</v>
      </c>
      <c r="V624" t="s">
        <v>12323</v>
      </c>
      <c r="W624" t="s">
        <v>12324</v>
      </c>
      <c r="X624" t="s">
        <v>12325</v>
      </c>
      <c r="Y624" t="s">
        <v>12326</v>
      </c>
      <c r="Z624" t="s">
        <v>12327</v>
      </c>
      <c r="AA624" t="s">
        <v>12328</v>
      </c>
      <c r="AB624" t="s">
        <v>12329</v>
      </c>
      <c r="AC624" t="s">
        <v>12330</v>
      </c>
      <c r="AD624" t="s">
        <v>12331</v>
      </c>
      <c r="AE624" t="s">
        <v>12332</v>
      </c>
      <c r="AF624" t="s">
        <v>74</v>
      </c>
      <c r="AG624">
        <v>76</v>
      </c>
      <c r="AH624">
        <v>20</v>
      </c>
      <c r="AI624">
        <v>20</v>
      </c>
      <c r="AJ624">
        <v>1</v>
      </c>
      <c r="AK624">
        <v>11</v>
      </c>
      <c r="AL624" t="s">
        <v>574</v>
      </c>
      <c r="AM624" t="s">
        <v>575</v>
      </c>
      <c r="AN624" t="s">
        <v>576</v>
      </c>
      <c r="AO624" t="s">
        <v>577</v>
      </c>
      <c r="AP624" t="s">
        <v>578</v>
      </c>
      <c r="AQ624" t="s">
        <v>74</v>
      </c>
      <c r="AR624" t="s">
        <v>579</v>
      </c>
      <c r="AS624" t="s">
        <v>580</v>
      </c>
      <c r="AT624" t="s">
        <v>11811</v>
      </c>
      <c r="AU624">
        <v>2018</v>
      </c>
      <c r="AV624">
        <v>123</v>
      </c>
      <c r="AW624">
        <v>3</v>
      </c>
      <c r="AX624" t="s">
        <v>74</v>
      </c>
      <c r="AY624" t="s">
        <v>74</v>
      </c>
      <c r="AZ624" t="s">
        <v>74</v>
      </c>
      <c r="BA624" t="s">
        <v>74</v>
      </c>
      <c r="BB624">
        <v>2127</v>
      </c>
      <c r="BC624">
        <v>2140</v>
      </c>
      <c r="BD624" t="s">
        <v>74</v>
      </c>
      <c r="BE624" t="s">
        <v>12333</v>
      </c>
      <c r="BF624" t="str">
        <f>HYPERLINK("http://dx.doi.org/10.1002/2017JA024839","http://dx.doi.org/10.1002/2017JA024839")</f>
        <v>http://dx.doi.org/10.1002/2017JA024839</v>
      </c>
      <c r="BG624" t="s">
        <v>74</v>
      </c>
      <c r="BH624" t="s">
        <v>74</v>
      </c>
      <c r="BI624">
        <v>14</v>
      </c>
      <c r="BJ624" t="s">
        <v>582</v>
      </c>
      <c r="BK624" t="s">
        <v>101</v>
      </c>
      <c r="BL624" t="s">
        <v>582</v>
      </c>
      <c r="BM624" t="s">
        <v>12334</v>
      </c>
      <c r="BN624" t="s">
        <v>74</v>
      </c>
      <c r="BO624" t="s">
        <v>162</v>
      </c>
      <c r="BP624" t="s">
        <v>74</v>
      </c>
      <c r="BQ624" t="s">
        <v>74</v>
      </c>
      <c r="BR624" t="s">
        <v>105</v>
      </c>
      <c r="BS624" t="s">
        <v>12335</v>
      </c>
      <c r="BT624" t="str">
        <f>HYPERLINK("https%3A%2F%2Fwww.webofscience.com%2Fwos%2Fwoscc%2Ffull-record%2FWOS:000430125300030","View Full Record in Web of Science")</f>
        <v>View Full Record in Web of Science</v>
      </c>
    </row>
    <row r="625" spans="1:72" x14ac:dyDescent="0.15">
      <c r="A625" t="s">
        <v>72</v>
      </c>
      <c r="B625" t="s">
        <v>12336</v>
      </c>
      <c r="C625" t="s">
        <v>74</v>
      </c>
      <c r="D625" t="s">
        <v>74</v>
      </c>
      <c r="E625" t="s">
        <v>74</v>
      </c>
      <c r="F625" t="s">
        <v>12337</v>
      </c>
      <c r="G625" t="s">
        <v>74</v>
      </c>
      <c r="H625" t="s">
        <v>74</v>
      </c>
      <c r="I625" t="s">
        <v>12338</v>
      </c>
      <c r="J625" t="s">
        <v>4592</v>
      </c>
      <c r="K625" t="s">
        <v>74</v>
      </c>
      <c r="L625" t="s">
        <v>74</v>
      </c>
      <c r="M625" t="s">
        <v>78</v>
      </c>
      <c r="N625" t="s">
        <v>79</v>
      </c>
      <c r="O625" t="s">
        <v>74</v>
      </c>
      <c r="P625" t="s">
        <v>74</v>
      </c>
      <c r="Q625" t="s">
        <v>74</v>
      </c>
      <c r="R625" t="s">
        <v>74</v>
      </c>
      <c r="S625" t="s">
        <v>74</v>
      </c>
      <c r="T625" t="s">
        <v>12339</v>
      </c>
      <c r="U625" t="s">
        <v>12340</v>
      </c>
      <c r="V625" t="s">
        <v>12341</v>
      </c>
      <c r="W625" t="s">
        <v>12342</v>
      </c>
      <c r="X625" t="s">
        <v>12343</v>
      </c>
      <c r="Y625" t="s">
        <v>12344</v>
      </c>
      <c r="Z625" t="s">
        <v>12345</v>
      </c>
      <c r="AA625" t="s">
        <v>12346</v>
      </c>
      <c r="AB625" t="s">
        <v>74</v>
      </c>
      <c r="AC625" t="s">
        <v>12347</v>
      </c>
      <c r="AD625" t="s">
        <v>12348</v>
      </c>
      <c r="AE625" t="s">
        <v>12349</v>
      </c>
      <c r="AF625" t="s">
        <v>74</v>
      </c>
      <c r="AG625">
        <v>21</v>
      </c>
      <c r="AH625">
        <v>5</v>
      </c>
      <c r="AI625">
        <v>7</v>
      </c>
      <c r="AJ625">
        <v>3</v>
      </c>
      <c r="AK625">
        <v>28</v>
      </c>
      <c r="AL625" t="s">
        <v>4604</v>
      </c>
      <c r="AM625" t="s">
        <v>601</v>
      </c>
      <c r="AN625" t="s">
        <v>4605</v>
      </c>
      <c r="AO625" t="s">
        <v>4606</v>
      </c>
      <c r="AP625" t="s">
        <v>4607</v>
      </c>
      <c r="AQ625" t="s">
        <v>74</v>
      </c>
      <c r="AR625" t="s">
        <v>4608</v>
      </c>
      <c r="AS625" t="s">
        <v>4609</v>
      </c>
      <c r="AT625" t="s">
        <v>11811</v>
      </c>
      <c r="AU625">
        <v>2018</v>
      </c>
      <c r="AV625">
        <v>28</v>
      </c>
      <c r="AW625">
        <v>3</v>
      </c>
      <c r="AX625" t="s">
        <v>74</v>
      </c>
      <c r="AY625" t="s">
        <v>74</v>
      </c>
      <c r="AZ625" t="s">
        <v>74</v>
      </c>
      <c r="BA625" t="s">
        <v>74</v>
      </c>
      <c r="BB625">
        <v>448</v>
      </c>
      <c r="BC625">
        <v>453</v>
      </c>
      <c r="BD625" t="s">
        <v>74</v>
      </c>
      <c r="BE625" t="s">
        <v>12350</v>
      </c>
      <c r="BF625" t="str">
        <f>HYPERLINK("http://dx.doi.org/10.4014/jmb.1711.11006","http://dx.doi.org/10.4014/jmb.1711.11006")</f>
        <v>http://dx.doi.org/10.4014/jmb.1711.11006</v>
      </c>
      <c r="BG625" t="s">
        <v>74</v>
      </c>
      <c r="BH625" t="s">
        <v>74</v>
      </c>
      <c r="BI625">
        <v>6</v>
      </c>
      <c r="BJ625" t="s">
        <v>1158</v>
      </c>
      <c r="BK625" t="s">
        <v>101</v>
      </c>
      <c r="BL625" t="s">
        <v>1158</v>
      </c>
      <c r="BM625" t="s">
        <v>12351</v>
      </c>
      <c r="BN625">
        <v>29212294</v>
      </c>
      <c r="BO625" t="s">
        <v>74</v>
      </c>
      <c r="BP625" t="s">
        <v>74</v>
      </c>
      <c r="BQ625" t="s">
        <v>74</v>
      </c>
      <c r="BR625" t="s">
        <v>105</v>
      </c>
      <c r="BS625" t="s">
        <v>12352</v>
      </c>
      <c r="BT625" t="str">
        <f>HYPERLINK("https%3A%2F%2Fwww.webofscience.com%2Fwos%2Fwoscc%2Ffull-record%2FWOS:000428467000014","View Full Record in Web of Science")</f>
        <v>View Full Record in Web of Science</v>
      </c>
    </row>
    <row r="626" spans="1:72" x14ac:dyDescent="0.15">
      <c r="A626" t="s">
        <v>72</v>
      </c>
      <c r="B626" t="s">
        <v>12353</v>
      </c>
      <c r="C626" t="s">
        <v>74</v>
      </c>
      <c r="D626" t="s">
        <v>74</v>
      </c>
      <c r="E626" t="s">
        <v>74</v>
      </c>
      <c r="F626" t="s">
        <v>12354</v>
      </c>
      <c r="G626" t="s">
        <v>74</v>
      </c>
      <c r="H626" t="s">
        <v>74</v>
      </c>
      <c r="I626" t="s">
        <v>12355</v>
      </c>
      <c r="J626" t="s">
        <v>12356</v>
      </c>
      <c r="K626" t="s">
        <v>74</v>
      </c>
      <c r="L626" t="s">
        <v>74</v>
      </c>
      <c r="M626" t="s">
        <v>78</v>
      </c>
      <c r="N626" t="s">
        <v>79</v>
      </c>
      <c r="O626" t="s">
        <v>74</v>
      </c>
      <c r="P626" t="s">
        <v>74</v>
      </c>
      <c r="Q626" t="s">
        <v>74</v>
      </c>
      <c r="R626" t="s">
        <v>74</v>
      </c>
      <c r="S626" t="s">
        <v>74</v>
      </c>
      <c r="T626" t="s">
        <v>12357</v>
      </c>
      <c r="U626" t="s">
        <v>12358</v>
      </c>
      <c r="V626" t="s">
        <v>12359</v>
      </c>
      <c r="W626" t="s">
        <v>12360</v>
      </c>
      <c r="X626" t="s">
        <v>12361</v>
      </c>
      <c r="Y626" t="s">
        <v>12362</v>
      </c>
      <c r="Z626" t="s">
        <v>12363</v>
      </c>
      <c r="AA626" t="s">
        <v>12364</v>
      </c>
      <c r="AB626" t="s">
        <v>12365</v>
      </c>
      <c r="AC626" t="s">
        <v>12366</v>
      </c>
      <c r="AD626" t="s">
        <v>12367</v>
      </c>
      <c r="AE626" t="s">
        <v>12368</v>
      </c>
      <c r="AF626" t="s">
        <v>74</v>
      </c>
      <c r="AG626">
        <v>212</v>
      </c>
      <c r="AH626">
        <v>51</v>
      </c>
      <c r="AI626">
        <v>55</v>
      </c>
      <c r="AJ626">
        <v>2</v>
      </c>
      <c r="AK626">
        <v>20</v>
      </c>
      <c r="AL626" t="s">
        <v>3413</v>
      </c>
      <c r="AM626" t="s">
        <v>278</v>
      </c>
      <c r="AN626" t="s">
        <v>3414</v>
      </c>
      <c r="AO626" t="s">
        <v>12369</v>
      </c>
      <c r="AP626" t="s">
        <v>12370</v>
      </c>
      <c r="AQ626" t="s">
        <v>74</v>
      </c>
      <c r="AR626" t="s">
        <v>12371</v>
      </c>
      <c r="AS626" t="s">
        <v>12372</v>
      </c>
      <c r="AT626" t="s">
        <v>11811</v>
      </c>
      <c r="AU626">
        <v>2018</v>
      </c>
      <c r="AV626">
        <v>59</v>
      </c>
      <c r="AW626">
        <v>3</v>
      </c>
      <c r="AX626" t="s">
        <v>74</v>
      </c>
      <c r="AY626" t="s">
        <v>74</v>
      </c>
      <c r="AZ626" t="s">
        <v>74</v>
      </c>
      <c r="BA626" t="s">
        <v>74</v>
      </c>
      <c r="BB626">
        <v>517</v>
      </c>
      <c r="BC626">
        <v>557</v>
      </c>
      <c r="BD626" t="s">
        <v>74</v>
      </c>
      <c r="BE626" t="s">
        <v>12373</v>
      </c>
      <c r="BF626" t="str">
        <f>HYPERLINK("http://dx.doi.org/10.1093/petrology/egy036","http://dx.doi.org/10.1093/petrology/egy036")</f>
        <v>http://dx.doi.org/10.1093/petrology/egy036</v>
      </c>
      <c r="BG626" t="s">
        <v>74</v>
      </c>
      <c r="BH626" t="s">
        <v>74</v>
      </c>
      <c r="BI626">
        <v>41</v>
      </c>
      <c r="BJ626" t="s">
        <v>260</v>
      </c>
      <c r="BK626" t="s">
        <v>101</v>
      </c>
      <c r="BL626" t="s">
        <v>260</v>
      </c>
      <c r="BM626" t="s">
        <v>12374</v>
      </c>
      <c r="BN626" t="s">
        <v>74</v>
      </c>
      <c r="BO626" t="s">
        <v>162</v>
      </c>
      <c r="BP626" t="s">
        <v>74</v>
      </c>
      <c r="BQ626" t="s">
        <v>74</v>
      </c>
      <c r="BR626" t="s">
        <v>105</v>
      </c>
      <c r="BS626" t="s">
        <v>12375</v>
      </c>
      <c r="BT626" t="str">
        <f>HYPERLINK("https%3A%2F%2Fwww.webofscience.com%2Fwos%2Fwoscc%2Ffull-record%2FWOS:000438296700006","View Full Record in Web of Science")</f>
        <v>View Full Record in Web of Science</v>
      </c>
    </row>
    <row r="627" spans="1:72" x14ac:dyDescent="0.15">
      <c r="A627" t="s">
        <v>72</v>
      </c>
      <c r="B627" t="s">
        <v>12376</v>
      </c>
      <c r="C627" t="s">
        <v>74</v>
      </c>
      <c r="D627" t="s">
        <v>74</v>
      </c>
      <c r="E627" t="s">
        <v>74</v>
      </c>
      <c r="F627" t="s">
        <v>12377</v>
      </c>
      <c r="G627" t="s">
        <v>74</v>
      </c>
      <c r="H627" t="s">
        <v>74</v>
      </c>
      <c r="I627" t="s">
        <v>12378</v>
      </c>
      <c r="J627" t="s">
        <v>12379</v>
      </c>
      <c r="K627" t="s">
        <v>74</v>
      </c>
      <c r="L627" t="s">
        <v>74</v>
      </c>
      <c r="M627" t="s">
        <v>78</v>
      </c>
      <c r="N627" t="s">
        <v>79</v>
      </c>
      <c r="O627" t="s">
        <v>74</v>
      </c>
      <c r="P627" t="s">
        <v>74</v>
      </c>
      <c r="Q627" t="s">
        <v>74</v>
      </c>
      <c r="R627" t="s">
        <v>74</v>
      </c>
      <c r="S627" t="s">
        <v>74</v>
      </c>
      <c r="T627" t="s">
        <v>12380</v>
      </c>
      <c r="U627" t="s">
        <v>12381</v>
      </c>
      <c r="V627" t="s">
        <v>12382</v>
      </c>
      <c r="W627" t="s">
        <v>12383</v>
      </c>
      <c r="X627" t="s">
        <v>12384</v>
      </c>
      <c r="Y627" t="s">
        <v>12385</v>
      </c>
      <c r="Z627" t="s">
        <v>12386</v>
      </c>
      <c r="AA627" t="s">
        <v>12387</v>
      </c>
      <c r="AB627" t="s">
        <v>12388</v>
      </c>
      <c r="AC627" t="s">
        <v>12389</v>
      </c>
      <c r="AD627" t="s">
        <v>12390</v>
      </c>
      <c r="AE627" t="s">
        <v>12391</v>
      </c>
      <c r="AF627" t="s">
        <v>74</v>
      </c>
      <c r="AG627">
        <v>140</v>
      </c>
      <c r="AH627">
        <v>17</v>
      </c>
      <c r="AI627">
        <v>27</v>
      </c>
      <c r="AJ627">
        <v>5</v>
      </c>
      <c r="AK627">
        <v>43</v>
      </c>
      <c r="AL627" t="s">
        <v>914</v>
      </c>
      <c r="AM627" t="s">
        <v>452</v>
      </c>
      <c r="AN627" t="s">
        <v>915</v>
      </c>
      <c r="AO627" t="s">
        <v>12392</v>
      </c>
      <c r="AP627" t="s">
        <v>12393</v>
      </c>
      <c r="AQ627" t="s">
        <v>74</v>
      </c>
      <c r="AR627" t="s">
        <v>12379</v>
      </c>
      <c r="AS627" t="s">
        <v>12394</v>
      </c>
      <c r="AT627" t="s">
        <v>11811</v>
      </c>
      <c r="AU627">
        <v>2018</v>
      </c>
      <c r="AV627">
        <v>302</v>
      </c>
      <c r="AW627" t="s">
        <v>74</v>
      </c>
      <c r="AX627" t="s">
        <v>74</v>
      </c>
      <c r="AY627" t="s">
        <v>74</v>
      </c>
      <c r="AZ627" t="s">
        <v>74</v>
      </c>
      <c r="BA627" t="s">
        <v>74</v>
      </c>
      <c r="BB627">
        <v>20</v>
      </c>
      <c r="BC627">
        <v>36</v>
      </c>
      <c r="BD627" t="s">
        <v>74</v>
      </c>
      <c r="BE627" t="s">
        <v>12395</v>
      </c>
      <c r="BF627" t="str">
        <f>HYPERLINK("http://dx.doi.org/10.1016/j.lithos.2017.12.022","http://dx.doi.org/10.1016/j.lithos.2017.12.022")</f>
        <v>http://dx.doi.org/10.1016/j.lithos.2017.12.022</v>
      </c>
      <c r="BG627" t="s">
        <v>74</v>
      </c>
      <c r="BH627" t="s">
        <v>74</v>
      </c>
      <c r="BI627">
        <v>17</v>
      </c>
      <c r="BJ627" t="s">
        <v>5011</v>
      </c>
      <c r="BK627" t="s">
        <v>101</v>
      </c>
      <c r="BL627" t="s">
        <v>5011</v>
      </c>
      <c r="BM627" t="s">
        <v>12396</v>
      </c>
      <c r="BN627" t="s">
        <v>74</v>
      </c>
      <c r="BO627" t="s">
        <v>74</v>
      </c>
      <c r="BP627" t="s">
        <v>74</v>
      </c>
      <c r="BQ627" t="s">
        <v>74</v>
      </c>
      <c r="BR627" t="s">
        <v>105</v>
      </c>
      <c r="BS627" t="s">
        <v>12397</v>
      </c>
      <c r="BT627" t="str">
        <f>HYPERLINK("https%3A%2F%2Fwww.webofscience.com%2Fwos%2Fwoscc%2Ffull-record%2FWOS:000428497500002","View Full Record in Web of Science")</f>
        <v>View Full Record in Web of Science</v>
      </c>
    </row>
    <row r="628" spans="1:72" x14ac:dyDescent="0.15">
      <c r="A628" t="s">
        <v>72</v>
      </c>
      <c r="B628" t="s">
        <v>12398</v>
      </c>
      <c r="C628" t="s">
        <v>74</v>
      </c>
      <c r="D628" t="s">
        <v>74</v>
      </c>
      <c r="E628" t="s">
        <v>74</v>
      </c>
      <c r="F628" t="s">
        <v>12399</v>
      </c>
      <c r="G628" t="s">
        <v>74</v>
      </c>
      <c r="H628" t="s">
        <v>74</v>
      </c>
      <c r="I628" t="s">
        <v>12400</v>
      </c>
      <c r="J628" t="s">
        <v>12401</v>
      </c>
      <c r="K628" t="s">
        <v>74</v>
      </c>
      <c r="L628" t="s">
        <v>74</v>
      </c>
      <c r="M628" t="s">
        <v>78</v>
      </c>
      <c r="N628" t="s">
        <v>79</v>
      </c>
      <c r="O628" t="s">
        <v>74</v>
      </c>
      <c r="P628" t="s">
        <v>74</v>
      </c>
      <c r="Q628" t="s">
        <v>74</v>
      </c>
      <c r="R628" t="s">
        <v>74</v>
      </c>
      <c r="S628" t="s">
        <v>74</v>
      </c>
      <c r="T628" t="s">
        <v>12402</v>
      </c>
      <c r="U628" t="s">
        <v>12403</v>
      </c>
      <c r="V628" t="s">
        <v>12404</v>
      </c>
      <c r="W628" t="s">
        <v>12405</v>
      </c>
      <c r="X628" t="s">
        <v>12406</v>
      </c>
      <c r="Y628" t="s">
        <v>12407</v>
      </c>
      <c r="Z628" t="s">
        <v>12408</v>
      </c>
      <c r="AA628" t="s">
        <v>74</v>
      </c>
      <c r="AB628" t="s">
        <v>12409</v>
      </c>
      <c r="AC628" t="s">
        <v>12410</v>
      </c>
      <c r="AD628" t="s">
        <v>12411</v>
      </c>
      <c r="AE628" t="s">
        <v>12412</v>
      </c>
      <c r="AF628" t="s">
        <v>74</v>
      </c>
      <c r="AG628">
        <v>123</v>
      </c>
      <c r="AH628">
        <v>17</v>
      </c>
      <c r="AI628">
        <v>19</v>
      </c>
      <c r="AJ628">
        <v>0</v>
      </c>
      <c r="AK628">
        <v>9</v>
      </c>
      <c r="AL628" t="s">
        <v>397</v>
      </c>
      <c r="AM628" t="s">
        <v>398</v>
      </c>
      <c r="AN628" t="s">
        <v>399</v>
      </c>
      <c r="AO628" t="s">
        <v>12413</v>
      </c>
      <c r="AP628" t="s">
        <v>12414</v>
      </c>
      <c r="AQ628" t="s">
        <v>74</v>
      </c>
      <c r="AR628" t="s">
        <v>12415</v>
      </c>
      <c r="AS628" t="s">
        <v>12416</v>
      </c>
      <c r="AT628" t="s">
        <v>11811</v>
      </c>
      <c r="AU628">
        <v>2018</v>
      </c>
      <c r="AV628">
        <v>48</v>
      </c>
      <c r="AW628">
        <v>1</v>
      </c>
      <c r="AX628" t="s">
        <v>74</v>
      </c>
      <c r="AY628" t="s">
        <v>74</v>
      </c>
      <c r="AZ628" t="s">
        <v>74</v>
      </c>
      <c r="BA628" t="s">
        <v>74</v>
      </c>
      <c r="BB628">
        <v>581</v>
      </c>
      <c r="BC628">
        <v>601</v>
      </c>
      <c r="BD628" t="s">
        <v>74</v>
      </c>
      <c r="BE628" t="s">
        <v>12417</v>
      </c>
      <c r="BF628" t="str">
        <f>HYPERLINK("http://dx.doi.org/10.1007/s12526-017-0735-y","http://dx.doi.org/10.1007/s12526-017-0735-y")</f>
        <v>http://dx.doi.org/10.1007/s12526-017-0735-y</v>
      </c>
      <c r="BG628" t="s">
        <v>74</v>
      </c>
      <c r="BH628" t="s">
        <v>74</v>
      </c>
      <c r="BI628">
        <v>21</v>
      </c>
      <c r="BJ628" t="s">
        <v>12418</v>
      </c>
      <c r="BK628" t="s">
        <v>101</v>
      </c>
      <c r="BL628" t="s">
        <v>12419</v>
      </c>
      <c r="BM628" t="s">
        <v>12420</v>
      </c>
      <c r="BN628" t="s">
        <v>74</v>
      </c>
      <c r="BO628" t="s">
        <v>8485</v>
      </c>
      <c r="BP628" t="s">
        <v>74</v>
      </c>
      <c r="BQ628" t="s">
        <v>74</v>
      </c>
      <c r="BR628" t="s">
        <v>105</v>
      </c>
      <c r="BS628" t="s">
        <v>12421</v>
      </c>
      <c r="BT628" t="str">
        <f>HYPERLINK("https%3A%2F%2Fwww.webofscience.com%2Fwos%2Fwoscc%2Ffull-record%2FWOS:000428260400040","View Full Record in Web of Science")</f>
        <v>View Full Record in Web of Science</v>
      </c>
    </row>
    <row r="629" spans="1:72" x14ac:dyDescent="0.15">
      <c r="A629" t="s">
        <v>72</v>
      </c>
      <c r="B629" t="s">
        <v>12422</v>
      </c>
      <c r="C629" t="s">
        <v>74</v>
      </c>
      <c r="D629" t="s">
        <v>74</v>
      </c>
      <c r="E629" t="s">
        <v>74</v>
      </c>
      <c r="F629" t="s">
        <v>12423</v>
      </c>
      <c r="G629" t="s">
        <v>74</v>
      </c>
      <c r="H629" t="s">
        <v>74</v>
      </c>
      <c r="I629" t="s">
        <v>12424</v>
      </c>
      <c r="J629" t="s">
        <v>4306</v>
      </c>
      <c r="K629" t="s">
        <v>74</v>
      </c>
      <c r="L629" t="s">
        <v>74</v>
      </c>
      <c r="M629" t="s">
        <v>78</v>
      </c>
      <c r="N629" t="s">
        <v>79</v>
      </c>
      <c r="O629" t="s">
        <v>74</v>
      </c>
      <c r="P629" t="s">
        <v>74</v>
      </c>
      <c r="Q629" t="s">
        <v>74</v>
      </c>
      <c r="R629" t="s">
        <v>74</v>
      </c>
      <c r="S629" t="s">
        <v>74</v>
      </c>
      <c r="T629" t="s">
        <v>12425</v>
      </c>
      <c r="U629" t="s">
        <v>12426</v>
      </c>
      <c r="V629" t="s">
        <v>12427</v>
      </c>
      <c r="W629" t="s">
        <v>12428</v>
      </c>
      <c r="X629" t="s">
        <v>12429</v>
      </c>
      <c r="Y629" t="s">
        <v>12430</v>
      </c>
      <c r="Z629" t="s">
        <v>12431</v>
      </c>
      <c r="AA629" t="s">
        <v>12432</v>
      </c>
      <c r="AB629" t="s">
        <v>12433</v>
      </c>
      <c r="AC629" t="s">
        <v>12434</v>
      </c>
      <c r="AD629" t="s">
        <v>12435</v>
      </c>
      <c r="AE629" t="s">
        <v>12436</v>
      </c>
      <c r="AF629" t="s">
        <v>74</v>
      </c>
      <c r="AG629">
        <v>53</v>
      </c>
      <c r="AH629">
        <v>5</v>
      </c>
      <c r="AI629">
        <v>7</v>
      </c>
      <c r="AJ629">
        <v>2</v>
      </c>
      <c r="AK629">
        <v>17</v>
      </c>
      <c r="AL629" t="s">
        <v>451</v>
      </c>
      <c r="AM629" t="s">
        <v>452</v>
      </c>
      <c r="AN629" t="s">
        <v>453</v>
      </c>
      <c r="AO629" t="s">
        <v>4318</v>
      </c>
      <c r="AP629" t="s">
        <v>4319</v>
      </c>
      <c r="AQ629" t="s">
        <v>74</v>
      </c>
      <c r="AR629" t="s">
        <v>4320</v>
      </c>
      <c r="AS629" t="s">
        <v>4321</v>
      </c>
      <c r="AT629" t="s">
        <v>11811</v>
      </c>
      <c r="AU629">
        <v>2018</v>
      </c>
      <c r="AV629">
        <v>139</v>
      </c>
      <c r="AW629" t="s">
        <v>74</v>
      </c>
      <c r="AX629" t="s">
        <v>74</v>
      </c>
      <c r="AY629" t="s">
        <v>74</v>
      </c>
      <c r="AZ629" t="s">
        <v>74</v>
      </c>
      <c r="BA629" t="s">
        <v>74</v>
      </c>
      <c r="BB629">
        <v>28</v>
      </c>
      <c r="BC629">
        <v>41</v>
      </c>
      <c r="BD629" t="s">
        <v>74</v>
      </c>
      <c r="BE629" t="s">
        <v>12437</v>
      </c>
      <c r="BF629" t="str">
        <f>HYPERLINK("http://dx.doi.org/10.1016/j.marmicro.2017.10.008","http://dx.doi.org/10.1016/j.marmicro.2017.10.008")</f>
        <v>http://dx.doi.org/10.1016/j.marmicro.2017.10.008</v>
      </c>
      <c r="BG629" t="s">
        <v>74</v>
      </c>
      <c r="BH629" t="s">
        <v>74</v>
      </c>
      <c r="BI629">
        <v>14</v>
      </c>
      <c r="BJ629" t="s">
        <v>4323</v>
      </c>
      <c r="BK629" t="s">
        <v>101</v>
      </c>
      <c r="BL629" t="s">
        <v>4323</v>
      </c>
      <c r="BM629" t="s">
        <v>12438</v>
      </c>
      <c r="BN629" t="s">
        <v>74</v>
      </c>
      <c r="BO629" t="s">
        <v>74</v>
      </c>
      <c r="BP629" t="s">
        <v>74</v>
      </c>
      <c r="BQ629" t="s">
        <v>74</v>
      </c>
      <c r="BR629" t="s">
        <v>105</v>
      </c>
      <c r="BS629" t="s">
        <v>12439</v>
      </c>
      <c r="BT629" t="str">
        <f>HYPERLINK("https%3A%2F%2Fwww.webofscience.com%2Fwos%2Fwoscc%2Ffull-record%2FWOS:000428101000002","View Full Record in Web of Science")</f>
        <v>View Full Record in Web of Science</v>
      </c>
    </row>
    <row r="630" spans="1:72" x14ac:dyDescent="0.15">
      <c r="A630" t="s">
        <v>72</v>
      </c>
      <c r="B630" t="s">
        <v>12440</v>
      </c>
      <c r="C630" t="s">
        <v>74</v>
      </c>
      <c r="D630" t="s">
        <v>74</v>
      </c>
      <c r="E630" t="s">
        <v>74</v>
      </c>
      <c r="F630" t="s">
        <v>12441</v>
      </c>
      <c r="G630" t="s">
        <v>74</v>
      </c>
      <c r="H630" t="s">
        <v>74</v>
      </c>
      <c r="I630" t="s">
        <v>12442</v>
      </c>
      <c r="J630" t="s">
        <v>12443</v>
      </c>
      <c r="K630" t="s">
        <v>74</v>
      </c>
      <c r="L630" t="s">
        <v>74</v>
      </c>
      <c r="M630" t="s">
        <v>78</v>
      </c>
      <c r="N630" t="s">
        <v>79</v>
      </c>
      <c r="O630" t="s">
        <v>74</v>
      </c>
      <c r="P630" t="s">
        <v>74</v>
      </c>
      <c r="Q630" t="s">
        <v>74</v>
      </c>
      <c r="R630" t="s">
        <v>74</v>
      </c>
      <c r="S630" t="s">
        <v>74</v>
      </c>
      <c r="T630" t="s">
        <v>12444</v>
      </c>
      <c r="U630" t="s">
        <v>12445</v>
      </c>
      <c r="V630" t="s">
        <v>12446</v>
      </c>
      <c r="W630" t="s">
        <v>12447</v>
      </c>
      <c r="X630" t="s">
        <v>12448</v>
      </c>
      <c r="Y630" t="s">
        <v>12449</v>
      </c>
      <c r="Z630" t="s">
        <v>12450</v>
      </c>
      <c r="AA630" t="s">
        <v>12451</v>
      </c>
      <c r="AB630" t="s">
        <v>12452</v>
      </c>
      <c r="AC630" t="s">
        <v>12453</v>
      </c>
      <c r="AD630" t="s">
        <v>12454</v>
      </c>
      <c r="AE630" t="s">
        <v>12455</v>
      </c>
      <c r="AF630" t="s">
        <v>74</v>
      </c>
      <c r="AG630">
        <v>67</v>
      </c>
      <c r="AH630">
        <v>45</v>
      </c>
      <c r="AI630">
        <v>52</v>
      </c>
      <c r="AJ630">
        <v>2</v>
      </c>
      <c r="AK630">
        <v>51</v>
      </c>
      <c r="AL630" t="s">
        <v>3413</v>
      </c>
      <c r="AM630" t="s">
        <v>278</v>
      </c>
      <c r="AN630" t="s">
        <v>3414</v>
      </c>
      <c r="AO630" t="s">
        <v>12456</v>
      </c>
      <c r="AP630" t="s">
        <v>12457</v>
      </c>
      <c r="AQ630" t="s">
        <v>74</v>
      </c>
      <c r="AR630" t="s">
        <v>12458</v>
      </c>
      <c r="AS630" t="s">
        <v>12459</v>
      </c>
      <c r="AT630" t="s">
        <v>11811</v>
      </c>
      <c r="AU630">
        <v>2018</v>
      </c>
      <c r="AV630">
        <v>35</v>
      </c>
      <c r="AW630">
        <v>3</v>
      </c>
      <c r="AX630" t="s">
        <v>74</v>
      </c>
      <c r="AY630" t="s">
        <v>74</v>
      </c>
      <c r="AZ630" t="s">
        <v>74</v>
      </c>
      <c r="BA630" t="s">
        <v>74</v>
      </c>
      <c r="BB630">
        <v>593</v>
      </c>
      <c r="BC630">
        <v>606</v>
      </c>
      <c r="BD630" t="s">
        <v>74</v>
      </c>
      <c r="BE630" t="s">
        <v>12460</v>
      </c>
      <c r="BF630" t="str">
        <f>HYPERLINK("http://dx.doi.org/10.1093/molbev/msx311","http://dx.doi.org/10.1093/molbev/msx311")</f>
        <v>http://dx.doi.org/10.1093/molbev/msx311</v>
      </c>
      <c r="BG630" t="s">
        <v>74</v>
      </c>
      <c r="BH630" t="s">
        <v>74</v>
      </c>
      <c r="BI630">
        <v>14</v>
      </c>
      <c r="BJ630" t="s">
        <v>7693</v>
      </c>
      <c r="BK630" t="s">
        <v>101</v>
      </c>
      <c r="BL630" t="s">
        <v>7693</v>
      </c>
      <c r="BM630" t="s">
        <v>12461</v>
      </c>
      <c r="BN630">
        <v>29216381</v>
      </c>
      <c r="BO630" t="s">
        <v>2416</v>
      </c>
      <c r="BP630" t="s">
        <v>74</v>
      </c>
      <c r="BQ630" t="s">
        <v>74</v>
      </c>
      <c r="BR630" t="s">
        <v>105</v>
      </c>
      <c r="BS630" t="s">
        <v>12462</v>
      </c>
      <c r="BT630" t="str">
        <f>HYPERLINK("https%3A%2F%2Fwww.webofscience.com%2Fwos%2Fwoscc%2Ffull-record%2FWOS:000427260700007","View Full Record in Web of Science")</f>
        <v>View Full Record in Web of Science</v>
      </c>
    </row>
    <row r="631" spans="1:72" x14ac:dyDescent="0.15">
      <c r="A631" t="s">
        <v>72</v>
      </c>
      <c r="B631" t="s">
        <v>12463</v>
      </c>
      <c r="C631" t="s">
        <v>74</v>
      </c>
      <c r="D631" t="s">
        <v>74</v>
      </c>
      <c r="E631" t="s">
        <v>74</v>
      </c>
      <c r="F631" t="s">
        <v>12464</v>
      </c>
      <c r="G631" t="s">
        <v>74</v>
      </c>
      <c r="H631" t="s">
        <v>74</v>
      </c>
      <c r="I631" t="s">
        <v>12465</v>
      </c>
      <c r="J631" t="s">
        <v>12466</v>
      </c>
      <c r="K631" t="s">
        <v>74</v>
      </c>
      <c r="L631" t="s">
        <v>74</v>
      </c>
      <c r="M631" t="s">
        <v>78</v>
      </c>
      <c r="N631" t="s">
        <v>79</v>
      </c>
      <c r="O631" t="s">
        <v>74</v>
      </c>
      <c r="P631" t="s">
        <v>74</v>
      </c>
      <c r="Q631" t="s">
        <v>74</v>
      </c>
      <c r="R631" t="s">
        <v>74</v>
      </c>
      <c r="S631" t="s">
        <v>74</v>
      </c>
      <c r="T631" t="s">
        <v>12467</v>
      </c>
      <c r="U631" t="s">
        <v>12468</v>
      </c>
      <c r="V631" t="s">
        <v>12469</v>
      </c>
      <c r="W631" t="s">
        <v>12470</v>
      </c>
      <c r="X631" t="s">
        <v>12471</v>
      </c>
      <c r="Y631" t="s">
        <v>12472</v>
      </c>
      <c r="Z631" t="s">
        <v>12473</v>
      </c>
      <c r="AA631" t="s">
        <v>74</v>
      </c>
      <c r="AB631" t="s">
        <v>12474</v>
      </c>
      <c r="AC631" t="s">
        <v>12475</v>
      </c>
      <c r="AD631" t="s">
        <v>12476</v>
      </c>
      <c r="AE631" t="s">
        <v>12477</v>
      </c>
      <c r="AF631" t="s">
        <v>74</v>
      </c>
      <c r="AG631">
        <v>27</v>
      </c>
      <c r="AH631">
        <v>27</v>
      </c>
      <c r="AI631">
        <v>28</v>
      </c>
      <c r="AJ631">
        <v>0</v>
      </c>
      <c r="AK631">
        <v>7</v>
      </c>
      <c r="AL631" t="s">
        <v>627</v>
      </c>
      <c r="AM631" t="s">
        <v>628</v>
      </c>
      <c r="AN631" t="s">
        <v>629</v>
      </c>
      <c r="AO631" t="s">
        <v>74</v>
      </c>
      <c r="AP631" t="s">
        <v>12478</v>
      </c>
      <c r="AQ631" t="s">
        <v>74</v>
      </c>
      <c r="AR631" t="s">
        <v>12466</v>
      </c>
      <c r="AS631" t="s">
        <v>12479</v>
      </c>
      <c r="AT631" t="s">
        <v>11811</v>
      </c>
      <c r="AU631">
        <v>2018</v>
      </c>
      <c r="AV631">
        <v>23</v>
      </c>
      <c r="AW631">
        <v>3</v>
      </c>
      <c r="AX631" t="s">
        <v>74</v>
      </c>
      <c r="AY631" t="s">
        <v>74</v>
      </c>
      <c r="AZ631" t="s">
        <v>74</v>
      </c>
      <c r="BA631" t="s">
        <v>74</v>
      </c>
      <c r="BB631" t="s">
        <v>74</v>
      </c>
      <c r="BC631" t="s">
        <v>74</v>
      </c>
      <c r="BD631">
        <v>658</v>
      </c>
      <c r="BE631" t="s">
        <v>12480</v>
      </c>
      <c r="BF631" t="str">
        <f>HYPERLINK("http://dx.doi.org/10.3390/molecules23030658","http://dx.doi.org/10.3390/molecules23030658")</f>
        <v>http://dx.doi.org/10.3390/molecules23030658</v>
      </c>
      <c r="BG631" t="s">
        <v>74</v>
      </c>
      <c r="BH631" t="s">
        <v>74</v>
      </c>
      <c r="BI631">
        <v>10</v>
      </c>
      <c r="BJ631" t="s">
        <v>12481</v>
      </c>
      <c r="BK631" t="s">
        <v>101</v>
      </c>
      <c r="BL631" t="s">
        <v>12482</v>
      </c>
      <c r="BM631" t="s">
        <v>12483</v>
      </c>
      <c r="BN631">
        <v>29538328</v>
      </c>
      <c r="BO631" t="s">
        <v>2233</v>
      </c>
      <c r="BP631" t="s">
        <v>74</v>
      </c>
      <c r="BQ631" t="s">
        <v>74</v>
      </c>
      <c r="BR631" t="s">
        <v>105</v>
      </c>
      <c r="BS631" t="s">
        <v>12484</v>
      </c>
      <c r="BT631" t="str">
        <f>HYPERLINK("https%3A%2F%2Fwww.webofscience.com%2Fwos%2Fwoscc%2Ffull-record%2FWOS:000428514100149","View Full Record in Web of Science")</f>
        <v>View Full Record in Web of Science</v>
      </c>
    </row>
    <row r="632" spans="1:72" x14ac:dyDescent="0.15">
      <c r="A632" t="s">
        <v>72</v>
      </c>
      <c r="B632" t="s">
        <v>12485</v>
      </c>
      <c r="C632" t="s">
        <v>74</v>
      </c>
      <c r="D632" t="s">
        <v>74</v>
      </c>
      <c r="E632" t="s">
        <v>74</v>
      </c>
      <c r="F632" t="s">
        <v>12486</v>
      </c>
      <c r="G632" t="s">
        <v>74</v>
      </c>
      <c r="H632" t="s">
        <v>74</v>
      </c>
      <c r="I632" t="s">
        <v>12487</v>
      </c>
      <c r="J632" t="s">
        <v>7699</v>
      </c>
      <c r="K632" t="s">
        <v>74</v>
      </c>
      <c r="L632" t="s">
        <v>74</v>
      </c>
      <c r="M632" t="s">
        <v>78</v>
      </c>
      <c r="N632" t="s">
        <v>79</v>
      </c>
      <c r="O632" t="s">
        <v>74</v>
      </c>
      <c r="P632" t="s">
        <v>74</v>
      </c>
      <c r="Q632" t="s">
        <v>74</v>
      </c>
      <c r="R632" t="s">
        <v>74</v>
      </c>
      <c r="S632" t="s">
        <v>74</v>
      </c>
      <c r="T632" t="s">
        <v>74</v>
      </c>
      <c r="U632" t="s">
        <v>12488</v>
      </c>
      <c r="V632" t="s">
        <v>12489</v>
      </c>
      <c r="W632" t="s">
        <v>12490</v>
      </c>
      <c r="X632" t="s">
        <v>12491</v>
      </c>
      <c r="Y632" t="s">
        <v>12492</v>
      </c>
      <c r="Z632" t="s">
        <v>12493</v>
      </c>
      <c r="AA632" t="s">
        <v>12494</v>
      </c>
      <c r="AB632" t="s">
        <v>12495</v>
      </c>
      <c r="AC632" t="s">
        <v>12496</v>
      </c>
      <c r="AD632" t="s">
        <v>12497</v>
      </c>
      <c r="AE632" t="s">
        <v>12498</v>
      </c>
      <c r="AF632" t="s">
        <v>74</v>
      </c>
      <c r="AG632">
        <v>91</v>
      </c>
      <c r="AH632">
        <v>79</v>
      </c>
      <c r="AI632">
        <v>84</v>
      </c>
      <c r="AJ632">
        <v>7</v>
      </c>
      <c r="AK632">
        <v>118</v>
      </c>
      <c r="AL632" t="s">
        <v>1689</v>
      </c>
      <c r="AM632" t="s">
        <v>1540</v>
      </c>
      <c r="AN632" t="s">
        <v>1690</v>
      </c>
      <c r="AO632" t="s">
        <v>7712</v>
      </c>
      <c r="AP632" t="s">
        <v>7713</v>
      </c>
      <c r="AQ632" t="s">
        <v>74</v>
      </c>
      <c r="AR632" t="s">
        <v>7714</v>
      </c>
      <c r="AS632" t="s">
        <v>7715</v>
      </c>
      <c r="AT632" t="s">
        <v>11811</v>
      </c>
      <c r="AU632">
        <v>2018</v>
      </c>
      <c r="AV632">
        <v>8</v>
      </c>
      <c r="AW632">
        <v>3</v>
      </c>
      <c r="AX632" t="s">
        <v>74</v>
      </c>
      <c r="AY632" t="s">
        <v>74</v>
      </c>
      <c r="AZ632" t="s">
        <v>74</v>
      </c>
      <c r="BA632" t="s">
        <v>74</v>
      </c>
      <c r="BB632">
        <v>245</v>
      </c>
      <c r="BC632" t="s">
        <v>7716</v>
      </c>
      <c r="BD632" t="s">
        <v>74</v>
      </c>
      <c r="BE632" t="s">
        <v>12499</v>
      </c>
      <c r="BF632" t="str">
        <f>HYPERLINK("http://dx.doi.org/10.1038/s41558-018-0084-2","http://dx.doi.org/10.1038/s41558-018-0084-2")</f>
        <v>http://dx.doi.org/10.1038/s41558-018-0084-2</v>
      </c>
      <c r="BG632" t="s">
        <v>74</v>
      </c>
      <c r="BH632" t="s">
        <v>74</v>
      </c>
      <c r="BI632">
        <v>10</v>
      </c>
      <c r="BJ632" t="s">
        <v>7718</v>
      </c>
      <c r="BK632" t="s">
        <v>484</v>
      </c>
      <c r="BL632" t="s">
        <v>286</v>
      </c>
      <c r="BM632" t="s">
        <v>12500</v>
      </c>
      <c r="BN632" t="s">
        <v>74</v>
      </c>
      <c r="BO632" t="s">
        <v>288</v>
      </c>
      <c r="BP632" t="s">
        <v>74</v>
      </c>
      <c r="BQ632" t="s">
        <v>74</v>
      </c>
      <c r="BR632" t="s">
        <v>105</v>
      </c>
      <c r="BS632" t="s">
        <v>12501</v>
      </c>
      <c r="BT632" t="str">
        <f>HYPERLINK("https%3A%2F%2Fwww.webofscience.com%2Fwos%2Fwoscc%2Ffull-record%2FWOS:000426308500023","View Full Record in Web of Science")</f>
        <v>View Full Record in Web of Science</v>
      </c>
    </row>
    <row r="633" spans="1:72" x14ac:dyDescent="0.15">
      <c r="A633" t="s">
        <v>72</v>
      </c>
      <c r="B633" t="s">
        <v>12502</v>
      </c>
      <c r="C633" t="s">
        <v>74</v>
      </c>
      <c r="D633" t="s">
        <v>74</v>
      </c>
      <c r="E633" t="s">
        <v>74</v>
      </c>
      <c r="F633" t="s">
        <v>12503</v>
      </c>
      <c r="G633" t="s">
        <v>74</v>
      </c>
      <c r="H633" t="s">
        <v>74</v>
      </c>
      <c r="I633" t="s">
        <v>12504</v>
      </c>
      <c r="J633" t="s">
        <v>77</v>
      </c>
      <c r="K633" t="s">
        <v>74</v>
      </c>
      <c r="L633" t="s">
        <v>74</v>
      </c>
      <c r="M633" t="s">
        <v>78</v>
      </c>
      <c r="N633" t="s">
        <v>79</v>
      </c>
      <c r="O633" t="s">
        <v>74</v>
      </c>
      <c r="P633" t="s">
        <v>74</v>
      </c>
      <c r="Q633" t="s">
        <v>74</v>
      </c>
      <c r="R633" t="s">
        <v>74</v>
      </c>
      <c r="S633" t="s">
        <v>74</v>
      </c>
      <c r="T633" t="s">
        <v>12505</v>
      </c>
      <c r="U633" t="s">
        <v>12506</v>
      </c>
      <c r="V633" t="s">
        <v>12507</v>
      </c>
      <c r="W633" t="s">
        <v>12508</v>
      </c>
      <c r="X633" t="s">
        <v>12509</v>
      </c>
      <c r="Y633" t="s">
        <v>12510</v>
      </c>
      <c r="Z633" t="s">
        <v>12511</v>
      </c>
      <c r="AA633" t="s">
        <v>12512</v>
      </c>
      <c r="AB633" t="s">
        <v>12513</v>
      </c>
      <c r="AC633" t="s">
        <v>12514</v>
      </c>
      <c r="AD633" t="s">
        <v>12515</v>
      </c>
      <c r="AE633" t="s">
        <v>12516</v>
      </c>
      <c r="AF633" t="s">
        <v>74</v>
      </c>
      <c r="AG633">
        <v>70</v>
      </c>
      <c r="AH633">
        <v>13</v>
      </c>
      <c r="AI633">
        <v>15</v>
      </c>
      <c r="AJ633">
        <v>0</v>
      </c>
      <c r="AK633">
        <v>44</v>
      </c>
      <c r="AL633" t="s">
        <v>91</v>
      </c>
      <c r="AM633" t="s">
        <v>92</v>
      </c>
      <c r="AN633" t="s">
        <v>205</v>
      </c>
      <c r="AO633" t="s">
        <v>94</v>
      </c>
      <c r="AP633" t="s">
        <v>95</v>
      </c>
      <c r="AQ633" t="s">
        <v>74</v>
      </c>
      <c r="AR633" t="s">
        <v>96</v>
      </c>
      <c r="AS633" t="s">
        <v>97</v>
      </c>
      <c r="AT633" t="s">
        <v>11811</v>
      </c>
      <c r="AU633">
        <v>2018</v>
      </c>
      <c r="AV633">
        <v>41</v>
      </c>
      <c r="AW633">
        <v>3</v>
      </c>
      <c r="AX633" t="s">
        <v>74</v>
      </c>
      <c r="AY633" t="s">
        <v>74</v>
      </c>
      <c r="AZ633" t="s">
        <v>74</v>
      </c>
      <c r="BA633" t="s">
        <v>74</v>
      </c>
      <c r="BB633">
        <v>537</v>
      </c>
      <c r="BC633">
        <v>551</v>
      </c>
      <c r="BD633" t="s">
        <v>74</v>
      </c>
      <c r="BE633" t="s">
        <v>12517</v>
      </c>
      <c r="BF633" t="str">
        <f>HYPERLINK("http://dx.doi.org/10.1007/s00300-017-2215-z","http://dx.doi.org/10.1007/s00300-017-2215-z")</f>
        <v>http://dx.doi.org/10.1007/s00300-017-2215-z</v>
      </c>
      <c r="BG633" t="s">
        <v>74</v>
      </c>
      <c r="BH633" t="s">
        <v>74</v>
      </c>
      <c r="BI633">
        <v>15</v>
      </c>
      <c r="BJ633" t="s">
        <v>100</v>
      </c>
      <c r="BK633" t="s">
        <v>101</v>
      </c>
      <c r="BL633" t="s">
        <v>102</v>
      </c>
      <c r="BM633" t="s">
        <v>12518</v>
      </c>
      <c r="BN633" t="s">
        <v>74</v>
      </c>
      <c r="BO633" t="s">
        <v>1085</v>
      </c>
      <c r="BP633" t="s">
        <v>74</v>
      </c>
      <c r="BQ633" t="s">
        <v>74</v>
      </c>
      <c r="BR633" t="s">
        <v>105</v>
      </c>
      <c r="BS633" t="s">
        <v>12519</v>
      </c>
      <c r="BT633" t="str">
        <f>HYPERLINK("https%3A%2F%2Fwww.webofscience.com%2Fwos%2Fwoscc%2Ffull-record%2FWOS:000425956700016","View Full Record in Web of Science")</f>
        <v>View Full Record in Web of Science</v>
      </c>
    </row>
    <row r="634" spans="1:72" x14ac:dyDescent="0.15">
      <c r="A634" t="s">
        <v>72</v>
      </c>
      <c r="B634" t="s">
        <v>12520</v>
      </c>
      <c r="C634" t="s">
        <v>74</v>
      </c>
      <c r="D634" t="s">
        <v>74</v>
      </c>
      <c r="E634" t="s">
        <v>74</v>
      </c>
      <c r="F634" t="s">
        <v>12521</v>
      </c>
      <c r="G634" t="s">
        <v>74</v>
      </c>
      <c r="H634" t="s">
        <v>74</v>
      </c>
      <c r="I634" t="s">
        <v>12522</v>
      </c>
      <c r="J634" t="s">
        <v>77</v>
      </c>
      <c r="K634" t="s">
        <v>74</v>
      </c>
      <c r="L634" t="s">
        <v>74</v>
      </c>
      <c r="M634" t="s">
        <v>78</v>
      </c>
      <c r="N634" t="s">
        <v>79</v>
      </c>
      <c r="O634" t="s">
        <v>74</v>
      </c>
      <c r="P634" t="s">
        <v>74</v>
      </c>
      <c r="Q634" t="s">
        <v>74</v>
      </c>
      <c r="R634" t="s">
        <v>74</v>
      </c>
      <c r="S634" t="s">
        <v>74</v>
      </c>
      <c r="T634" t="s">
        <v>12523</v>
      </c>
      <c r="U634" t="s">
        <v>12524</v>
      </c>
      <c r="V634" t="s">
        <v>12525</v>
      </c>
      <c r="W634" t="s">
        <v>12526</v>
      </c>
      <c r="X634" t="s">
        <v>12527</v>
      </c>
      <c r="Y634" t="s">
        <v>12528</v>
      </c>
      <c r="Z634" t="s">
        <v>12529</v>
      </c>
      <c r="AA634" t="s">
        <v>12530</v>
      </c>
      <c r="AB634" t="s">
        <v>12531</v>
      </c>
      <c r="AC634" t="s">
        <v>12532</v>
      </c>
      <c r="AD634" t="s">
        <v>12533</v>
      </c>
      <c r="AE634" t="s">
        <v>12534</v>
      </c>
      <c r="AF634" t="s">
        <v>74</v>
      </c>
      <c r="AG634">
        <v>22</v>
      </c>
      <c r="AH634">
        <v>8</v>
      </c>
      <c r="AI634">
        <v>8</v>
      </c>
      <c r="AJ634">
        <v>0</v>
      </c>
      <c r="AK634">
        <v>4</v>
      </c>
      <c r="AL634" t="s">
        <v>91</v>
      </c>
      <c r="AM634" t="s">
        <v>92</v>
      </c>
      <c r="AN634" t="s">
        <v>93</v>
      </c>
      <c r="AO634" t="s">
        <v>94</v>
      </c>
      <c r="AP634" t="s">
        <v>95</v>
      </c>
      <c r="AQ634" t="s">
        <v>74</v>
      </c>
      <c r="AR634" t="s">
        <v>96</v>
      </c>
      <c r="AS634" t="s">
        <v>97</v>
      </c>
      <c r="AT634" t="s">
        <v>11811</v>
      </c>
      <c r="AU634">
        <v>2018</v>
      </c>
      <c r="AV634">
        <v>41</v>
      </c>
      <c r="AW634">
        <v>3</v>
      </c>
      <c r="AX634" t="s">
        <v>74</v>
      </c>
      <c r="AY634" t="s">
        <v>74</v>
      </c>
      <c r="AZ634" t="s">
        <v>74</v>
      </c>
      <c r="BA634" t="s">
        <v>74</v>
      </c>
      <c r="BB634">
        <v>579</v>
      </c>
      <c r="BC634">
        <v>582</v>
      </c>
      <c r="BD634" t="s">
        <v>74</v>
      </c>
      <c r="BE634" t="s">
        <v>12535</v>
      </c>
      <c r="BF634" t="str">
        <f>HYPERLINK("http://dx.doi.org/10.1007/s00300-017-2218-9","http://dx.doi.org/10.1007/s00300-017-2218-9")</f>
        <v>http://dx.doi.org/10.1007/s00300-017-2218-9</v>
      </c>
      <c r="BG634" t="s">
        <v>74</v>
      </c>
      <c r="BH634" t="s">
        <v>74</v>
      </c>
      <c r="BI634">
        <v>4</v>
      </c>
      <c r="BJ634" t="s">
        <v>100</v>
      </c>
      <c r="BK634" t="s">
        <v>101</v>
      </c>
      <c r="BL634" t="s">
        <v>102</v>
      </c>
      <c r="BM634" t="s">
        <v>12518</v>
      </c>
      <c r="BN634" t="s">
        <v>74</v>
      </c>
      <c r="BO634" t="s">
        <v>74</v>
      </c>
      <c r="BP634" t="s">
        <v>74</v>
      </c>
      <c r="BQ634" t="s">
        <v>74</v>
      </c>
      <c r="BR634" t="s">
        <v>105</v>
      </c>
      <c r="BS634" t="s">
        <v>12536</v>
      </c>
      <c r="BT634" t="str">
        <f>HYPERLINK("https%3A%2F%2Fwww.webofscience.com%2Fwos%2Fwoscc%2Ffull-record%2FWOS:000425956700019","View Full Record in Web of Science")</f>
        <v>View Full Record in Web of Science</v>
      </c>
    </row>
    <row r="635" spans="1:72" x14ac:dyDescent="0.15">
      <c r="A635" t="s">
        <v>72</v>
      </c>
      <c r="B635" t="s">
        <v>12537</v>
      </c>
      <c r="C635" t="s">
        <v>74</v>
      </c>
      <c r="D635" t="s">
        <v>74</v>
      </c>
      <c r="E635" t="s">
        <v>74</v>
      </c>
      <c r="F635" t="s">
        <v>12538</v>
      </c>
      <c r="G635" t="s">
        <v>74</v>
      </c>
      <c r="H635" t="s">
        <v>74</v>
      </c>
      <c r="I635" t="s">
        <v>12539</v>
      </c>
      <c r="J635" t="s">
        <v>786</v>
      </c>
      <c r="K635" t="s">
        <v>74</v>
      </c>
      <c r="L635" t="s">
        <v>74</v>
      </c>
      <c r="M635" t="s">
        <v>78</v>
      </c>
      <c r="N635" t="s">
        <v>79</v>
      </c>
      <c r="O635" t="s">
        <v>74</v>
      </c>
      <c r="P635" t="s">
        <v>74</v>
      </c>
      <c r="Q635" t="s">
        <v>74</v>
      </c>
      <c r="R635" t="s">
        <v>74</v>
      </c>
      <c r="S635" t="s">
        <v>74</v>
      </c>
      <c r="T635" t="s">
        <v>12540</v>
      </c>
      <c r="U635" t="s">
        <v>12541</v>
      </c>
      <c r="V635" t="s">
        <v>12542</v>
      </c>
      <c r="W635" t="s">
        <v>12543</v>
      </c>
      <c r="X635" t="s">
        <v>12544</v>
      </c>
      <c r="Y635" t="s">
        <v>12545</v>
      </c>
      <c r="Z635" t="s">
        <v>12546</v>
      </c>
      <c r="AA635" t="s">
        <v>12547</v>
      </c>
      <c r="AB635" t="s">
        <v>12548</v>
      </c>
      <c r="AC635" t="s">
        <v>12549</v>
      </c>
      <c r="AD635" t="s">
        <v>12550</v>
      </c>
      <c r="AE635" t="s">
        <v>12551</v>
      </c>
      <c r="AF635" t="s">
        <v>74</v>
      </c>
      <c r="AG635">
        <v>48</v>
      </c>
      <c r="AH635">
        <v>15</v>
      </c>
      <c r="AI635">
        <v>17</v>
      </c>
      <c r="AJ635">
        <v>0</v>
      </c>
      <c r="AK635">
        <v>25</v>
      </c>
      <c r="AL635" t="s">
        <v>451</v>
      </c>
      <c r="AM635" t="s">
        <v>452</v>
      </c>
      <c r="AN635" t="s">
        <v>453</v>
      </c>
      <c r="AO635" t="s">
        <v>798</v>
      </c>
      <c r="AP635" t="s">
        <v>799</v>
      </c>
      <c r="AQ635" t="s">
        <v>74</v>
      </c>
      <c r="AR635" t="s">
        <v>800</v>
      </c>
      <c r="AS635" t="s">
        <v>801</v>
      </c>
      <c r="AT635" t="s">
        <v>11811</v>
      </c>
      <c r="AU635">
        <v>2018</v>
      </c>
      <c r="AV635">
        <v>15</v>
      </c>
      <c r="AW635" t="s">
        <v>74</v>
      </c>
      <c r="AX635" t="s">
        <v>74</v>
      </c>
      <c r="AY635" t="s">
        <v>74</v>
      </c>
      <c r="AZ635" t="s">
        <v>74</v>
      </c>
      <c r="BA635" t="s">
        <v>74</v>
      </c>
      <c r="BB635">
        <v>1</v>
      </c>
      <c r="BC635">
        <v>12</v>
      </c>
      <c r="BD635" t="s">
        <v>74</v>
      </c>
      <c r="BE635" t="s">
        <v>12552</v>
      </c>
      <c r="BF635" t="str">
        <f>HYPERLINK("http://dx.doi.org/10.1016/j.polar.2018.01.001","http://dx.doi.org/10.1016/j.polar.2018.01.001")</f>
        <v>http://dx.doi.org/10.1016/j.polar.2018.01.001</v>
      </c>
      <c r="BG635" t="s">
        <v>74</v>
      </c>
      <c r="BH635" t="s">
        <v>74</v>
      </c>
      <c r="BI635">
        <v>12</v>
      </c>
      <c r="BJ635" t="s">
        <v>803</v>
      </c>
      <c r="BK635" t="s">
        <v>101</v>
      </c>
      <c r="BL635" t="s">
        <v>804</v>
      </c>
      <c r="BM635" t="s">
        <v>12553</v>
      </c>
      <c r="BN635" t="s">
        <v>74</v>
      </c>
      <c r="BO635" t="s">
        <v>74</v>
      </c>
      <c r="BP635" t="s">
        <v>74</v>
      </c>
      <c r="BQ635" t="s">
        <v>74</v>
      </c>
      <c r="BR635" t="s">
        <v>105</v>
      </c>
      <c r="BS635" t="s">
        <v>12554</v>
      </c>
      <c r="BT635" t="str">
        <f>HYPERLINK("https%3A%2F%2Fwww.webofscience.com%2Fwos%2Fwoscc%2Ffull-record%2FWOS:000427579100001","View Full Record in Web of Science")</f>
        <v>View Full Record in Web of Science</v>
      </c>
    </row>
    <row r="636" spans="1:72" x14ac:dyDescent="0.15">
      <c r="A636" t="s">
        <v>72</v>
      </c>
      <c r="B636" t="s">
        <v>12555</v>
      </c>
      <c r="C636" t="s">
        <v>74</v>
      </c>
      <c r="D636" t="s">
        <v>74</v>
      </c>
      <c r="E636" t="s">
        <v>74</v>
      </c>
      <c r="F636" t="s">
        <v>12556</v>
      </c>
      <c r="G636" t="s">
        <v>74</v>
      </c>
      <c r="H636" t="s">
        <v>74</v>
      </c>
      <c r="I636" t="s">
        <v>12557</v>
      </c>
      <c r="J636" t="s">
        <v>4510</v>
      </c>
      <c r="K636" t="s">
        <v>74</v>
      </c>
      <c r="L636" t="s">
        <v>74</v>
      </c>
      <c r="M636" t="s">
        <v>78</v>
      </c>
      <c r="N636" t="s">
        <v>79</v>
      </c>
      <c r="O636" t="s">
        <v>74</v>
      </c>
      <c r="P636" t="s">
        <v>74</v>
      </c>
      <c r="Q636" t="s">
        <v>74</v>
      </c>
      <c r="R636" t="s">
        <v>74</v>
      </c>
      <c r="S636" t="s">
        <v>74</v>
      </c>
      <c r="T636" t="s">
        <v>12558</v>
      </c>
      <c r="U636" t="s">
        <v>12559</v>
      </c>
      <c r="V636" t="s">
        <v>12560</v>
      </c>
      <c r="W636" t="s">
        <v>12561</v>
      </c>
      <c r="X636" t="s">
        <v>12562</v>
      </c>
      <c r="Y636" t="s">
        <v>12563</v>
      </c>
      <c r="Z636" t="s">
        <v>12564</v>
      </c>
      <c r="AA636" t="s">
        <v>12565</v>
      </c>
      <c r="AB636" t="s">
        <v>12566</v>
      </c>
      <c r="AC636" t="s">
        <v>12567</v>
      </c>
      <c r="AD636" t="s">
        <v>12568</v>
      </c>
      <c r="AE636" t="s">
        <v>12569</v>
      </c>
      <c r="AF636" t="s">
        <v>74</v>
      </c>
      <c r="AG636">
        <v>53</v>
      </c>
      <c r="AH636">
        <v>5</v>
      </c>
      <c r="AI636">
        <v>5</v>
      </c>
      <c r="AJ636">
        <v>1</v>
      </c>
      <c r="AK636">
        <v>6</v>
      </c>
      <c r="AL636" t="s">
        <v>277</v>
      </c>
      <c r="AM636" t="s">
        <v>278</v>
      </c>
      <c r="AN636" t="s">
        <v>279</v>
      </c>
      <c r="AO636" t="s">
        <v>4522</v>
      </c>
      <c r="AP636" t="s">
        <v>74</v>
      </c>
      <c r="AQ636" t="s">
        <v>74</v>
      </c>
      <c r="AR636" t="s">
        <v>4524</v>
      </c>
      <c r="AS636" t="s">
        <v>4525</v>
      </c>
      <c r="AT636" t="s">
        <v>11811</v>
      </c>
      <c r="AU636">
        <v>2018</v>
      </c>
      <c r="AV636">
        <v>162</v>
      </c>
      <c r="AW636" t="s">
        <v>74</v>
      </c>
      <c r="AX636" t="s">
        <v>74</v>
      </c>
      <c r="AY636" t="s">
        <v>74</v>
      </c>
      <c r="AZ636" t="s">
        <v>74</v>
      </c>
      <c r="BA636" t="s">
        <v>74</v>
      </c>
      <c r="BB636">
        <v>13</v>
      </c>
      <c r="BC636">
        <v>24</v>
      </c>
      <c r="BD636" t="s">
        <v>74</v>
      </c>
      <c r="BE636" t="s">
        <v>12570</v>
      </c>
      <c r="BF636" t="str">
        <f>HYPERLINK("http://dx.doi.org/10.1016/j.pocean.2018.02.008","http://dx.doi.org/10.1016/j.pocean.2018.02.008")</f>
        <v>http://dx.doi.org/10.1016/j.pocean.2018.02.008</v>
      </c>
      <c r="BG636" t="s">
        <v>74</v>
      </c>
      <c r="BH636" t="s">
        <v>74</v>
      </c>
      <c r="BI636">
        <v>12</v>
      </c>
      <c r="BJ636" t="s">
        <v>364</v>
      </c>
      <c r="BK636" t="s">
        <v>101</v>
      </c>
      <c r="BL636" t="s">
        <v>364</v>
      </c>
      <c r="BM636" t="s">
        <v>12571</v>
      </c>
      <c r="BN636" t="s">
        <v>74</v>
      </c>
      <c r="BO636" t="s">
        <v>74</v>
      </c>
      <c r="BP636" t="s">
        <v>74</v>
      </c>
      <c r="BQ636" t="s">
        <v>74</v>
      </c>
      <c r="BR636" t="s">
        <v>105</v>
      </c>
      <c r="BS636" t="s">
        <v>12572</v>
      </c>
      <c r="BT636" t="str">
        <f>HYPERLINK("https%3A%2F%2Fwww.webofscience.com%2Fwos%2Fwoscc%2Ffull-record%2FWOS:000431163600002","View Full Record in Web of Science")</f>
        <v>View Full Record in Web of Science</v>
      </c>
    </row>
    <row r="637" spans="1:72" x14ac:dyDescent="0.15">
      <c r="A637" t="s">
        <v>72</v>
      </c>
      <c r="B637" t="s">
        <v>12573</v>
      </c>
      <c r="C637" t="s">
        <v>74</v>
      </c>
      <c r="D637" t="s">
        <v>74</v>
      </c>
      <c r="E637" t="s">
        <v>74</v>
      </c>
      <c r="F637" t="s">
        <v>12574</v>
      </c>
      <c r="G637" t="s">
        <v>74</v>
      </c>
      <c r="H637" t="s">
        <v>74</v>
      </c>
      <c r="I637" t="s">
        <v>12575</v>
      </c>
      <c r="J637" t="s">
        <v>321</v>
      </c>
      <c r="K637" t="s">
        <v>74</v>
      </c>
      <c r="L637" t="s">
        <v>74</v>
      </c>
      <c r="M637" t="s">
        <v>78</v>
      </c>
      <c r="N637" t="s">
        <v>79</v>
      </c>
      <c r="O637" t="s">
        <v>74</v>
      </c>
      <c r="P637" t="s">
        <v>74</v>
      </c>
      <c r="Q637" t="s">
        <v>74</v>
      </c>
      <c r="R637" t="s">
        <v>74</v>
      </c>
      <c r="S637" t="s">
        <v>74</v>
      </c>
      <c r="T637" t="s">
        <v>12576</v>
      </c>
      <c r="U637" t="s">
        <v>12577</v>
      </c>
      <c r="V637" t="s">
        <v>12578</v>
      </c>
      <c r="W637" t="s">
        <v>12579</v>
      </c>
      <c r="X637" t="s">
        <v>12580</v>
      </c>
      <c r="Y637" t="s">
        <v>12581</v>
      </c>
      <c r="Z637" t="s">
        <v>12582</v>
      </c>
      <c r="AA637" t="s">
        <v>12583</v>
      </c>
      <c r="AB637" t="s">
        <v>12584</v>
      </c>
      <c r="AC637" t="s">
        <v>12585</v>
      </c>
      <c r="AD637" t="s">
        <v>12586</v>
      </c>
      <c r="AE637" t="s">
        <v>12587</v>
      </c>
      <c r="AF637" t="s">
        <v>74</v>
      </c>
      <c r="AG637">
        <v>234</v>
      </c>
      <c r="AH637">
        <v>22</v>
      </c>
      <c r="AI637">
        <v>23</v>
      </c>
      <c r="AJ637">
        <v>4</v>
      </c>
      <c r="AK637">
        <v>41</v>
      </c>
      <c r="AL637" t="s">
        <v>277</v>
      </c>
      <c r="AM637" t="s">
        <v>278</v>
      </c>
      <c r="AN637" t="s">
        <v>279</v>
      </c>
      <c r="AO637" t="s">
        <v>333</v>
      </c>
      <c r="AP637" t="s">
        <v>334</v>
      </c>
      <c r="AQ637" t="s">
        <v>74</v>
      </c>
      <c r="AR637" t="s">
        <v>335</v>
      </c>
      <c r="AS637" t="s">
        <v>336</v>
      </c>
      <c r="AT637" t="s">
        <v>11841</v>
      </c>
      <c r="AU637">
        <v>2018</v>
      </c>
      <c r="AV637">
        <v>183</v>
      </c>
      <c r="AW637" t="s">
        <v>74</v>
      </c>
      <c r="AX637" t="s">
        <v>74</v>
      </c>
      <c r="AY637" t="s">
        <v>74</v>
      </c>
      <c r="AZ637" t="s">
        <v>74</v>
      </c>
      <c r="BA637" t="s">
        <v>74</v>
      </c>
      <c r="BB637">
        <v>1</v>
      </c>
      <c r="BC637">
        <v>22</v>
      </c>
      <c r="BD637" t="s">
        <v>74</v>
      </c>
      <c r="BE637" t="s">
        <v>12588</v>
      </c>
      <c r="BF637" t="str">
        <f>HYPERLINK("http://dx.doi.org/10.1016/j.quascirev.2018.01.007","http://dx.doi.org/10.1016/j.quascirev.2018.01.007")</f>
        <v>http://dx.doi.org/10.1016/j.quascirev.2018.01.007</v>
      </c>
      <c r="BG637" t="s">
        <v>74</v>
      </c>
      <c r="BH637" t="s">
        <v>74</v>
      </c>
      <c r="BI637">
        <v>22</v>
      </c>
      <c r="BJ637" t="s">
        <v>338</v>
      </c>
      <c r="BK637" t="s">
        <v>101</v>
      </c>
      <c r="BL637" t="s">
        <v>339</v>
      </c>
      <c r="BM637" t="s">
        <v>12589</v>
      </c>
      <c r="BN637" t="s">
        <v>74</v>
      </c>
      <c r="BO637" t="s">
        <v>288</v>
      </c>
      <c r="BP637" t="s">
        <v>74</v>
      </c>
      <c r="BQ637" t="s">
        <v>74</v>
      </c>
      <c r="BR637" t="s">
        <v>105</v>
      </c>
      <c r="BS637" t="s">
        <v>12590</v>
      </c>
      <c r="BT637" t="str">
        <f>HYPERLINK("https%3A%2F%2Fwww.webofscience.com%2Fwos%2Fwoscc%2Ffull-record%2FWOS:000427101000001","View Full Record in Web of Science")</f>
        <v>View Full Record in Web of Science</v>
      </c>
    </row>
    <row r="638" spans="1:72" x14ac:dyDescent="0.15">
      <c r="A638" t="s">
        <v>72</v>
      </c>
      <c r="B638" t="s">
        <v>12591</v>
      </c>
      <c r="C638" t="s">
        <v>74</v>
      </c>
      <c r="D638" t="s">
        <v>74</v>
      </c>
      <c r="E638" t="s">
        <v>74</v>
      </c>
      <c r="F638" t="s">
        <v>12592</v>
      </c>
      <c r="G638" t="s">
        <v>74</v>
      </c>
      <c r="H638" t="s">
        <v>74</v>
      </c>
      <c r="I638" t="s">
        <v>12593</v>
      </c>
      <c r="J638" t="s">
        <v>852</v>
      </c>
      <c r="K638" t="s">
        <v>74</v>
      </c>
      <c r="L638" t="s">
        <v>74</v>
      </c>
      <c r="M638" t="s">
        <v>78</v>
      </c>
      <c r="N638" t="s">
        <v>79</v>
      </c>
      <c r="O638" t="s">
        <v>74</v>
      </c>
      <c r="P638" t="s">
        <v>74</v>
      </c>
      <c r="Q638" t="s">
        <v>74</v>
      </c>
      <c r="R638" t="s">
        <v>74</v>
      </c>
      <c r="S638" t="s">
        <v>74</v>
      </c>
      <c r="T638" t="s">
        <v>12594</v>
      </c>
      <c r="U638" t="s">
        <v>12595</v>
      </c>
      <c r="V638" t="s">
        <v>12596</v>
      </c>
      <c r="W638" t="s">
        <v>12597</v>
      </c>
      <c r="X638" t="s">
        <v>12598</v>
      </c>
      <c r="Y638" t="s">
        <v>12599</v>
      </c>
      <c r="Z638" t="s">
        <v>12600</v>
      </c>
      <c r="AA638" t="s">
        <v>12601</v>
      </c>
      <c r="AB638" t="s">
        <v>12602</v>
      </c>
      <c r="AC638" t="s">
        <v>12603</v>
      </c>
      <c r="AD638" t="s">
        <v>12604</v>
      </c>
      <c r="AE638" t="s">
        <v>12605</v>
      </c>
      <c r="AF638" t="s">
        <v>74</v>
      </c>
      <c r="AG638">
        <v>64</v>
      </c>
      <c r="AH638">
        <v>23</v>
      </c>
      <c r="AI638">
        <v>29</v>
      </c>
      <c r="AJ638">
        <v>3</v>
      </c>
      <c r="AK638">
        <v>49</v>
      </c>
      <c r="AL638" t="s">
        <v>865</v>
      </c>
      <c r="AM638" t="s">
        <v>92</v>
      </c>
      <c r="AN638" t="s">
        <v>3907</v>
      </c>
      <c r="AO638" t="s">
        <v>867</v>
      </c>
      <c r="AP638" t="s">
        <v>868</v>
      </c>
      <c r="AQ638" t="s">
        <v>74</v>
      </c>
      <c r="AR638" t="s">
        <v>869</v>
      </c>
      <c r="AS638" t="s">
        <v>870</v>
      </c>
      <c r="AT638" t="s">
        <v>11841</v>
      </c>
      <c r="AU638">
        <v>2018</v>
      </c>
      <c r="AV638">
        <v>206</v>
      </c>
      <c r="AW638" t="s">
        <v>74</v>
      </c>
      <c r="AX638" t="s">
        <v>74</v>
      </c>
      <c r="AY638" t="s">
        <v>74</v>
      </c>
      <c r="AZ638" t="s">
        <v>74</v>
      </c>
      <c r="BA638" t="s">
        <v>74</v>
      </c>
      <c r="BB638">
        <v>218</v>
      </c>
      <c r="BC638">
        <v>230</v>
      </c>
      <c r="BD638" t="s">
        <v>74</v>
      </c>
      <c r="BE638" t="s">
        <v>12606</v>
      </c>
      <c r="BF638" t="str">
        <f>HYPERLINK("http://dx.doi.org/10.1016/j.rse.2017.12.041","http://dx.doi.org/10.1016/j.rse.2017.12.041")</f>
        <v>http://dx.doi.org/10.1016/j.rse.2017.12.041</v>
      </c>
      <c r="BG638" t="s">
        <v>74</v>
      </c>
      <c r="BH638" t="s">
        <v>74</v>
      </c>
      <c r="BI638">
        <v>13</v>
      </c>
      <c r="BJ638" t="s">
        <v>872</v>
      </c>
      <c r="BK638" t="s">
        <v>101</v>
      </c>
      <c r="BL638" t="s">
        <v>873</v>
      </c>
      <c r="BM638" t="s">
        <v>12607</v>
      </c>
      <c r="BN638" t="s">
        <v>74</v>
      </c>
      <c r="BO638" t="s">
        <v>74</v>
      </c>
      <c r="BP638" t="s">
        <v>74</v>
      </c>
      <c r="BQ638" t="s">
        <v>74</v>
      </c>
      <c r="BR638" t="s">
        <v>105</v>
      </c>
      <c r="BS638" t="s">
        <v>12608</v>
      </c>
      <c r="BT638" t="str">
        <f>HYPERLINK("https%3A%2F%2Fwww.webofscience.com%2Fwos%2Fwoscc%2Ffull-record%2FWOS:000427342700016","View Full Record in Web of Science")</f>
        <v>View Full Record in Web of Science</v>
      </c>
    </row>
    <row r="639" spans="1:72" x14ac:dyDescent="0.15">
      <c r="A639" t="s">
        <v>72</v>
      </c>
      <c r="B639" t="s">
        <v>12609</v>
      </c>
      <c r="C639" t="s">
        <v>74</v>
      </c>
      <c r="D639" t="s">
        <v>74</v>
      </c>
      <c r="E639" t="s">
        <v>74</v>
      </c>
      <c r="F639" t="s">
        <v>12610</v>
      </c>
      <c r="G639" t="s">
        <v>74</v>
      </c>
      <c r="H639" t="s">
        <v>74</v>
      </c>
      <c r="I639" t="s">
        <v>12611</v>
      </c>
      <c r="J639" t="s">
        <v>12612</v>
      </c>
      <c r="K639" t="s">
        <v>74</v>
      </c>
      <c r="L639" t="s">
        <v>74</v>
      </c>
      <c r="M639" t="s">
        <v>78</v>
      </c>
      <c r="N639" t="s">
        <v>79</v>
      </c>
      <c r="O639" t="s">
        <v>74</v>
      </c>
      <c r="P639" t="s">
        <v>74</v>
      </c>
      <c r="Q639" t="s">
        <v>74</v>
      </c>
      <c r="R639" t="s">
        <v>74</v>
      </c>
      <c r="S639" t="s">
        <v>74</v>
      </c>
      <c r="T639" t="s">
        <v>12613</v>
      </c>
      <c r="U639" t="s">
        <v>74</v>
      </c>
      <c r="V639" t="s">
        <v>12614</v>
      </c>
      <c r="W639" t="s">
        <v>12615</v>
      </c>
      <c r="X639" t="s">
        <v>74</v>
      </c>
      <c r="Y639" t="s">
        <v>12616</v>
      </c>
      <c r="Z639" t="s">
        <v>12617</v>
      </c>
      <c r="AA639" t="s">
        <v>74</v>
      </c>
      <c r="AB639" t="s">
        <v>74</v>
      </c>
      <c r="AC639" t="s">
        <v>12618</v>
      </c>
      <c r="AD639" t="s">
        <v>12619</v>
      </c>
      <c r="AE639" t="s">
        <v>12620</v>
      </c>
      <c r="AF639" t="s">
        <v>74</v>
      </c>
      <c r="AG639">
        <v>32</v>
      </c>
      <c r="AH639">
        <v>1</v>
      </c>
      <c r="AI639">
        <v>1</v>
      </c>
      <c r="AJ639">
        <v>0</v>
      </c>
      <c r="AK639">
        <v>4</v>
      </c>
      <c r="AL639" t="s">
        <v>12621</v>
      </c>
      <c r="AM639" t="s">
        <v>12622</v>
      </c>
      <c r="AN639" t="s">
        <v>12623</v>
      </c>
      <c r="AO639" t="s">
        <v>12624</v>
      </c>
      <c r="AP639" t="s">
        <v>12625</v>
      </c>
      <c r="AQ639" t="s">
        <v>74</v>
      </c>
      <c r="AR639" t="s">
        <v>12626</v>
      </c>
      <c r="AS639" t="s">
        <v>12627</v>
      </c>
      <c r="AT639" t="s">
        <v>11811</v>
      </c>
      <c r="AU639">
        <v>2018</v>
      </c>
      <c r="AV639">
        <v>43</v>
      </c>
      <c r="AW639">
        <v>3</v>
      </c>
      <c r="AX639" t="s">
        <v>74</v>
      </c>
      <c r="AY639" t="s">
        <v>74</v>
      </c>
      <c r="AZ639" t="s">
        <v>74</v>
      </c>
      <c r="BA639" t="s">
        <v>74</v>
      </c>
      <c r="BB639">
        <v>152</v>
      </c>
      <c r="BC639">
        <v>160</v>
      </c>
      <c r="BD639" t="s">
        <v>74</v>
      </c>
      <c r="BE639" t="s">
        <v>12628</v>
      </c>
      <c r="BF639" t="str">
        <f>HYPERLINK("http://dx.doi.org/10.3103/S1068373918030032","http://dx.doi.org/10.3103/S1068373918030032")</f>
        <v>http://dx.doi.org/10.3103/S1068373918030032</v>
      </c>
      <c r="BG639" t="s">
        <v>74</v>
      </c>
      <c r="BH639" t="s">
        <v>74</v>
      </c>
      <c r="BI639">
        <v>9</v>
      </c>
      <c r="BJ639" t="s">
        <v>131</v>
      </c>
      <c r="BK639" t="s">
        <v>101</v>
      </c>
      <c r="BL639" t="s">
        <v>131</v>
      </c>
      <c r="BM639" t="s">
        <v>12629</v>
      </c>
      <c r="BN639" t="s">
        <v>74</v>
      </c>
      <c r="BO639" t="s">
        <v>162</v>
      </c>
      <c r="BP639" t="s">
        <v>74</v>
      </c>
      <c r="BQ639" t="s">
        <v>74</v>
      </c>
      <c r="BR639" t="s">
        <v>105</v>
      </c>
      <c r="BS639" t="s">
        <v>12630</v>
      </c>
      <c r="BT639" t="str">
        <f>HYPERLINK("https%3A%2F%2Fwww.webofscience.com%2Fwos%2Fwoscc%2Ffull-record%2FWOS:000429365200003","View Full Record in Web of Science")</f>
        <v>View Full Record in Web of Science</v>
      </c>
    </row>
    <row r="640" spans="1:72" x14ac:dyDescent="0.15">
      <c r="A640" t="s">
        <v>72</v>
      </c>
      <c r="B640" t="s">
        <v>12631</v>
      </c>
      <c r="C640" t="s">
        <v>74</v>
      </c>
      <c r="D640" t="s">
        <v>74</v>
      </c>
      <c r="E640" t="s">
        <v>74</v>
      </c>
      <c r="F640" t="s">
        <v>12632</v>
      </c>
      <c r="G640" t="s">
        <v>74</v>
      </c>
      <c r="H640" t="s">
        <v>74</v>
      </c>
      <c r="I640" t="s">
        <v>12633</v>
      </c>
      <c r="J640" t="s">
        <v>12634</v>
      </c>
      <c r="K640" t="s">
        <v>74</v>
      </c>
      <c r="L640" t="s">
        <v>74</v>
      </c>
      <c r="M640" t="s">
        <v>78</v>
      </c>
      <c r="N640" t="s">
        <v>1427</v>
      </c>
      <c r="O640" t="s">
        <v>12635</v>
      </c>
      <c r="P640" t="s">
        <v>12636</v>
      </c>
      <c r="Q640" t="s">
        <v>12637</v>
      </c>
      <c r="R640" t="s">
        <v>74</v>
      </c>
      <c r="S640" t="s">
        <v>12638</v>
      </c>
      <c r="T640" t="s">
        <v>12639</v>
      </c>
      <c r="U640" t="s">
        <v>12640</v>
      </c>
      <c r="V640" t="s">
        <v>12641</v>
      </c>
      <c r="W640" t="s">
        <v>12642</v>
      </c>
      <c r="X640" t="s">
        <v>12643</v>
      </c>
      <c r="Y640" t="s">
        <v>12644</v>
      </c>
      <c r="Z640" t="s">
        <v>12645</v>
      </c>
      <c r="AA640" t="s">
        <v>12646</v>
      </c>
      <c r="AB640" t="s">
        <v>12647</v>
      </c>
      <c r="AC640" t="s">
        <v>12648</v>
      </c>
      <c r="AD640" t="s">
        <v>12649</v>
      </c>
      <c r="AE640" t="s">
        <v>12650</v>
      </c>
      <c r="AF640" t="s">
        <v>74</v>
      </c>
      <c r="AG640">
        <v>36</v>
      </c>
      <c r="AH640">
        <v>7</v>
      </c>
      <c r="AI640">
        <v>7</v>
      </c>
      <c r="AJ640">
        <v>0</v>
      </c>
      <c r="AK640">
        <v>9</v>
      </c>
      <c r="AL640" t="s">
        <v>91</v>
      </c>
      <c r="AM640" t="s">
        <v>92</v>
      </c>
      <c r="AN640" t="s">
        <v>93</v>
      </c>
      <c r="AO640" t="s">
        <v>12651</v>
      </c>
      <c r="AP640" t="s">
        <v>12652</v>
      </c>
      <c r="AQ640" t="s">
        <v>74</v>
      </c>
      <c r="AR640" t="s">
        <v>12653</v>
      </c>
      <c r="AS640" t="s">
        <v>12654</v>
      </c>
      <c r="AT640" t="s">
        <v>11811</v>
      </c>
      <c r="AU640">
        <v>2018</v>
      </c>
      <c r="AV640">
        <v>27</v>
      </c>
      <c r="AW640">
        <v>1</v>
      </c>
      <c r="AX640" t="s">
        <v>74</v>
      </c>
      <c r="AY640" t="s">
        <v>74</v>
      </c>
      <c r="AZ640" t="s">
        <v>508</v>
      </c>
      <c r="BA640" t="s">
        <v>74</v>
      </c>
      <c r="BB640">
        <v>147</v>
      </c>
      <c r="BC640">
        <v>172</v>
      </c>
      <c r="BD640" t="s">
        <v>74</v>
      </c>
      <c r="BE640" t="s">
        <v>12655</v>
      </c>
      <c r="BF640" t="str">
        <f>HYPERLINK("http://dx.doi.org/10.1007/s11749-017-0538-2","http://dx.doi.org/10.1007/s11749-017-0538-2")</f>
        <v>http://dx.doi.org/10.1007/s11749-017-0538-2</v>
      </c>
      <c r="BG640" t="s">
        <v>74</v>
      </c>
      <c r="BH640" t="s">
        <v>74</v>
      </c>
      <c r="BI640">
        <v>26</v>
      </c>
      <c r="BJ640" t="s">
        <v>12656</v>
      </c>
      <c r="BK640" t="s">
        <v>1449</v>
      </c>
      <c r="BL640" t="s">
        <v>1134</v>
      </c>
      <c r="BM640" t="s">
        <v>12657</v>
      </c>
      <c r="BN640" t="s">
        <v>74</v>
      </c>
      <c r="BO640" t="s">
        <v>74</v>
      </c>
      <c r="BP640" t="s">
        <v>74</v>
      </c>
      <c r="BQ640" t="s">
        <v>74</v>
      </c>
      <c r="BR640" t="s">
        <v>105</v>
      </c>
      <c r="BS640" t="s">
        <v>12658</v>
      </c>
      <c r="BT640" t="str">
        <f>HYPERLINK("https%3A%2F%2Fwww.webofscience.com%2Fwos%2Fwoscc%2Ffull-record%2FWOS:000425163500008","View Full Record in Web of Science")</f>
        <v>View Full Record in Web of Science</v>
      </c>
    </row>
    <row r="641" spans="1:72" x14ac:dyDescent="0.15">
      <c r="A641" t="s">
        <v>72</v>
      </c>
      <c r="B641" t="s">
        <v>12659</v>
      </c>
      <c r="C641" t="s">
        <v>74</v>
      </c>
      <c r="D641" t="s">
        <v>74</v>
      </c>
      <c r="E641" t="s">
        <v>74</v>
      </c>
      <c r="F641" t="s">
        <v>12660</v>
      </c>
      <c r="G641" t="s">
        <v>74</v>
      </c>
      <c r="H641" t="s">
        <v>74</v>
      </c>
      <c r="I641" t="s">
        <v>12661</v>
      </c>
      <c r="J641" t="s">
        <v>5468</v>
      </c>
      <c r="K641" t="s">
        <v>74</v>
      </c>
      <c r="L641" t="s">
        <v>74</v>
      </c>
      <c r="M641" t="s">
        <v>78</v>
      </c>
      <c r="N641" t="s">
        <v>466</v>
      </c>
      <c r="O641" t="s">
        <v>74</v>
      </c>
      <c r="P641" t="s">
        <v>74</v>
      </c>
      <c r="Q641" t="s">
        <v>74</v>
      </c>
      <c r="R641" t="s">
        <v>74</v>
      </c>
      <c r="S641" t="s">
        <v>74</v>
      </c>
      <c r="T641" t="s">
        <v>74</v>
      </c>
      <c r="U641" t="s">
        <v>12662</v>
      </c>
      <c r="V641" t="s">
        <v>12663</v>
      </c>
      <c r="W641" t="s">
        <v>12664</v>
      </c>
      <c r="X641" t="s">
        <v>12665</v>
      </c>
      <c r="Y641" t="s">
        <v>12666</v>
      </c>
      <c r="Z641" t="s">
        <v>12667</v>
      </c>
      <c r="AA641" t="s">
        <v>12668</v>
      </c>
      <c r="AB641" t="s">
        <v>12669</v>
      </c>
      <c r="AC641" t="s">
        <v>12670</v>
      </c>
      <c r="AD641" t="s">
        <v>12671</v>
      </c>
      <c r="AE641" t="s">
        <v>12672</v>
      </c>
      <c r="AF641" t="s">
        <v>74</v>
      </c>
      <c r="AG641">
        <v>101</v>
      </c>
      <c r="AH641">
        <v>9</v>
      </c>
      <c r="AI641">
        <v>9</v>
      </c>
      <c r="AJ641">
        <v>2</v>
      </c>
      <c r="AK641">
        <v>22</v>
      </c>
      <c r="AL641" t="s">
        <v>372</v>
      </c>
      <c r="AM641" t="s">
        <v>92</v>
      </c>
      <c r="AN641" t="s">
        <v>373</v>
      </c>
      <c r="AO641" t="s">
        <v>5474</v>
      </c>
      <c r="AP641" t="s">
        <v>5475</v>
      </c>
      <c r="AQ641" t="s">
        <v>74</v>
      </c>
      <c r="AR641" t="s">
        <v>5476</v>
      </c>
      <c r="AS641" t="s">
        <v>5477</v>
      </c>
      <c r="AT641" t="s">
        <v>11811</v>
      </c>
      <c r="AU641">
        <v>2018</v>
      </c>
      <c r="AV641">
        <v>54</v>
      </c>
      <c r="AW641">
        <v>2</v>
      </c>
      <c r="AX641" t="s">
        <v>74</v>
      </c>
      <c r="AY641" t="s">
        <v>74</v>
      </c>
      <c r="AZ641" t="s">
        <v>74</v>
      </c>
      <c r="BA641" t="s">
        <v>74</v>
      </c>
      <c r="BB641">
        <v>158</v>
      </c>
      <c r="BC641">
        <v>175</v>
      </c>
      <c r="BD641" t="s">
        <v>74</v>
      </c>
      <c r="BE641" t="s">
        <v>12673</v>
      </c>
      <c r="BF641" t="str">
        <f>HYPERLINK("http://dx.doi.org/10.1017/S0032247418000232","http://dx.doi.org/10.1017/S0032247418000232")</f>
        <v>http://dx.doi.org/10.1017/S0032247418000232</v>
      </c>
      <c r="BG641" t="s">
        <v>74</v>
      </c>
      <c r="BH641" t="s">
        <v>74</v>
      </c>
      <c r="BI641">
        <v>18</v>
      </c>
      <c r="BJ641" t="s">
        <v>5479</v>
      </c>
      <c r="BK641" t="s">
        <v>101</v>
      </c>
      <c r="BL641" t="s">
        <v>315</v>
      </c>
      <c r="BM641" t="s">
        <v>12674</v>
      </c>
      <c r="BN641" t="s">
        <v>74</v>
      </c>
      <c r="BO641" t="s">
        <v>74</v>
      </c>
      <c r="BP641" t="s">
        <v>74</v>
      </c>
      <c r="BQ641" t="s">
        <v>74</v>
      </c>
      <c r="BR641" t="s">
        <v>105</v>
      </c>
      <c r="BS641" t="s">
        <v>12675</v>
      </c>
      <c r="BT641" t="str">
        <f>HYPERLINK("https%3A%2F%2Fwww.webofscience.com%2Fwos%2Fwoscc%2Ffull-record%2FWOS:000440667400006","View Full Record in Web of Science")</f>
        <v>View Full Record in Web of Science</v>
      </c>
    </row>
    <row r="642" spans="1:72" x14ac:dyDescent="0.15">
      <c r="A642" t="s">
        <v>72</v>
      </c>
      <c r="B642" t="s">
        <v>12676</v>
      </c>
      <c r="C642" t="s">
        <v>74</v>
      </c>
      <c r="D642" t="s">
        <v>74</v>
      </c>
      <c r="E642" t="s">
        <v>74</v>
      </c>
      <c r="F642" t="s">
        <v>12677</v>
      </c>
      <c r="G642" t="s">
        <v>74</v>
      </c>
      <c r="H642" t="s">
        <v>74</v>
      </c>
      <c r="I642" t="s">
        <v>12678</v>
      </c>
      <c r="J642" t="s">
        <v>5468</v>
      </c>
      <c r="K642" t="s">
        <v>74</v>
      </c>
      <c r="L642" t="s">
        <v>74</v>
      </c>
      <c r="M642" t="s">
        <v>78</v>
      </c>
      <c r="N642" t="s">
        <v>999</v>
      </c>
      <c r="O642" t="s">
        <v>74</v>
      </c>
      <c r="P642" t="s">
        <v>74</v>
      </c>
      <c r="Q642" t="s">
        <v>74</v>
      </c>
      <c r="R642" t="s">
        <v>74</v>
      </c>
      <c r="S642" t="s">
        <v>74</v>
      </c>
      <c r="T642" t="s">
        <v>74</v>
      </c>
      <c r="U642" t="s">
        <v>74</v>
      </c>
      <c r="V642" t="s">
        <v>74</v>
      </c>
      <c r="W642" t="s">
        <v>74</v>
      </c>
      <c r="X642" t="s">
        <v>74</v>
      </c>
      <c r="Y642" t="s">
        <v>74</v>
      </c>
      <c r="Z642" t="s">
        <v>74</v>
      </c>
      <c r="AA642" t="s">
        <v>74</v>
      </c>
      <c r="AB642" t="s">
        <v>74</v>
      </c>
      <c r="AC642" t="s">
        <v>74</v>
      </c>
      <c r="AD642" t="s">
        <v>74</v>
      </c>
      <c r="AE642" t="s">
        <v>74</v>
      </c>
      <c r="AF642" t="s">
        <v>74</v>
      </c>
      <c r="AG642">
        <v>5</v>
      </c>
      <c r="AH642">
        <v>0</v>
      </c>
      <c r="AI642">
        <v>0</v>
      </c>
      <c r="AJ642">
        <v>0</v>
      </c>
      <c r="AK642">
        <v>2</v>
      </c>
      <c r="AL642" t="s">
        <v>372</v>
      </c>
      <c r="AM642" t="s">
        <v>92</v>
      </c>
      <c r="AN642" t="s">
        <v>373</v>
      </c>
      <c r="AO642" t="s">
        <v>5474</v>
      </c>
      <c r="AP642" t="s">
        <v>5475</v>
      </c>
      <c r="AQ642" t="s">
        <v>74</v>
      </c>
      <c r="AR642" t="s">
        <v>5476</v>
      </c>
      <c r="AS642" t="s">
        <v>5477</v>
      </c>
      <c r="AT642" t="s">
        <v>11811</v>
      </c>
      <c r="AU642">
        <v>2018</v>
      </c>
      <c r="AV642">
        <v>54</v>
      </c>
      <c r="AW642">
        <v>2</v>
      </c>
      <c r="AX642" t="s">
        <v>74</v>
      </c>
      <c r="AY642" t="s">
        <v>74</v>
      </c>
      <c r="AZ642" t="s">
        <v>74</v>
      </c>
      <c r="BA642" t="s">
        <v>74</v>
      </c>
      <c r="BB642">
        <v>188</v>
      </c>
      <c r="BC642">
        <v>188</v>
      </c>
      <c r="BD642" t="s">
        <v>74</v>
      </c>
      <c r="BE642" t="s">
        <v>12679</v>
      </c>
      <c r="BF642" t="str">
        <f>HYPERLINK("http://dx.doi.org/10.1017/S0032247418000281","http://dx.doi.org/10.1017/S0032247418000281")</f>
        <v>http://dx.doi.org/10.1017/S0032247418000281</v>
      </c>
      <c r="BG642" t="s">
        <v>74</v>
      </c>
      <c r="BH642" t="s">
        <v>74</v>
      </c>
      <c r="BI642">
        <v>1</v>
      </c>
      <c r="BJ642" t="s">
        <v>5479</v>
      </c>
      <c r="BK642" t="s">
        <v>101</v>
      </c>
      <c r="BL642" t="s">
        <v>315</v>
      </c>
      <c r="BM642" t="s">
        <v>12674</v>
      </c>
      <c r="BN642" t="s">
        <v>74</v>
      </c>
      <c r="BO642" t="s">
        <v>162</v>
      </c>
      <c r="BP642" t="s">
        <v>74</v>
      </c>
      <c r="BQ642" t="s">
        <v>74</v>
      </c>
      <c r="BR642" t="s">
        <v>105</v>
      </c>
      <c r="BS642" t="s">
        <v>12680</v>
      </c>
      <c r="BT642" t="str">
        <f>HYPERLINK("https%3A%2F%2Fwww.webofscience.com%2Fwos%2Fwoscc%2Ffull-record%2FWOS:000440667400011","View Full Record in Web of Science")</f>
        <v>View Full Record in Web of Science</v>
      </c>
    </row>
    <row r="643" spans="1:72" x14ac:dyDescent="0.15">
      <c r="A643" t="s">
        <v>72</v>
      </c>
      <c r="B643" t="s">
        <v>12681</v>
      </c>
      <c r="C643" t="s">
        <v>74</v>
      </c>
      <c r="D643" t="s">
        <v>74</v>
      </c>
      <c r="E643" t="s">
        <v>74</v>
      </c>
      <c r="F643" t="s">
        <v>12682</v>
      </c>
      <c r="G643" t="s">
        <v>74</v>
      </c>
      <c r="H643" t="s">
        <v>74</v>
      </c>
      <c r="I643" t="s">
        <v>12683</v>
      </c>
      <c r="J643" t="s">
        <v>1598</v>
      </c>
      <c r="K643" t="s">
        <v>74</v>
      </c>
      <c r="L643" t="s">
        <v>74</v>
      </c>
      <c r="M643" t="s">
        <v>78</v>
      </c>
      <c r="N643" t="s">
        <v>79</v>
      </c>
      <c r="O643" t="s">
        <v>74</v>
      </c>
      <c r="P643" t="s">
        <v>74</v>
      </c>
      <c r="Q643" t="s">
        <v>74</v>
      </c>
      <c r="R643" t="s">
        <v>74</v>
      </c>
      <c r="S643" t="s">
        <v>74</v>
      </c>
      <c r="T643" t="s">
        <v>12684</v>
      </c>
      <c r="U643" t="s">
        <v>12685</v>
      </c>
      <c r="V643" t="s">
        <v>12686</v>
      </c>
      <c r="W643" t="s">
        <v>12687</v>
      </c>
      <c r="X643" t="s">
        <v>12688</v>
      </c>
      <c r="Y643" t="s">
        <v>12689</v>
      </c>
      <c r="Z643" t="s">
        <v>12690</v>
      </c>
      <c r="AA643" t="s">
        <v>12691</v>
      </c>
      <c r="AB643" t="s">
        <v>12692</v>
      </c>
      <c r="AC643" t="s">
        <v>12693</v>
      </c>
      <c r="AD643" t="s">
        <v>12694</v>
      </c>
      <c r="AE643" t="s">
        <v>12695</v>
      </c>
      <c r="AF643" t="s">
        <v>74</v>
      </c>
      <c r="AG643">
        <v>48</v>
      </c>
      <c r="AH643">
        <v>16</v>
      </c>
      <c r="AI643">
        <v>16</v>
      </c>
      <c r="AJ643">
        <v>1</v>
      </c>
      <c r="AK643">
        <v>12</v>
      </c>
      <c r="AL643" t="s">
        <v>123</v>
      </c>
      <c r="AM643" t="s">
        <v>124</v>
      </c>
      <c r="AN643" t="s">
        <v>125</v>
      </c>
      <c r="AO643" t="s">
        <v>1609</v>
      </c>
      <c r="AP643" t="s">
        <v>1610</v>
      </c>
      <c r="AQ643" t="s">
        <v>74</v>
      </c>
      <c r="AR643" t="s">
        <v>1611</v>
      </c>
      <c r="AS643" t="s">
        <v>1612</v>
      </c>
      <c r="AT643" t="s">
        <v>11841</v>
      </c>
      <c r="AU643">
        <v>2018</v>
      </c>
      <c r="AV643">
        <v>50</v>
      </c>
      <c r="AW643">
        <v>1</v>
      </c>
      <c r="AX643" t="s">
        <v>74</v>
      </c>
      <c r="AY643" t="s">
        <v>74</v>
      </c>
      <c r="AZ643" t="s">
        <v>74</v>
      </c>
      <c r="BA643" t="s">
        <v>74</v>
      </c>
      <c r="BB643" t="s">
        <v>74</v>
      </c>
      <c r="BC643" t="s">
        <v>74</v>
      </c>
      <c r="BD643" t="s">
        <v>12696</v>
      </c>
      <c r="BE643" t="s">
        <v>12697</v>
      </c>
      <c r="BF643" t="str">
        <f>HYPERLINK("http://dx.doi.org/10.1080/15230430.2017.1414468","http://dx.doi.org/10.1080/15230430.2017.1414468")</f>
        <v>http://dx.doi.org/10.1080/15230430.2017.1414468</v>
      </c>
      <c r="BG643" t="s">
        <v>74</v>
      </c>
      <c r="BH643" t="s">
        <v>74</v>
      </c>
      <c r="BI643">
        <v>11</v>
      </c>
      <c r="BJ643" t="s">
        <v>1616</v>
      </c>
      <c r="BK643" t="s">
        <v>101</v>
      </c>
      <c r="BL643" t="s">
        <v>1617</v>
      </c>
      <c r="BM643" t="s">
        <v>12698</v>
      </c>
      <c r="BN643" t="s">
        <v>74</v>
      </c>
      <c r="BO643" t="s">
        <v>764</v>
      </c>
      <c r="BP643" t="s">
        <v>74</v>
      </c>
      <c r="BQ643" t="s">
        <v>74</v>
      </c>
      <c r="BR643" t="s">
        <v>105</v>
      </c>
      <c r="BS643" t="s">
        <v>12699</v>
      </c>
      <c r="BT643" t="str">
        <f>HYPERLINK("https%3A%2F%2Fwww.webofscience.com%2Fwos%2Fwoscc%2Ffull-record%2FWOS:000438749600001","View Full Record in Web of Science")</f>
        <v>View Full Record in Web of Science</v>
      </c>
    </row>
    <row r="644" spans="1:72" x14ac:dyDescent="0.15">
      <c r="A644" t="s">
        <v>72</v>
      </c>
      <c r="B644" t="s">
        <v>12700</v>
      </c>
      <c r="C644" t="s">
        <v>74</v>
      </c>
      <c r="D644" t="s">
        <v>74</v>
      </c>
      <c r="E644" t="s">
        <v>74</v>
      </c>
      <c r="F644" t="s">
        <v>12701</v>
      </c>
      <c r="G644" t="s">
        <v>74</v>
      </c>
      <c r="H644" t="s">
        <v>74</v>
      </c>
      <c r="I644" t="s">
        <v>12702</v>
      </c>
      <c r="J644" t="s">
        <v>12002</v>
      </c>
      <c r="K644" t="s">
        <v>74</v>
      </c>
      <c r="L644" t="s">
        <v>74</v>
      </c>
      <c r="M644" t="s">
        <v>78</v>
      </c>
      <c r="N644" t="s">
        <v>79</v>
      </c>
      <c r="O644" t="s">
        <v>74</v>
      </c>
      <c r="P644" t="s">
        <v>74</v>
      </c>
      <c r="Q644" t="s">
        <v>74</v>
      </c>
      <c r="R644" t="s">
        <v>74</v>
      </c>
      <c r="S644" t="s">
        <v>74</v>
      </c>
      <c r="T644" t="s">
        <v>12703</v>
      </c>
      <c r="U644" t="s">
        <v>12704</v>
      </c>
      <c r="V644" t="s">
        <v>12705</v>
      </c>
      <c r="W644" t="s">
        <v>12706</v>
      </c>
      <c r="X644" t="s">
        <v>12707</v>
      </c>
      <c r="Y644" t="s">
        <v>12708</v>
      </c>
      <c r="Z644" t="s">
        <v>12709</v>
      </c>
      <c r="AA644" t="s">
        <v>12710</v>
      </c>
      <c r="AB644" t="s">
        <v>12711</v>
      </c>
      <c r="AC644" t="s">
        <v>12712</v>
      </c>
      <c r="AD644" t="s">
        <v>12713</v>
      </c>
      <c r="AE644" t="s">
        <v>12714</v>
      </c>
      <c r="AF644" t="s">
        <v>74</v>
      </c>
      <c r="AG644">
        <v>25</v>
      </c>
      <c r="AH644">
        <v>19</v>
      </c>
      <c r="AI644">
        <v>19</v>
      </c>
      <c r="AJ644">
        <v>0</v>
      </c>
      <c r="AK644">
        <v>7</v>
      </c>
      <c r="AL644" t="s">
        <v>277</v>
      </c>
      <c r="AM644" t="s">
        <v>278</v>
      </c>
      <c r="AN644" t="s">
        <v>279</v>
      </c>
      <c r="AO644" t="s">
        <v>12015</v>
      </c>
      <c r="AP644" t="s">
        <v>12016</v>
      </c>
      <c r="AQ644" t="s">
        <v>74</v>
      </c>
      <c r="AR644" t="s">
        <v>12017</v>
      </c>
      <c r="AS644" t="s">
        <v>12018</v>
      </c>
      <c r="AT644" t="s">
        <v>11811</v>
      </c>
      <c r="AU644">
        <v>2018</v>
      </c>
      <c r="AV644">
        <v>149</v>
      </c>
      <c r="AW644" t="s">
        <v>74</v>
      </c>
      <c r="AX644" t="s">
        <v>74</v>
      </c>
      <c r="AY644" t="s">
        <v>74</v>
      </c>
      <c r="AZ644" t="s">
        <v>508</v>
      </c>
      <c r="BA644" t="s">
        <v>74</v>
      </c>
      <c r="BB644">
        <v>25</v>
      </c>
      <c r="BC644">
        <v>30</v>
      </c>
      <c r="BD644" t="s">
        <v>74</v>
      </c>
      <c r="BE644" t="s">
        <v>12715</v>
      </c>
      <c r="BF644" t="str">
        <f>HYPERLINK("http://dx.doi.org/10.1016/j.dsr2.2017.09.006","http://dx.doi.org/10.1016/j.dsr2.2017.09.006")</f>
        <v>http://dx.doi.org/10.1016/j.dsr2.2017.09.006</v>
      </c>
      <c r="BG644" t="s">
        <v>74</v>
      </c>
      <c r="BH644" t="s">
        <v>74</v>
      </c>
      <c r="BI644">
        <v>6</v>
      </c>
      <c r="BJ644" t="s">
        <v>364</v>
      </c>
      <c r="BK644" t="s">
        <v>101</v>
      </c>
      <c r="BL644" t="s">
        <v>364</v>
      </c>
      <c r="BM644" t="s">
        <v>12020</v>
      </c>
      <c r="BN644" t="s">
        <v>74</v>
      </c>
      <c r="BO644" t="s">
        <v>74</v>
      </c>
      <c r="BP644" t="s">
        <v>74</v>
      </c>
      <c r="BQ644" t="s">
        <v>74</v>
      </c>
      <c r="BR644" t="s">
        <v>105</v>
      </c>
      <c r="BS644" t="s">
        <v>12716</v>
      </c>
      <c r="BT644" t="str">
        <f>HYPERLINK("https%3A%2F%2Fwww.webofscience.com%2Fwos%2Fwoscc%2Ffull-record%2FWOS:000437037100004","View Full Record in Web of Science")</f>
        <v>View Full Record in Web of Science</v>
      </c>
    </row>
    <row r="645" spans="1:72" x14ac:dyDescent="0.15">
      <c r="A645" t="s">
        <v>72</v>
      </c>
      <c r="B645" t="s">
        <v>12717</v>
      </c>
      <c r="C645" t="s">
        <v>74</v>
      </c>
      <c r="D645" t="s">
        <v>74</v>
      </c>
      <c r="E645" t="s">
        <v>74</v>
      </c>
      <c r="F645" t="s">
        <v>12718</v>
      </c>
      <c r="G645" t="s">
        <v>74</v>
      </c>
      <c r="H645" t="s">
        <v>74</v>
      </c>
      <c r="I645" t="s">
        <v>12719</v>
      </c>
      <c r="J645" t="s">
        <v>12002</v>
      </c>
      <c r="K645" t="s">
        <v>74</v>
      </c>
      <c r="L645" t="s">
        <v>74</v>
      </c>
      <c r="M645" t="s">
        <v>78</v>
      </c>
      <c r="N645" t="s">
        <v>79</v>
      </c>
      <c r="O645" t="s">
        <v>74</v>
      </c>
      <c r="P645" t="s">
        <v>74</v>
      </c>
      <c r="Q645" t="s">
        <v>74</v>
      </c>
      <c r="R645" t="s">
        <v>74</v>
      </c>
      <c r="S645" t="s">
        <v>74</v>
      </c>
      <c r="T645" t="s">
        <v>12720</v>
      </c>
      <c r="U645" t="s">
        <v>12721</v>
      </c>
      <c r="V645" t="s">
        <v>12722</v>
      </c>
      <c r="W645" t="s">
        <v>12723</v>
      </c>
      <c r="X645" t="s">
        <v>12724</v>
      </c>
      <c r="Y645" t="s">
        <v>12725</v>
      </c>
      <c r="Z645" t="s">
        <v>12726</v>
      </c>
      <c r="AA645" t="s">
        <v>12727</v>
      </c>
      <c r="AB645" t="s">
        <v>12728</v>
      </c>
      <c r="AC645" t="s">
        <v>12729</v>
      </c>
      <c r="AD645" t="s">
        <v>12730</v>
      </c>
      <c r="AE645" t="s">
        <v>12731</v>
      </c>
      <c r="AF645" t="s">
        <v>74</v>
      </c>
      <c r="AG645">
        <v>85</v>
      </c>
      <c r="AH645">
        <v>27</v>
      </c>
      <c r="AI645">
        <v>27</v>
      </c>
      <c r="AJ645">
        <v>1</v>
      </c>
      <c r="AK645">
        <v>10</v>
      </c>
      <c r="AL645" t="s">
        <v>277</v>
      </c>
      <c r="AM645" t="s">
        <v>278</v>
      </c>
      <c r="AN645" t="s">
        <v>279</v>
      </c>
      <c r="AO645" t="s">
        <v>12015</v>
      </c>
      <c r="AP645" t="s">
        <v>12016</v>
      </c>
      <c r="AQ645" t="s">
        <v>74</v>
      </c>
      <c r="AR645" t="s">
        <v>12017</v>
      </c>
      <c r="AS645" t="s">
        <v>12018</v>
      </c>
      <c r="AT645" t="s">
        <v>11811</v>
      </c>
      <c r="AU645">
        <v>2018</v>
      </c>
      <c r="AV645">
        <v>149</v>
      </c>
      <c r="AW645" t="s">
        <v>74</v>
      </c>
      <c r="AX645" t="s">
        <v>74</v>
      </c>
      <c r="AY645" t="s">
        <v>74</v>
      </c>
      <c r="AZ645" t="s">
        <v>508</v>
      </c>
      <c r="BA645" t="s">
        <v>74</v>
      </c>
      <c r="BB645">
        <v>31</v>
      </c>
      <c r="BC645">
        <v>46</v>
      </c>
      <c r="BD645" t="s">
        <v>74</v>
      </c>
      <c r="BE645" t="s">
        <v>12732</v>
      </c>
      <c r="BF645" t="str">
        <f>HYPERLINK("http://dx.doi.org/10.1016/j.dsr2.2017.12.010","http://dx.doi.org/10.1016/j.dsr2.2017.12.010")</f>
        <v>http://dx.doi.org/10.1016/j.dsr2.2017.12.010</v>
      </c>
      <c r="BG645" t="s">
        <v>74</v>
      </c>
      <c r="BH645" t="s">
        <v>74</v>
      </c>
      <c r="BI645">
        <v>16</v>
      </c>
      <c r="BJ645" t="s">
        <v>364</v>
      </c>
      <c r="BK645" t="s">
        <v>101</v>
      </c>
      <c r="BL645" t="s">
        <v>364</v>
      </c>
      <c r="BM645" t="s">
        <v>12020</v>
      </c>
      <c r="BN645" t="s">
        <v>74</v>
      </c>
      <c r="BO645" t="s">
        <v>341</v>
      </c>
      <c r="BP645" t="s">
        <v>74</v>
      </c>
      <c r="BQ645" t="s">
        <v>74</v>
      </c>
      <c r="BR645" t="s">
        <v>105</v>
      </c>
      <c r="BS645" t="s">
        <v>12733</v>
      </c>
      <c r="BT645" t="str">
        <f>HYPERLINK("https%3A%2F%2Fwww.webofscience.com%2Fwos%2Fwoscc%2Ffull-record%2FWOS:000437037100005","View Full Record in Web of Science")</f>
        <v>View Full Record in Web of Science</v>
      </c>
    </row>
    <row r="646" spans="1:72" x14ac:dyDescent="0.15">
      <c r="A646" t="s">
        <v>72</v>
      </c>
      <c r="B646" t="s">
        <v>12734</v>
      </c>
      <c r="C646" t="s">
        <v>74</v>
      </c>
      <c r="D646" t="s">
        <v>74</v>
      </c>
      <c r="E646" t="s">
        <v>74</v>
      </c>
      <c r="F646" t="s">
        <v>12735</v>
      </c>
      <c r="G646" t="s">
        <v>74</v>
      </c>
      <c r="H646" t="s">
        <v>74</v>
      </c>
      <c r="I646" t="s">
        <v>12736</v>
      </c>
      <c r="J646" t="s">
        <v>12002</v>
      </c>
      <c r="K646" t="s">
        <v>74</v>
      </c>
      <c r="L646" t="s">
        <v>74</v>
      </c>
      <c r="M646" t="s">
        <v>78</v>
      </c>
      <c r="N646" t="s">
        <v>79</v>
      </c>
      <c r="O646" t="s">
        <v>74</v>
      </c>
      <c r="P646" t="s">
        <v>74</v>
      </c>
      <c r="Q646" t="s">
        <v>74</v>
      </c>
      <c r="R646" t="s">
        <v>74</v>
      </c>
      <c r="S646" t="s">
        <v>74</v>
      </c>
      <c r="T646" t="s">
        <v>12737</v>
      </c>
      <c r="U646" t="s">
        <v>12738</v>
      </c>
      <c r="V646" t="s">
        <v>12739</v>
      </c>
      <c r="W646" t="s">
        <v>12740</v>
      </c>
      <c r="X646" t="s">
        <v>12741</v>
      </c>
      <c r="Y646" t="s">
        <v>12742</v>
      </c>
      <c r="Z646" t="s">
        <v>12743</v>
      </c>
      <c r="AA646" t="s">
        <v>12744</v>
      </c>
      <c r="AB646" t="s">
        <v>12745</v>
      </c>
      <c r="AC646" t="s">
        <v>12746</v>
      </c>
      <c r="AD646" t="s">
        <v>12747</v>
      </c>
      <c r="AE646" t="s">
        <v>12748</v>
      </c>
      <c r="AF646" t="s">
        <v>74</v>
      </c>
      <c r="AG646">
        <v>61</v>
      </c>
      <c r="AH646">
        <v>3</v>
      </c>
      <c r="AI646">
        <v>5</v>
      </c>
      <c r="AJ646">
        <v>0</v>
      </c>
      <c r="AK646">
        <v>10</v>
      </c>
      <c r="AL646" t="s">
        <v>277</v>
      </c>
      <c r="AM646" t="s">
        <v>278</v>
      </c>
      <c r="AN646" t="s">
        <v>279</v>
      </c>
      <c r="AO646" t="s">
        <v>12015</v>
      </c>
      <c r="AP646" t="s">
        <v>12016</v>
      </c>
      <c r="AQ646" t="s">
        <v>74</v>
      </c>
      <c r="AR646" t="s">
        <v>12017</v>
      </c>
      <c r="AS646" t="s">
        <v>12018</v>
      </c>
      <c r="AT646" t="s">
        <v>11811</v>
      </c>
      <c r="AU646">
        <v>2018</v>
      </c>
      <c r="AV646">
        <v>149</v>
      </c>
      <c r="AW646" t="s">
        <v>74</v>
      </c>
      <c r="AX646" t="s">
        <v>74</v>
      </c>
      <c r="AY646" t="s">
        <v>74</v>
      </c>
      <c r="AZ646" t="s">
        <v>508</v>
      </c>
      <c r="BA646" t="s">
        <v>74</v>
      </c>
      <c r="BB646">
        <v>58</v>
      </c>
      <c r="BC646">
        <v>69</v>
      </c>
      <c r="BD646" t="s">
        <v>74</v>
      </c>
      <c r="BE646" t="s">
        <v>12749</v>
      </c>
      <c r="BF646" t="str">
        <f>HYPERLINK("http://dx.doi.org/10.1016/j.dsr2.2018.02.013","http://dx.doi.org/10.1016/j.dsr2.2018.02.013")</f>
        <v>http://dx.doi.org/10.1016/j.dsr2.2018.02.013</v>
      </c>
      <c r="BG646" t="s">
        <v>74</v>
      </c>
      <c r="BH646" t="s">
        <v>74</v>
      </c>
      <c r="BI646">
        <v>12</v>
      </c>
      <c r="BJ646" t="s">
        <v>364</v>
      </c>
      <c r="BK646" t="s">
        <v>101</v>
      </c>
      <c r="BL646" t="s">
        <v>364</v>
      </c>
      <c r="BM646" t="s">
        <v>12020</v>
      </c>
      <c r="BN646" t="s">
        <v>74</v>
      </c>
      <c r="BO646" t="s">
        <v>74</v>
      </c>
      <c r="BP646" t="s">
        <v>74</v>
      </c>
      <c r="BQ646" t="s">
        <v>74</v>
      </c>
      <c r="BR646" t="s">
        <v>105</v>
      </c>
      <c r="BS646" t="s">
        <v>12750</v>
      </c>
      <c r="BT646" t="str">
        <f>HYPERLINK("https%3A%2F%2Fwww.webofscience.com%2Fwos%2Fwoscc%2Ffull-record%2FWOS:000437037100007","View Full Record in Web of Science")</f>
        <v>View Full Record in Web of Science</v>
      </c>
    </row>
    <row r="647" spans="1:72" x14ac:dyDescent="0.15">
      <c r="A647" t="s">
        <v>72</v>
      </c>
      <c r="B647" t="s">
        <v>12751</v>
      </c>
      <c r="C647" t="s">
        <v>74</v>
      </c>
      <c r="D647" t="s">
        <v>74</v>
      </c>
      <c r="E647" t="s">
        <v>74</v>
      </c>
      <c r="F647" t="s">
        <v>12752</v>
      </c>
      <c r="G647" t="s">
        <v>74</v>
      </c>
      <c r="H647" t="s">
        <v>74</v>
      </c>
      <c r="I647" t="s">
        <v>12753</v>
      </c>
      <c r="J647" t="s">
        <v>12002</v>
      </c>
      <c r="K647" t="s">
        <v>74</v>
      </c>
      <c r="L647" t="s">
        <v>74</v>
      </c>
      <c r="M647" t="s">
        <v>78</v>
      </c>
      <c r="N647" t="s">
        <v>79</v>
      </c>
      <c r="O647" t="s">
        <v>74</v>
      </c>
      <c r="P647" t="s">
        <v>74</v>
      </c>
      <c r="Q647" t="s">
        <v>74</v>
      </c>
      <c r="R647" t="s">
        <v>74</v>
      </c>
      <c r="S647" t="s">
        <v>74</v>
      </c>
      <c r="T647" t="s">
        <v>12754</v>
      </c>
      <c r="U647" t="s">
        <v>12755</v>
      </c>
      <c r="V647" t="s">
        <v>12756</v>
      </c>
      <c r="W647" t="s">
        <v>12757</v>
      </c>
      <c r="X647" t="s">
        <v>12758</v>
      </c>
      <c r="Y647" t="s">
        <v>12759</v>
      </c>
      <c r="Z647" t="s">
        <v>12760</v>
      </c>
      <c r="AA647" t="s">
        <v>12761</v>
      </c>
      <c r="AB647" t="s">
        <v>12762</v>
      </c>
      <c r="AC647" t="s">
        <v>12763</v>
      </c>
      <c r="AD647" t="s">
        <v>12764</v>
      </c>
      <c r="AE647" t="s">
        <v>12765</v>
      </c>
      <c r="AF647" t="s">
        <v>74</v>
      </c>
      <c r="AG647">
        <v>108</v>
      </c>
      <c r="AH647">
        <v>18</v>
      </c>
      <c r="AI647">
        <v>19</v>
      </c>
      <c r="AJ647">
        <v>2</v>
      </c>
      <c r="AK647">
        <v>10</v>
      </c>
      <c r="AL647" t="s">
        <v>277</v>
      </c>
      <c r="AM647" t="s">
        <v>278</v>
      </c>
      <c r="AN647" t="s">
        <v>279</v>
      </c>
      <c r="AO647" t="s">
        <v>12015</v>
      </c>
      <c r="AP647" t="s">
        <v>12016</v>
      </c>
      <c r="AQ647" t="s">
        <v>74</v>
      </c>
      <c r="AR647" t="s">
        <v>12017</v>
      </c>
      <c r="AS647" t="s">
        <v>12018</v>
      </c>
      <c r="AT647" t="s">
        <v>11811</v>
      </c>
      <c r="AU647">
        <v>2018</v>
      </c>
      <c r="AV647">
        <v>149</v>
      </c>
      <c r="AW647" t="s">
        <v>74</v>
      </c>
      <c r="AX647" t="s">
        <v>74</v>
      </c>
      <c r="AY647" t="s">
        <v>74</v>
      </c>
      <c r="AZ647" t="s">
        <v>508</v>
      </c>
      <c r="BA647" t="s">
        <v>74</v>
      </c>
      <c r="BB647">
        <v>84</v>
      </c>
      <c r="BC647">
        <v>98</v>
      </c>
      <c r="BD647" t="s">
        <v>74</v>
      </c>
      <c r="BE647" t="s">
        <v>12766</v>
      </c>
      <c r="BF647" t="str">
        <f>HYPERLINK("http://dx.doi.org/10.1016/j.dsr2.2017.09.004","http://dx.doi.org/10.1016/j.dsr2.2017.09.004")</f>
        <v>http://dx.doi.org/10.1016/j.dsr2.2017.09.004</v>
      </c>
      <c r="BG647" t="s">
        <v>74</v>
      </c>
      <c r="BH647" t="s">
        <v>74</v>
      </c>
      <c r="BI647">
        <v>15</v>
      </c>
      <c r="BJ647" t="s">
        <v>364</v>
      </c>
      <c r="BK647" t="s">
        <v>101</v>
      </c>
      <c r="BL647" t="s">
        <v>364</v>
      </c>
      <c r="BM647" t="s">
        <v>12020</v>
      </c>
      <c r="BN647" t="s">
        <v>74</v>
      </c>
      <c r="BO647" t="s">
        <v>74</v>
      </c>
      <c r="BP647" t="s">
        <v>74</v>
      </c>
      <c r="BQ647" t="s">
        <v>74</v>
      </c>
      <c r="BR647" t="s">
        <v>105</v>
      </c>
      <c r="BS647" t="s">
        <v>12767</v>
      </c>
      <c r="BT647" t="str">
        <f>HYPERLINK("https%3A%2F%2Fwww.webofscience.com%2Fwos%2Fwoscc%2Ffull-record%2FWOS:000437037100009","View Full Record in Web of Science")</f>
        <v>View Full Record in Web of Science</v>
      </c>
    </row>
    <row r="648" spans="1:72" x14ac:dyDescent="0.15">
      <c r="A648" t="s">
        <v>72</v>
      </c>
      <c r="B648" t="s">
        <v>12768</v>
      </c>
      <c r="C648" t="s">
        <v>74</v>
      </c>
      <c r="D648" t="s">
        <v>74</v>
      </c>
      <c r="E648" t="s">
        <v>74</v>
      </c>
      <c r="F648" t="s">
        <v>12769</v>
      </c>
      <c r="G648" t="s">
        <v>74</v>
      </c>
      <c r="H648" t="s">
        <v>74</v>
      </c>
      <c r="I648" t="s">
        <v>12770</v>
      </c>
      <c r="J648" t="s">
        <v>12002</v>
      </c>
      <c r="K648" t="s">
        <v>74</v>
      </c>
      <c r="L648" t="s">
        <v>74</v>
      </c>
      <c r="M648" t="s">
        <v>78</v>
      </c>
      <c r="N648" t="s">
        <v>79</v>
      </c>
      <c r="O648" t="s">
        <v>74</v>
      </c>
      <c r="P648" t="s">
        <v>74</v>
      </c>
      <c r="Q648" t="s">
        <v>74</v>
      </c>
      <c r="R648" t="s">
        <v>74</v>
      </c>
      <c r="S648" t="s">
        <v>74</v>
      </c>
      <c r="T648" t="s">
        <v>12771</v>
      </c>
      <c r="U648" t="s">
        <v>12772</v>
      </c>
      <c r="V648" t="s">
        <v>12773</v>
      </c>
      <c r="W648" t="s">
        <v>12774</v>
      </c>
      <c r="X648" t="s">
        <v>12007</v>
      </c>
      <c r="Y648" t="s">
        <v>12775</v>
      </c>
      <c r="Z648" t="s">
        <v>12776</v>
      </c>
      <c r="AA648" t="s">
        <v>12777</v>
      </c>
      <c r="AB648" t="s">
        <v>12778</v>
      </c>
      <c r="AC648" t="s">
        <v>12779</v>
      </c>
      <c r="AD648" t="s">
        <v>12780</v>
      </c>
      <c r="AE648" t="s">
        <v>12781</v>
      </c>
      <c r="AF648" t="s">
        <v>74</v>
      </c>
      <c r="AG648">
        <v>113</v>
      </c>
      <c r="AH648">
        <v>12</v>
      </c>
      <c r="AI648">
        <v>12</v>
      </c>
      <c r="AJ648">
        <v>1</v>
      </c>
      <c r="AK648">
        <v>21</v>
      </c>
      <c r="AL648" t="s">
        <v>277</v>
      </c>
      <c r="AM648" t="s">
        <v>278</v>
      </c>
      <c r="AN648" t="s">
        <v>279</v>
      </c>
      <c r="AO648" t="s">
        <v>12015</v>
      </c>
      <c r="AP648" t="s">
        <v>12016</v>
      </c>
      <c r="AQ648" t="s">
        <v>74</v>
      </c>
      <c r="AR648" t="s">
        <v>12017</v>
      </c>
      <c r="AS648" t="s">
        <v>12018</v>
      </c>
      <c r="AT648" t="s">
        <v>11811</v>
      </c>
      <c r="AU648">
        <v>2018</v>
      </c>
      <c r="AV648">
        <v>149</v>
      </c>
      <c r="AW648" t="s">
        <v>74</v>
      </c>
      <c r="AX648" t="s">
        <v>74</v>
      </c>
      <c r="AY648" t="s">
        <v>74</v>
      </c>
      <c r="AZ648" t="s">
        <v>508</v>
      </c>
      <c r="BA648" t="s">
        <v>74</v>
      </c>
      <c r="BB648">
        <v>99</v>
      </c>
      <c r="BC648">
        <v>110</v>
      </c>
      <c r="BD648" t="s">
        <v>74</v>
      </c>
      <c r="BE648" t="s">
        <v>12782</v>
      </c>
      <c r="BF648" t="str">
        <f>HYPERLINK("http://dx.doi.org/10.1016/j.dsr2.2017.09.021","http://dx.doi.org/10.1016/j.dsr2.2017.09.021")</f>
        <v>http://dx.doi.org/10.1016/j.dsr2.2017.09.021</v>
      </c>
      <c r="BG648" t="s">
        <v>74</v>
      </c>
      <c r="BH648" t="s">
        <v>74</v>
      </c>
      <c r="BI648">
        <v>12</v>
      </c>
      <c r="BJ648" t="s">
        <v>364</v>
      </c>
      <c r="BK648" t="s">
        <v>101</v>
      </c>
      <c r="BL648" t="s">
        <v>364</v>
      </c>
      <c r="BM648" t="s">
        <v>12020</v>
      </c>
      <c r="BN648" t="s">
        <v>74</v>
      </c>
      <c r="BO648" t="s">
        <v>74</v>
      </c>
      <c r="BP648" t="s">
        <v>74</v>
      </c>
      <c r="BQ648" t="s">
        <v>74</v>
      </c>
      <c r="BR648" t="s">
        <v>105</v>
      </c>
      <c r="BS648" t="s">
        <v>12783</v>
      </c>
      <c r="BT648" t="str">
        <f>HYPERLINK("https%3A%2F%2Fwww.webofscience.com%2Fwos%2Fwoscc%2Ffull-record%2FWOS:000437037100010","View Full Record in Web of Science")</f>
        <v>View Full Record in Web of Science</v>
      </c>
    </row>
    <row r="649" spans="1:72" x14ac:dyDescent="0.15">
      <c r="A649" t="s">
        <v>72</v>
      </c>
      <c r="B649" t="s">
        <v>12784</v>
      </c>
      <c r="C649" t="s">
        <v>74</v>
      </c>
      <c r="D649" t="s">
        <v>74</v>
      </c>
      <c r="E649" t="s">
        <v>74</v>
      </c>
      <c r="F649" t="s">
        <v>12785</v>
      </c>
      <c r="G649" t="s">
        <v>74</v>
      </c>
      <c r="H649" t="s">
        <v>74</v>
      </c>
      <c r="I649" t="s">
        <v>12786</v>
      </c>
      <c r="J649" t="s">
        <v>12002</v>
      </c>
      <c r="K649" t="s">
        <v>74</v>
      </c>
      <c r="L649" t="s">
        <v>74</v>
      </c>
      <c r="M649" t="s">
        <v>78</v>
      </c>
      <c r="N649" t="s">
        <v>79</v>
      </c>
      <c r="O649" t="s">
        <v>74</v>
      </c>
      <c r="P649" t="s">
        <v>74</v>
      </c>
      <c r="Q649" t="s">
        <v>74</v>
      </c>
      <c r="R649" t="s">
        <v>74</v>
      </c>
      <c r="S649" t="s">
        <v>74</v>
      </c>
      <c r="T649" t="s">
        <v>12787</v>
      </c>
      <c r="U649" t="s">
        <v>12788</v>
      </c>
      <c r="V649" t="s">
        <v>12789</v>
      </c>
      <c r="W649" t="s">
        <v>12790</v>
      </c>
      <c r="X649" t="s">
        <v>12791</v>
      </c>
      <c r="Y649" t="s">
        <v>12792</v>
      </c>
      <c r="Z649" t="s">
        <v>12793</v>
      </c>
      <c r="AA649" t="s">
        <v>12794</v>
      </c>
      <c r="AB649" t="s">
        <v>12795</v>
      </c>
      <c r="AC649" t="s">
        <v>12796</v>
      </c>
      <c r="AD649" t="s">
        <v>12797</v>
      </c>
      <c r="AE649" t="s">
        <v>12798</v>
      </c>
      <c r="AF649" t="s">
        <v>74</v>
      </c>
      <c r="AG649">
        <v>67</v>
      </c>
      <c r="AH649">
        <v>9</v>
      </c>
      <c r="AI649">
        <v>10</v>
      </c>
      <c r="AJ649">
        <v>0</v>
      </c>
      <c r="AK649">
        <v>10</v>
      </c>
      <c r="AL649" t="s">
        <v>277</v>
      </c>
      <c r="AM649" t="s">
        <v>278</v>
      </c>
      <c r="AN649" t="s">
        <v>279</v>
      </c>
      <c r="AO649" t="s">
        <v>12015</v>
      </c>
      <c r="AP649" t="s">
        <v>12016</v>
      </c>
      <c r="AQ649" t="s">
        <v>74</v>
      </c>
      <c r="AR649" t="s">
        <v>12017</v>
      </c>
      <c r="AS649" t="s">
        <v>12018</v>
      </c>
      <c r="AT649" t="s">
        <v>11811</v>
      </c>
      <c r="AU649">
        <v>2018</v>
      </c>
      <c r="AV649">
        <v>149</v>
      </c>
      <c r="AW649" t="s">
        <v>74</v>
      </c>
      <c r="AX649" t="s">
        <v>74</v>
      </c>
      <c r="AY649" t="s">
        <v>74</v>
      </c>
      <c r="AZ649" t="s">
        <v>508</v>
      </c>
      <c r="BA649" t="s">
        <v>74</v>
      </c>
      <c r="BB649">
        <v>124</v>
      </c>
      <c r="BC649">
        <v>137</v>
      </c>
      <c r="BD649" t="s">
        <v>74</v>
      </c>
      <c r="BE649" t="s">
        <v>12799</v>
      </c>
      <c r="BF649" t="str">
        <f>HYPERLINK("http://dx.doi.org/10.1016/j.dsr2.2017.12.018","http://dx.doi.org/10.1016/j.dsr2.2017.12.018")</f>
        <v>http://dx.doi.org/10.1016/j.dsr2.2017.12.018</v>
      </c>
      <c r="BG649" t="s">
        <v>74</v>
      </c>
      <c r="BH649" t="s">
        <v>74</v>
      </c>
      <c r="BI649">
        <v>14</v>
      </c>
      <c r="BJ649" t="s">
        <v>364</v>
      </c>
      <c r="BK649" t="s">
        <v>101</v>
      </c>
      <c r="BL649" t="s">
        <v>364</v>
      </c>
      <c r="BM649" t="s">
        <v>12020</v>
      </c>
      <c r="BN649" t="s">
        <v>74</v>
      </c>
      <c r="BO649" t="s">
        <v>74</v>
      </c>
      <c r="BP649" t="s">
        <v>74</v>
      </c>
      <c r="BQ649" t="s">
        <v>74</v>
      </c>
      <c r="BR649" t="s">
        <v>105</v>
      </c>
      <c r="BS649" t="s">
        <v>12800</v>
      </c>
      <c r="BT649" t="str">
        <f>HYPERLINK("https%3A%2F%2Fwww.webofscience.com%2Fwos%2Fwoscc%2Ffull-record%2FWOS:000437037100012","View Full Record in Web of Science")</f>
        <v>View Full Record in Web of Science</v>
      </c>
    </row>
    <row r="650" spans="1:72" x14ac:dyDescent="0.15">
      <c r="A650" t="s">
        <v>72</v>
      </c>
      <c r="B650" t="s">
        <v>12801</v>
      </c>
      <c r="C650" t="s">
        <v>74</v>
      </c>
      <c r="D650" t="s">
        <v>74</v>
      </c>
      <c r="E650" t="s">
        <v>74</v>
      </c>
      <c r="F650" t="s">
        <v>12802</v>
      </c>
      <c r="G650" t="s">
        <v>74</v>
      </c>
      <c r="H650" t="s">
        <v>74</v>
      </c>
      <c r="I650" t="s">
        <v>12803</v>
      </c>
      <c r="J650" t="s">
        <v>12002</v>
      </c>
      <c r="K650" t="s">
        <v>74</v>
      </c>
      <c r="L650" t="s">
        <v>74</v>
      </c>
      <c r="M650" t="s">
        <v>78</v>
      </c>
      <c r="N650" t="s">
        <v>79</v>
      </c>
      <c r="O650" t="s">
        <v>74</v>
      </c>
      <c r="P650" t="s">
        <v>74</v>
      </c>
      <c r="Q650" t="s">
        <v>74</v>
      </c>
      <c r="R650" t="s">
        <v>74</v>
      </c>
      <c r="S650" t="s">
        <v>74</v>
      </c>
      <c r="T650" t="s">
        <v>12804</v>
      </c>
      <c r="U650" t="s">
        <v>12805</v>
      </c>
      <c r="V650" t="s">
        <v>12806</v>
      </c>
      <c r="W650" t="s">
        <v>12807</v>
      </c>
      <c r="X650" t="s">
        <v>12808</v>
      </c>
      <c r="Y650" t="s">
        <v>12809</v>
      </c>
      <c r="Z650" t="s">
        <v>12810</v>
      </c>
      <c r="AA650" t="s">
        <v>12811</v>
      </c>
      <c r="AB650" t="s">
        <v>12812</v>
      </c>
      <c r="AC650" t="s">
        <v>12813</v>
      </c>
      <c r="AD650" t="s">
        <v>12814</v>
      </c>
      <c r="AE650" t="s">
        <v>12815</v>
      </c>
      <c r="AF650" t="s">
        <v>74</v>
      </c>
      <c r="AG650">
        <v>109</v>
      </c>
      <c r="AH650">
        <v>6</v>
      </c>
      <c r="AI650">
        <v>8</v>
      </c>
      <c r="AJ650">
        <v>1</v>
      </c>
      <c r="AK650">
        <v>11</v>
      </c>
      <c r="AL650" t="s">
        <v>277</v>
      </c>
      <c r="AM650" t="s">
        <v>278</v>
      </c>
      <c r="AN650" t="s">
        <v>279</v>
      </c>
      <c r="AO650" t="s">
        <v>12015</v>
      </c>
      <c r="AP650" t="s">
        <v>12016</v>
      </c>
      <c r="AQ650" t="s">
        <v>74</v>
      </c>
      <c r="AR650" t="s">
        <v>12017</v>
      </c>
      <c r="AS650" t="s">
        <v>12018</v>
      </c>
      <c r="AT650" t="s">
        <v>11811</v>
      </c>
      <c r="AU650">
        <v>2018</v>
      </c>
      <c r="AV650">
        <v>149</v>
      </c>
      <c r="AW650" t="s">
        <v>74</v>
      </c>
      <c r="AX650" t="s">
        <v>74</v>
      </c>
      <c r="AY650" t="s">
        <v>74</v>
      </c>
      <c r="AZ650" t="s">
        <v>508</v>
      </c>
      <c r="BA650" t="s">
        <v>74</v>
      </c>
      <c r="BB650">
        <v>138</v>
      </c>
      <c r="BC650">
        <v>149</v>
      </c>
      <c r="BD650" t="s">
        <v>74</v>
      </c>
      <c r="BE650" t="s">
        <v>12816</v>
      </c>
      <c r="BF650" t="str">
        <f>HYPERLINK("http://dx.doi.org/10.1016/j.dsr2.2017.09.007","http://dx.doi.org/10.1016/j.dsr2.2017.09.007")</f>
        <v>http://dx.doi.org/10.1016/j.dsr2.2017.09.007</v>
      </c>
      <c r="BG650" t="s">
        <v>74</v>
      </c>
      <c r="BH650" t="s">
        <v>74</v>
      </c>
      <c r="BI650">
        <v>12</v>
      </c>
      <c r="BJ650" t="s">
        <v>364</v>
      </c>
      <c r="BK650" t="s">
        <v>101</v>
      </c>
      <c r="BL650" t="s">
        <v>364</v>
      </c>
      <c r="BM650" t="s">
        <v>12020</v>
      </c>
      <c r="BN650" t="s">
        <v>74</v>
      </c>
      <c r="BO650" t="s">
        <v>74</v>
      </c>
      <c r="BP650" t="s">
        <v>74</v>
      </c>
      <c r="BQ650" t="s">
        <v>74</v>
      </c>
      <c r="BR650" t="s">
        <v>105</v>
      </c>
      <c r="BS650" t="s">
        <v>12817</v>
      </c>
      <c r="BT650" t="str">
        <f>HYPERLINK("https%3A%2F%2Fwww.webofscience.com%2Fwos%2Fwoscc%2Ffull-record%2FWOS:000437037100013","View Full Record in Web of Science")</f>
        <v>View Full Record in Web of Science</v>
      </c>
    </row>
    <row r="651" spans="1:72" x14ac:dyDescent="0.15">
      <c r="A651" t="s">
        <v>72</v>
      </c>
      <c r="B651" t="s">
        <v>12818</v>
      </c>
      <c r="C651" t="s">
        <v>74</v>
      </c>
      <c r="D651" t="s">
        <v>74</v>
      </c>
      <c r="E651" t="s">
        <v>74</v>
      </c>
      <c r="F651" t="s">
        <v>12819</v>
      </c>
      <c r="G651" t="s">
        <v>74</v>
      </c>
      <c r="H651" t="s">
        <v>74</v>
      </c>
      <c r="I651" t="s">
        <v>12820</v>
      </c>
      <c r="J651" t="s">
        <v>12002</v>
      </c>
      <c r="K651" t="s">
        <v>74</v>
      </c>
      <c r="L651" t="s">
        <v>74</v>
      </c>
      <c r="M651" t="s">
        <v>78</v>
      </c>
      <c r="N651" t="s">
        <v>79</v>
      </c>
      <c r="O651" t="s">
        <v>74</v>
      </c>
      <c r="P651" t="s">
        <v>74</v>
      </c>
      <c r="Q651" t="s">
        <v>74</v>
      </c>
      <c r="R651" t="s">
        <v>74</v>
      </c>
      <c r="S651" t="s">
        <v>74</v>
      </c>
      <c r="T651" t="s">
        <v>12821</v>
      </c>
      <c r="U651" t="s">
        <v>12822</v>
      </c>
      <c r="V651" t="s">
        <v>12823</v>
      </c>
      <c r="W651" t="s">
        <v>12824</v>
      </c>
      <c r="X651" t="s">
        <v>12825</v>
      </c>
      <c r="Y651" t="s">
        <v>12826</v>
      </c>
      <c r="Z651" t="s">
        <v>12827</v>
      </c>
      <c r="AA651" t="s">
        <v>12828</v>
      </c>
      <c r="AB651" t="s">
        <v>12829</v>
      </c>
      <c r="AC651" t="s">
        <v>12830</v>
      </c>
      <c r="AD651" t="s">
        <v>12831</v>
      </c>
      <c r="AE651" t="s">
        <v>12832</v>
      </c>
      <c r="AF651" t="s">
        <v>74</v>
      </c>
      <c r="AG651">
        <v>94</v>
      </c>
      <c r="AH651">
        <v>21</v>
      </c>
      <c r="AI651">
        <v>22</v>
      </c>
      <c r="AJ651">
        <v>0</v>
      </c>
      <c r="AK651">
        <v>25</v>
      </c>
      <c r="AL651" t="s">
        <v>277</v>
      </c>
      <c r="AM651" t="s">
        <v>278</v>
      </c>
      <c r="AN651" t="s">
        <v>279</v>
      </c>
      <c r="AO651" t="s">
        <v>12015</v>
      </c>
      <c r="AP651" t="s">
        <v>12016</v>
      </c>
      <c r="AQ651" t="s">
        <v>74</v>
      </c>
      <c r="AR651" t="s">
        <v>12017</v>
      </c>
      <c r="AS651" t="s">
        <v>12018</v>
      </c>
      <c r="AT651" t="s">
        <v>11811</v>
      </c>
      <c r="AU651">
        <v>2018</v>
      </c>
      <c r="AV651">
        <v>149</v>
      </c>
      <c r="AW651" t="s">
        <v>74</v>
      </c>
      <c r="AX651" t="s">
        <v>74</v>
      </c>
      <c r="AY651" t="s">
        <v>74</v>
      </c>
      <c r="AZ651" t="s">
        <v>508</v>
      </c>
      <c r="BA651" t="s">
        <v>74</v>
      </c>
      <c r="BB651">
        <v>150</v>
      </c>
      <c r="BC651">
        <v>160</v>
      </c>
      <c r="BD651" t="s">
        <v>74</v>
      </c>
      <c r="BE651" t="s">
        <v>12833</v>
      </c>
      <c r="BF651" t="str">
        <f>HYPERLINK("http://dx.doi.org/10.1016/j.dsr2.2017.12.017","http://dx.doi.org/10.1016/j.dsr2.2017.12.017")</f>
        <v>http://dx.doi.org/10.1016/j.dsr2.2017.12.017</v>
      </c>
      <c r="BG651" t="s">
        <v>74</v>
      </c>
      <c r="BH651" t="s">
        <v>74</v>
      </c>
      <c r="BI651">
        <v>11</v>
      </c>
      <c r="BJ651" t="s">
        <v>364</v>
      </c>
      <c r="BK651" t="s">
        <v>101</v>
      </c>
      <c r="BL651" t="s">
        <v>364</v>
      </c>
      <c r="BM651" t="s">
        <v>12020</v>
      </c>
      <c r="BN651" t="s">
        <v>74</v>
      </c>
      <c r="BO651" t="s">
        <v>74</v>
      </c>
      <c r="BP651" t="s">
        <v>74</v>
      </c>
      <c r="BQ651" t="s">
        <v>74</v>
      </c>
      <c r="BR651" t="s">
        <v>105</v>
      </c>
      <c r="BS651" t="s">
        <v>12834</v>
      </c>
      <c r="BT651" t="str">
        <f>HYPERLINK("https%3A%2F%2Fwww.webofscience.com%2Fwos%2Fwoscc%2Ffull-record%2FWOS:000437037100014","View Full Record in Web of Science")</f>
        <v>View Full Record in Web of Science</v>
      </c>
    </row>
    <row r="652" spans="1:72" x14ac:dyDescent="0.15">
      <c r="A652" t="s">
        <v>72</v>
      </c>
      <c r="B652" t="s">
        <v>12835</v>
      </c>
      <c r="C652" t="s">
        <v>74</v>
      </c>
      <c r="D652" t="s">
        <v>74</v>
      </c>
      <c r="E652" t="s">
        <v>74</v>
      </c>
      <c r="F652" t="s">
        <v>12836</v>
      </c>
      <c r="G652" t="s">
        <v>74</v>
      </c>
      <c r="H652" t="s">
        <v>74</v>
      </c>
      <c r="I652" t="s">
        <v>12837</v>
      </c>
      <c r="J652" t="s">
        <v>12002</v>
      </c>
      <c r="K652" t="s">
        <v>74</v>
      </c>
      <c r="L652" t="s">
        <v>74</v>
      </c>
      <c r="M652" t="s">
        <v>78</v>
      </c>
      <c r="N652" t="s">
        <v>79</v>
      </c>
      <c r="O652" t="s">
        <v>74</v>
      </c>
      <c r="P652" t="s">
        <v>74</v>
      </c>
      <c r="Q652" t="s">
        <v>74</v>
      </c>
      <c r="R652" t="s">
        <v>74</v>
      </c>
      <c r="S652" t="s">
        <v>74</v>
      </c>
      <c r="T652" t="s">
        <v>12838</v>
      </c>
      <c r="U652" t="s">
        <v>12839</v>
      </c>
      <c r="V652" t="s">
        <v>12840</v>
      </c>
      <c r="W652" t="s">
        <v>12841</v>
      </c>
      <c r="X652" t="s">
        <v>12842</v>
      </c>
      <c r="Y652" t="s">
        <v>12843</v>
      </c>
      <c r="Z652" t="s">
        <v>12844</v>
      </c>
      <c r="AA652" t="s">
        <v>12845</v>
      </c>
      <c r="AB652" t="s">
        <v>12846</v>
      </c>
      <c r="AC652" t="s">
        <v>12847</v>
      </c>
      <c r="AD652" t="s">
        <v>12848</v>
      </c>
      <c r="AE652" t="s">
        <v>12849</v>
      </c>
      <c r="AF652" t="s">
        <v>74</v>
      </c>
      <c r="AG652">
        <v>110</v>
      </c>
      <c r="AH652">
        <v>26</v>
      </c>
      <c r="AI652">
        <v>29</v>
      </c>
      <c r="AJ652">
        <v>3</v>
      </c>
      <c r="AK652">
        <v>47</v>
      </c>
      <c r="AL652" t="s">
        <v>277</v>
      </c>
      <c r="AM652" t="s">
        <v>278</v>
      </c>
      <c r="AN652" t="s">
        <v>279</v>
      </c>
      <c r="AO652" t="s">
        <v>12015</v>
      </c>
      <c r="AP652" t="s">
        <v>12016</v>
      </c>
      <c r="AQ652" t="s">
        <v>74</v>
      </c>
      <c r="AR652" t="s">
        <v>12017</v>
      </c>
      <c r="AS652" t="s">
        <v>12018</v>
      </c>
      <c r="AT652" t="s">
        <v>11811</v>
      </c>
      <c r="AU652">
        <v>2018</v>
      </c>
      <c r="AV652">
        <v>149</v>
      </c>
      <c r="AW652" t="s">
        <v>74</v>
      </c>
      <c r="AX652" t="s">
        <v>74</v>
      </c>
      <c r="AY652" t="s">
        <v>74</v>
      </c>
      <c r="AZ652" t="s">
        <v>508</v>
      </c>
      <c r="BA652" t="s">
        <v>74</v>
      </c>
      <c r="BB652">
        <v>218</v>
      </c>
      <c r="BC652">
        <v>228</v>
      </c>
      <c r="BD652" t="s">
        <v>74</v>
      </c>
      <c r="BE652" t="s">
        <v>12850</v>
      </c>
      <c r="BF652" t="str">
        <f>HYPERLINK("http://dx.doi.org/10.1016/j.dsr2.2017.12.020","http://dx.doi.org/10.1016/j.dsr2.2017.12.020")</f>
        <v>http://dx.doi.org/10.1016/j.dsr2.2017.12.020</v>
      </c>
      <c r="BG652" t="s">
        <v>74</v>
      </c>
      <c r="BH652" t="s">
        <v>74</v>
      </c>
      <c r="BI652">
        <v>11</v>
      </c>
      <c r="BJ652" t="s">
        <v>364</v>
      </c>
      <c r="BK652" t="s">
        <v>101</v>
      </c>
      <c r="BL652" t="s">
        <v>364</v>
      </c>
      <c r="BM652" t="s">
        <v>12020</v>
      </c>
      <c r="BN652" t="s">
        <v>74</v>
      </c>
      <c r="BO652" t="s">
        <v>74</v>
      </c>
      <c r="BP652" t="s">
        <v>74</v>
      </c>
      <c r="BQ652" t="s">
        <v>74</v>
      </c>
      <c r="BR652" t="s">
        <v>105</v>
      </c>
      <c r="BS652" t="s">
        <v>12851</v>
      </c>
      <c r="BT652" t="str">
        <f>HYPERLINK("https%3A%2F%2Fwww.webofscience.com%2Fwos%2Fwoscc%2Ffull-record%2FWOS:000437037100020","View Full Record in Web of Science")</f>
        <v>View Full Record in Web of Science</v>
      </c>
    </row>
    <row r="653" spans="1:72" x14ac:dyDescent="0.15">
      <c r="A653" t="s">
        <v>72</v>
      </c>
      <c r="B653" t="s">
        <v>12852</v>
      </c>
      <c r="C653" t="s">
        <v>74</v>
      </c>
      <c r="D653" t="s">
        <v>74</v>
      </c>
      <c r="E653" t="s">
        <v>74</v>
      </c>
      <c r="F653" t="s">
        <v>12853</v>
      </c>
      <c r="G653" t="s">
        <v>74</v>
      </c>
      <c r="H653" t="s">
        <v>74</v>
      </c>
      <c r="I653" t="s">
        <v>12854</v>
      </c>
      <c r="J653" t="s">
        <v>12002</v>
      </c>
      <c r="K653" t="s">
        <v>74</v>
      </c>
      <c r="L653" t="s">
        <v>74</v>
      </c>
      <c r="M653" t="s">
        <v>78</v>
      </c>
      <c r="N653" t="s">
        <v>79</v>
      </c>
      <c r="O653" t="s">
        <v>74</v>
      </c>
      <c r="P653" t="s">
        <v>74</v>
      </c>
      <c r="Q653" t="s">
        <v>74</v>
      </c>
      <c r="R653" t="s">
        <v>74</v>
      </c>
      <c r="S653" t="s">
        <v>74</v>
      </c>
      <c r="T653" t="s">
        <v>12855</v>
      </c>
      <c r="U653" t="s">
        <v>12856</v>
      </c>
      <c r="V653" t="s">
        <v>12857</v>
      </c>
      <c r="W653" t="s">
        <v>12858</v>
      </c>
      <c r="X653" t="s">
        <v>12859</v>
      </c>
      <c r="Y653" t="s">
        <v>12860</v>
      </c>
      <c r="Z653" t="s">
        <v>12861</v>
      </c>
      <c r="AA653" t="s">
        <v>12862</v>
      </c>
      <c r="AB653" t="s">
        <v>12863</v>
      </c>
      <c r="AC653" t="s">
        <v>12864</v>
      </c>
      <c r="AD653" t="s">
        <v>12865</v>
      </c>
      <c r="AE653" t="s">
        <v>12866</v>
      </c>
      <c r="AF653" t="s">
        <v>74</v>
      </c>
      <c r="AG653">
        <v>112</v>
      </c>
      <c r="AH653">
        <v>3</v>
      </c>
      <c r="AI653">
        <v>4</v>
      </c>
      <c r="AJ653">
        <v>0</v>
      </c>
      <c r="AK653">
        <v>18</v>
      </c>
      <c r="AL653" t="s">
        <v>277</v>
      </c>
      <c r="AM653" t="s">
        <v>278</v>
      </c>
      <c r="AN653" t="s">
        <v>279</v>
      </c>
      <c r="AO653" t="s">
        <v>12015</v>
      </c>
      <c r="AP653" t="s">
        <v>12016</v>
      </c>
      <c r="AQ653" t="s">
        <v>74</v>
      </c>
      <c r="AR653" t="s">
        <v>12017</v>
      </c>
      <c r="AS653" t="s">
        <v>12018</v>
      </c>
      <c r="AT653" t="s">
        <v>11811</v>
      </c>
      <c r="AU653">
        <v>2018</v>
      </c>
      <c r="AV653">
        <v>149</v>
      </c>
      <c r="AW653" t="s">
        <v>74</v>
      </c>
      <c r="AX653" t="s">
        <v>74</v>
      </c>
      <c r="AY653" t="s">
        <v>74</v>
      </c>
      <c r="AZ653" t="s">
        <v>508</v>
      </c>
      <c r="BA653" t="s">
        <v>74</v>
      </c>
      <c r="BB653">
        <v>229</v>
      </c>
      <c r="BC653">
        <v>239</v>
      </c>
      <c r="BD653" t="s">
        <v>74</v>
      </c>
      <c r="BE653" t="s">
        <v>12867</v>
      </c>
      <c r="BF653" t="str">
        <f>HYPERLINK("http://dx.doi.org/10.1016/j.dsr2.2018.01.006","http://dx.doi.org/10.1016/j.dsr2.2018.01.006")</f>
        <v>http://dx.doi.org/10.1016/j.dsr2.2018.01.006</v>
      </c>
      <c r="BG653" t="s">
        <v>74</v>
      </c>
      <c r="BH653" t="s">
        <v>74</v>
      </c>
      <c r="BI653">
        <v>11</v>
      </c>
      <c r="BJ653" t="s">
        <v>364</v>
      </c>
      <c r="BK653" t="s">
        <v>101</v>
      </c>
      <c r="BL653" t="s">
        <v>364</v>
      </c>
      <c r="BM653" t="s">
        <v>12020</v>
      </c>
      <c r="BN653" t="s">
        <v>74</v>
      </c>
      <c r="BO653" t="s">
        <v>74</v>
      </c>
      <c r="BP653" t="s">
        <v>74</v>
      </c>
      <c r="BQ653" t="s">
        <v>74</v>
      </c>
      <c r="BR653" t="s">
        <v>105</v>
      </c>
      <c r="BS653" t="s">
        <v>12868</v>
      </c>
      <c r="BT653" t="str">
        <f>HYPERLINK("https%3A%2F%2Fwww.webofscience.com%2Fwos%2Fwoscc%2Ffull-record%2FWOS:000437037100021","View Full Record in Web of Science")</f>
        <v>View Full Record in Web of Science</v>
      </c>
    </row>
    <row r="654" spans="1:72" x14ac:dyDescent="0.15">
      <c r="A654" t="s">
        <v>72</v>
      </c>
      <c r="B654" t="s">
        <v>12869</v>
      </c>
      <c r="C654" t="s">
        <v>74</v>
      </c>
      <c r="D654" t="s">
        <v>74</v>
      </c>
      <c r="E654" t="s">
        <v>74</v>
      </c>
      <c r="F654" t="s">
        <v>12870</v>
      </c>
      <c r="G654" t="s">
        <v>74</v>
      </c>
      <c r="H654" t="s">
        <v>74</v>
      </c>
      <c r="I654" t="s">
        <v>12871</v>
      </c>
      <c r="J654" t="s">
        <v>12872</v>
      </c>
      <c r="K654" t="s">
        <v>74</v>
      </c>
      <c r="L654" t="s">
        <v>74</v>
      </c>
      <c r="M654" t="s">
        <v>78</v>
      </c>
      <c r="N654" t="s">
        <v>79</v>
      </c>
      <c r="O654" t="s">
        <v>74</v>
      </c>
      <c r="P654" t="s">
        <v>74</v>
      </c>
      <c r="Q654" t="s">
        <v>74</v>
      </c>
      <c r="R654" t="s">
        <v>74</v>
      </c>
      <c r="S654" t="s">
        <v>74</v>
      </c>
      <c r="T654" t="s">
        <v>12873</v>
      </c>
      <c r="U654" t="s">
        <v>12874</v>
      </c>
      <c r="V654" t="s">
        <v>12875</v>
      </c>
      <c r="W654" t="s">
        <v>12876</v>
      </c>
      <c r="X654" t="s">
        <v>12877</v>
      </c>
      <c r="Y654" t="s">
        <v>12878</v>
      </c>
      <c r="Z654" t="s">
        <v>12879</v>
      </c>
      <c r="AA654" t="s">
        <v>74</v>
      </c>
      <c r="AB654" t="s">
        <v>74</v>
      </c>
      <c r="AC654" t="s">
        <v>12880</v>
      </c>
      <c r="AD654" t="s">
        <v>12880</v>
      </c>
      <c r="AE654" t="s">
        <v>12881</v>
      </c>
      <c r="AF654" t="s">
        <v>74</v>
      </c>
      <c r="AG654">
        <v>42</v>
      </c>
      <c r="AH654">
        <v>4</v>
      </c>
      <c r="AI654">
        <v>4</v>
      </c>
      <c r="AJ654">
        <v>0</v>
      </c>
      <c r="AK654">
        <v>1</v>
      </c>
      <c r="AL654" t="s">
        <v>12882</v>
      </c>
      <c r="AM654" t="s">
        <v>12883</v>
      </c>
      <c r="AN654" t="s">
        <v>12884</v>
      </c>
      <c r="AO654" t="s">
        <v>12885</v>
      </c>
      <c r="AP654" t="s">
        <v>12886</v>
      </c>
      <c r="AQ654" t="s">
        <v>74</v>
      </c>
      <c r="AR654" t="s">
        <v>12887</v>
      </c>
      <c r="AS654" t="s">
        <v>12888</v>
      </c>
      <c r="AT654" t="s">
        <v>11811</v>
      </c>
      <c r="AU654">
        <v>2018</v>
      </c>
      <c r="AV654">
        <v>47</v>
      </c>
      <c r="AW654">
        <v>3</v>
      </c>
      <c r="AX654" t="s">
        <v>74</v>
      </c>
      <c r="AY654" t="s">
        <v>74</v>
      </c>
      <c r="AZ654" t="s">
        <v>74</v>
      </c>
      <c r="BA654" t="s">
        <v>74</v>
      </c>
      <c r="BB654">
        <v>613</v>
      </c>
      <c r="BC654">
        <v>622</v>
      </c>
      <c r="BD654" t="s">
        <v>74</v>
      </c>
      <c r="BE654" t="s">
        <v>74</v>
      </c>
      <c r="BF654" t="s">
        <v>74</v>
      </c>
      <c r="BG654" t="s">
        <v>74</v>
      </c>
      <c r="BH654" t="s">
        <v>74</v>
      </c>
      <c r="BI654">
        <v>10</v>
      </c>
      <c r="BJ654" t="s">
        <v>364</v>
      </c>
      <c r="BK654" t="s">
        <v>101</v>
      </c>
      <c r="BL654" t="s">
        <v>364</v>
      </c>
      <c r="BM654" t="s">
        <v>12889</v>
      </c>
      <c r="BN654" t="s">
        <v>74</v>
      </c>
      <c r="BO654" t="s">
        <v>74</v>
      </c>
      <c r="BP654" t="s">
        <v>74</v>
      </c>
      <c r="BQ654" t="s">
        <v>74</v>
      </c>
      <c r="BR654" t="s">
        <v>105</v>
      </c>
      <c r="BS654" t="s">
        <v>12890</v>
      </c>
      <c r="BT654" t="str">
        <f>HYPERLINK("https%3A%2F%2Fwww.webofscience.com%2Fwos%2Fwoscc%2Ffull-record%2FWOS:000433524500012","View Full Record in Web of Science")</f>
        <v>View Full Record in Web of Science</v>
      </c>
    </row>
    <row r="655" spans="1:72" x14ac:dyDescent="0.15">
      <c r="A655" t="s">
        <v>72</v>
      </c>
      <c r="B655" t="s">
        <v>12891</v>
      </c>
      <c r="C655" t="s">
        <v>74</v>
      </c>
      <c r="D655" t="s">
        <v>74</v>
      </c>
      <c r="E655" t="s">
        <v>74</v>
      </c>
      <c r="F655" t="s">
        <v>12892</v>
      </c>
      <c r="G655" t="s">
        <v>74</v>
      </c>
      <c r="H655" t="s">
        <v>74</v>
      </c>
      <c r="I655" t="s">
        <v>12893</v>
      </c>
      <c r="J655" t="s">
        <v>12872</v>
      </c>
      <c r="K655" t="s">
        <v>74</v>
      </c>
      <c r="L655" t="s">
        <v>74</v>
      </c>
      <c r="M655" t="s">
        <v>78</v>
      </c>
      <c r="N655" t="s">
        <v>79</v>
      </c>
      <c r="O655" t="s">
        <v>74</v>
      </c>
      <c r="P655" t="s">
        <v>74</v>
      </c>
      <c r="Q655" t="s">
        <v>74</v>
      </c>
      <c r="R655" t="s">
        <v>74</v>
      </c>
      <c r="S655" t="s">
        <v>74</v>
      </c>
      <c r="T655" t="s">
        <v>12894</v>
      </c>
      <c r="U655" t="s">
        <v>12895</v>
      </c>
      <c r="V655" t="s">
        <v>12896</v>
      </c>
      <c r="W655" t="s">
        <v>12897</v>
      </c>
      <c r="X655" t="s">
        <v>12898</v>
      </c>
      <c r="Y655" t="s">
        <v>12899</v>
      </c>
      <c r="Z655" t="s">
        <v>12900</v>
      </c>
      <c r="AA655" t="s">
        <v>12901</v>
      </c>
      <c r="AB655" t="s">
        <v>12902</v>
      </c>
      <c r="AC655" t="s">
        <v>74</v>
      </c>
      <c r="AD655" t="s">
        <v>74</v>
      </c>
      <c r="AE655" t="s">
        <v>74</v>
      </c>
      <c r="AF655" t="s">
        <v>74</v>
      </c>
      <c r="AG655">
        <v>30</v>
      </c>
      <c r="AH655">
        <v>3</v>
      </c>
      <c r="AI655">
        <v>3</v>
      </c>
      <c r="AJ655">
        <v>0</v>
      </c>
      <c r="AK655">
        <v>14</v>
      </c>
      <c r="AL655" t="s">
        <v>12882</v>
      </c>
      <c r="AM655" t="s">
        <v>12883</v>
      </c>
      <c r="AN655" t="s">
        <v>12884</v>
      </c>
      <c r="AO655" t="s">
        <v>12885</v>
      </c>
      <c r="AP655" t="s">
        <v>12886</v>
      </c>
      <c r="AQ655" t="s">
        <v>74</v>
      </c>
      <c r="AR655" t="s">
        <v>12887</v>
      </c>
      <c r="AS655" t="s">
        <v>12888</v>
      </c>
      <c r="AT655" t="s">
        <v>11811</v>
      </c>
      <c r="AU655">
        <v>2018</v>
      </c>
      <c r="AV655">
        <v>47</v>
      </c>
      <c r="AW655">
        <v>3</v>
      </c>
      <c r="AX655" t="s">
        <v>74</v>
      </c>
      <c r="AY655" t="s">
        <v>74</v>
      </c>
      <c r="AZ655" t="s">
        <v>74</v>
      </c>
      <c r="BA655" t="s">
        <v>74</v>
      </c>
      <c r="BB655">
        <v>645</v>
      </c>
      <c r="BC655">
        <v>652</v>
      </c>
      <c r="BD655" t="s">
        <v>74</v>
      </c>
      <c r="BE655" t="s">
        <v>74</v>
      </c>
      <c r="BF655" t="s">
        <v>74</v>
      </c>
      <c r="BG655" t="s">
        <v>74</v>
      </c>
      <c r="BH655" t="s">
        <v>74</v>
      </c>
      <c r="BI655">
        <v>8</v>
      </c>
      <c r="BJ655" t="s">
        <v>364</v>
      </c>
      <c r="BK655" t="s">
        <v>101</v>
      </c>
      <c r="BL655" t="s">
        <v>364</v>
      </c>
      <c r="BM655" t="s">
        <v>12889</v>
      </c>
      <c r="BN655" t="s">
        <v>74</v>
      </c>
      <c r="BO655" t="s">
        <v>74</v>
      </c>
      <c r="BP655" t="s">
        <v>74</v>
      </c>
      <c r="BQ655" t="s">
        <v>74</v>
      </c>
      <c r="BR655" t="s">
        <v>105</v>
      </c>
      <c r="BS655" t="s">
        <v>12903</v>
      </c>
      <c r="BT655" t="str">
        <f>HYPERLINK("https%3A%2F%2Fwww.webofscience.com%2Fwos%2Fwoscc%2Ffull-record%2FWOS:000433524500016","View Full Record in Web of Science")</f>
        <v>View Full Record in Web of Science</v>
      </c>
    </row>
    <row r="656" spans="1:72" x14ac:dyDescent="0.15">
      <c r="A656" t="s">
        <v>72</v>
      </c>
      <c r="B656" t="s">
        <v>12904</v>
      </c>
      <c r="C656" t="s">
        <v>74</v>
      </c>
      <c r="D656" t="s">
        <v>74</v>
      </c>
      <c r="E656" t="s">
        <v>74</v>
      </c>
      <c r="F656" t="s">
        <v>12905</v>
      </c>
      <c r="G656" t="s">
        <v>74</v>
      </c>
      <c r="H656" t="s">
        <v>74</v>
      </c>
      <c r="I656" t="s">
        <v>12906</v>
      </c>
      <c r="J656" t="s">
        <v>12907</v>
      </c>
      <c r="K656" t="s">
        <v>74</v>
      </c>
      <c r="L656" t="s">
        <v>74</v>
      </c>
      <c r="M656" t="s">
        <v>78</v>
      </c>
      <c r="N656" t="s">
        <v>79</v>
      </c>
      <c r="O656" t="s">
        <v>74</v>
      </c>
      <c r="P656" t="s">
        <v>74</v>
      </c>
      <c r="Q656" t="s">
        <v>74</v>
      </c>
      <c r="R656" t="s">
        <v>74</v>
      </c>
      <c r="S656" t="s">
        <v>74</v>
      </c>
      <c r="T656" t="s">
        <v>12908</v>
      </c>
      <c r="U656" t="s">
        <v>12909</v>
      </c>
      <c r="V656" t="s">
        <v>12910</v>
      </c>
      <c r="W656" t="s">
        <v>12911</v>
      </c>
      <c r="X656" t="s">
        <v>12912</v>
      </c>
      <c r="Y656" t="s">
        <v>12913</v>
      </c>
      <c r="Z656" t="s">
        <v>12914</v>
      </c>
      <c r="AA656" t="s">
        <v>12915</v>
      </c>
      <c r="AB656" t="s">
        <v>12916</v>
      </c>
      <c r="AC656" t="s">
        <v>12917</v>
      </c>
      <c r="AD656" t="s">
        <v>12918</v>
      </c>
      <c r="AE656" t="s">
        <v>12919</v>
      </c>
      <c r="AF656" t="s">
        <v>74</v>
      </c>
      <c r="AG656">
        <v>61</v>
      </c>
      <c r="AH656">
        <v>36</v>
      </c>
      <c r="AI656">
        <v>36</v>
      </c>
      <c r="AJ656">
        <v>0</v>
      </c>
      <c r="AK656">
        <v>9</v>
      </c>
      <c r="AL656" t="s">
        <v>627</v>
      </c>
      <c r="AM656" t="s">
        <v>628</v>
      </c>
      <c r="AN656" t="s">
        <v>629</v>
      </c>
      <c r="AO656" t="s">
        <v>74</v>
      </c>
      <c r="AP656" t="s">
        <v>12920</v>
      </c>
      <c r="AQ656" t="s">
        <v>74</v>
      </c>
      <c r="AR656" t="s">
        <v>12921</v>
      </c>
      <c r="AS656" t="s">
        <v>12922</v>
      </c>
      <c r="AT656" t="s">
        <v>11811</v>
      </c>
      <c r="AU656">
        <v>2018</v>
      </c>
      <c r="AV656">
        <v>19</v>
      </c>
      <c r="AW656">
        <v>3</v>
      </c>
      <c r="AX656" t="s">
        <v>74</v>
      </c>
      <c r="AY656" t="s">
        <v>74</v>
      </c>
      <c r="AZ656" t="s">
        <v>74</v>
      </c>
      <c r="BA656" t="s">
        <v>74</v>
      </c>
      <c r="BB656" t="s">
        <v>74</v>
      </c>
      <c r="BC656" t="s">
        <v>74</v>
      </c>
      <c r="BD656">
        <v>709</v>
      </c>
      <c r="BE656" t="s">
        <v>12923</v>
      </c>
      <c r="BF656" t="str">
        <f>HYPERLINK("http://dx.doi.org/10.3390/ijms19030709","http://dx.doi.org/10.3390/ijms19030709")</f>
        <v>http://dx.doi.org/10.3390/ijms19030709</v>
      </c>
      <c r="BG656" t="s">
        <v>74</v>
      </c>
      <c r="BH656" t="s">
        <v>74</v>
      </c>
      <c r="BI656">
        <v>15</v>
      </c>
      <c r="BJ656" t="s">
        <v>12481</v>
      </c>
      <c r="BK656" t="s">
        <v>101</v>
      </c>
      <c r="BL656" t="s">
        <v>12482</v>
      </c>
      <c r="BM656" t="s">
        <v>12924</v>
      </c>
      <c r="BN656">
        <v>29494552</v>
      </c>
      <c r="BO656" t="s">
        <v>636</v>
      </c>
      <c r="BP656" t="s">
        <v>74</v>
      </c>
      <c r="BQ656" t="s">
        <v>74</v>
      </c>
      <c r="BR656" t="s">
        <v>105</v>
      </c>
      <c r="BS656" t="s">
        <v>12925</v>
      </c>
      <c r="BT656" t="str">
        <f>HYPERLINK("https%3A%2F%2Fwww.webofscience.com%2Fwos%2Fwoscc%2Ffull-record%2FWOS:000428309800066","View Full Record in Web of Science")</f>
        <v>View Full Record in Web of Science</v>
      </c>
    </row>
    <row r="657" spans="1:72" x14ac:dyDescent="0.15">
      <c r="A657" t="s">
        <v>72</v>
      </c>
      <c r="B657" t="s">
        <v>12926</v>
      </c>
      <c r="C657" t="s">
        <v>74</v>
      </c>
      <c r="D657" t="s">
        <v>74</v>
      </c>
      <c r="E657" t="s">
        <v>74</v>
      </c>
      <c r="F657" t="s">
        <v>12927</v>
      </c>
      <c r="G657" t="s">
        <v>74</v>
      </c>
      <c r="H657" t="s">
        <v>74</v>
      </c>
      <c r="I657" t="s">
        <v>12928</v>
      </c>
      <c r="J657" t="s">
        <v>12929</v>
      </c>
      <c r="K657" t="s">
        <v>74</v>
      </c>
      <c r="L657" t="s">
        <v>74</v>
      </c>
      <c r="M657" t="s">
        <v>78</v>
      </c>
      <c r="N657" t="s">
        <v>79</v>
      </c>
      <c r="O657" t="s">
        <v>74</v>
      </c>
      <c r="P657" t="s">
        <v>74</v>
      </c>
      <c r="Q657" t="s">
        <v>74</v>
      </c>
      <c r="R657" t="s">
        <v>74</v>
      </c>
      <c r="S657" t="s">
        <v>74</v>
      </c>
      <c r="T657" t="s">
        <v>12930</v>
      </c>
      <c r="U657" t="s">
        <v>12931</v>
      </c>
      <c r="V657" t="s">
        <v>12932</v>
      </c>
      <c r="W657" t="s">
        <v>12933</v>
      </c>
      <c r="X657" t="s">
        <v>12934</v>
      </c>
      <c r="Y657" t="s">
        <v>12935</v>
      </c>
      <c r="Z657" t="s">
        <v>12936</v>
      </c>
      <c r="AA657" t="s">
        <v>74</v>
      </c>
      <c r="AB657" t="s">
        <v>74</v>
      </c>
      <c r="AC657" t="s">
        <v>12937</v>
      </c>
      <c r="AD657" t="s">
        <v>12938</v>
      </c>
      <c r="AE657" t="s">
        <v>12939</v>
      </c>
      <c r="AF657" t="s">
        <v>74</v>
      </c>
      <c r="AG657">
        <v>40</v>
      </c>
      <c r="AH657">
        <v>13</v>
      </c>
      <c r="AI657">
        <v>15</v>
      </c>
      <c r="AJ657">
        <v>0</v>
      </c>
      <c r="AK657">
        <v>6</v>
      </c>
      <c r="AL657" t="s">
        <v>627</v>
      </c>
      <c r="AM657" t="s">
        <v>628</v>
      </c>
      <c r="AN657" t="s">
        <v>629</v>
      </c>
      <c r="AO657" t="s">
        <v>12940</v>
      </c>
      <c r="AP657" t="s">
        <v>74</v>
      </c>
      <c r="AQ657" t="s">
        <v>74</v>
      </c>
      <c r="AR657" t="s">
        <v>12941</v>
      </c>
      <c r="AS657" t="s">
        <v>12942</v>
      </c>
      <c r="AT657" t="s">
        <v>11811</v>
      </c>
      <c r="AU657">
        <v>2018</v>
      </c>
      <c r="AV657">
        <v>6</v>
      </c>
      <c r="AW657">
        <v>1</v>
      </c>
      <c r="AX657" t="s">
        <v>74</v>
      </c>
      <c r="AY657" t="s">
        <v>74</v>
      </c>
      <c r="AZ657" t="s">
        <v>74</v>
      </c>
      <c r="BA657" t="s">
        <v>74</v>
      </c>
      <c r="BB657" t="s">
        <v>74</v>
      </c>
      <c r="BC657" t="s">
        <v>74</v>
      </c>
      <c r="BD657">
        <v>12</v>
      </c>
      <c r="BE657" t="s">
        <v>12943</v>
      </c>
      <c r="BF657" t="str">
        <f>HYPERLINK("http://dx.doi.org/10.3390/jmse6010012","http://dx.doi.org/10.3390/jmse6010012")</f>
        <v>http://dx.doi.org/10.3390/jmse6010012</v>
      </c>
      <c r="BG657" t="s">
        <v>74</v>
      </c>
      <c r="BH657" t="s">
        <v>74</v>
      </c>
      <c r="BI657">
        <v>28</v>
      </c>
      <c r="BJ657" t="s">
        <v>12944</v>
      </c>
      <c r="BK657" t="s">
        <v>101</v>
      </c>
      <c r="BL657" t="s">
        <v>742</v>
      </c>
      <c r="BM657" t="s">
        <v>12945</v>
      </c>
      <c r="BN657" t="s">
        <v>74</v>
      </c>
      <c r="BO657" t="s">
        <v>2695</v>
      </c>
      <c r="BP657" t="s">
        <v>74</v>
      </c>
      <c r="BQ657" t="s">
        <v>74</v>
      </c>
      <c r="BR657" t="s">
        <v>105</v>
      </c>
      <c r="BS657" t="s">
        <v>12946</v>
      </c>
      <c r="BT657" t="str">
        <f>HYPERLINK("https%3A%2F%2Fwww.webofscience.com%2Fwos%2Fwoscc%2Ffull-record%2FWOS:000428558900011","View Full Record in Web of Science")</f>
        <v>View Full Record in Web of Science</v>
      </c>
    </row>
    <row r="658" spans="1:72" x14ac:dyDescent="0.15">
      <c r="A658" t="s">
        <v>72</v>
      </c>
      <c r="B658" t="s">
        <v>12947</v>
      </c>
      <c r="C658" t="s">
        <v>74</v>
      </c>
      <c r="D658" t="s">
        <v>74</v>
      </c>
      <c r="E658" t="s">
        <v>74</v>
      </c>
      <c r="F658" t="s">
        <v>12948</v>
      </c>
      <c r="G658" t="s">
        <v>74</v>
      </c>
      <c r="H658" t="s">
        <v>74</v>
      </c>
      <c r="I658" t="s">
        <v>12949</v>
      </c>
      <c r="J658" t="s">
        <v>810</v>
      </c>
      <c r="K658" t="s">
        <v>74</v>
      </c>
      <c r="L658" t="s">
        <v>74</v>
      </c>
      <c r="M658" t="s">
        <v>78</v>
      </c>
      <c r="N658" t="s">
        <v>79</v>
      </c>
      <c r="O658" t="s">
        <v>74</v>
      </c>
      <c r="P658" t="s">
        <v>74</v>
      </c>
      <c r="Q658" t="s">
        <v>74</v>
      </c>
      <c r="R658" t="s">
        <v>74</v>
      </c>
      <c r="S658" t="s">
        <v>74</v>
      </c>
      <c r="T658" t="s">
        <v>12950</v>
      </c>
      <c r="U658" t="s">
        <v>12951</v>
      </c>
      <c r="V658" t="s">
        <v>12952</v>
      </c>
      <c r="W658" t="s">
        <v>12953</v>
      </c>
      <c r="X658" t="s">
        <v>12954</v>
      </c>
      <c r="Y658" t="s">
        <v>12955</v>
      </c>
      <c r="Z658" t="s">
        <v>12956</v>
      </c>
      <c r="AA658" t="s">
        <v>12957</v>
      </c>
      <c r="AB658" t="s">
        <v>12958</v>
      </c>
      <c r="AC658" t="s">
        <v>12959</v>
      </c>
      <c r="AD658" t="s">
        <v>12959</v>
      </c>
      <c r="AE658" t="s">
        <v>12960</v>
      </c>
      <c r="AF658" t="s">
        <v>74</v>
      </c>
      <c r="AG658">
        <v>70</v>
      </c>
      <c r="AH658">
        <v>26</v>
      </c>
      <c r="AI658">
        <v>27</v>
      </c>
      <c r="AJ658">
        <v>3</v>
      </c>
      <c r="AK658">
        <v>13</v>
      </c>
      <c r="AL658" t="s">
        <v>627</v>
      </c>
      <c r="AM658" t="s">
        <v>628</v>
      </c>
      <c r="AN658" t="s">
        <v>629</v>
      </c>
      <c r="AO658" t="s">
        <v>823</v>
      </c>
      <c r="AP658" t="s">
        <v>74</v>
      </c>
      <c r="AQ658" t="s">
        <v>74</v>
      </c>
      <c r="AR658" t="s">
        <v>824</v>
      </c>
      <c r="AS658" t="s">
        <v>825</v>
      </c>
      <c r="AT658" t="s">
        <v>11811</v>
      </c>
      <c r="AU658">
        <v>2018</v>
      </c>
      <c r="AV658">
        <v>10</v>
      </c>
      <c r="AW658">
        <v>3</v>
      </c>
      <c r="AX658" t="s">
        <v>74</v>
      </c>
      <c r="AY658" t="s">
        <v>74</v>
      </c>
      <c r="AZ658" t="s">
        <v>74</v>
      </c>
      <c r="BA658" t="s">
        <v>74</v>
      </c>
      <c r="BB658" t="s">
        <v>74</v>
      </c>
      <c r="BC658" t="s">
        <v>74</v>
      </c>
      <c r="BD658">
        <v>366</v>
      </c>
      <c r="BE658" t="s">
        <v>12961</v>
      </c>
      <c r="BF658" t="str">
        <f>HYPERLINK("http://dx.doi.org/10.3390/rs10030366","http://dx.doi.org/10.3390/rs10030366")</f>
        <v>http://dx.doi.org/10.3390/rs10030366</v>
      </c>
      <c r="BG658" t="s">
        <v>74</v>
      </c>
      <c r="BH658" t="s">
        <v>74</v>
      </c>
      <c r="BI658">
        <v>23</v>
      </c>
      <c r="BJ658" t="s">
        <v>827</v>
      </c>
      <c r="BK658" t="s">
        <v>101</v>
      </c>
      <c r="BL658" t="s">
        <v>828</v>
      </c>
      <c r="BM658" t="s">
        <v>12962</v>
      </c>
      <c r="BN658" t="s">
        <v>74</v>
      </c>
      <c r="BO658" t="s">
        <v>133</v>
      </c>
      <c r="BP658" t="s">
        <v>74</v>
      </c>
      <c r="BQ658" t="s">
        <v>74</v>
      </c>
      <c r="BR658" t="s">
        <v>105</v>
      </c>
      <c r="BS658" t="s">
        <v>12963</v>
      </c>
      <c r="BT658" t="str">
        <f>HYPERLINK("https%3A%2F%2Fwww.webofscience.com%2Fwos%2Fwoscc%2Ffull-record%2FWOS:000428280100012","View Full Record in Web of Science")</f>
        <v>View Full Record in Web of Science</v>
      </c>
    </row>
    <row r="659" spans="1:72" x14ac:dyDescent="0.15">
      <c r="A659" t="s">
        <v>72</v>
      </c>
      <c r="B659" t="s">
        <v>12964</v>
      </c>
      <c r="C659" t="s">
        <v>74</v>
      </c>
      <c r="D659" t="s">
        <v>74</v>
      </c>
      <c r="E659" t="s">
        <v>74</v>
      </c>
      <c r="F659" t="s">
        <v>12965</v>
      </c>
      <c r="G659" t="s">
        <v>74</v>
      </c>
      <c r="H659" t="s">
        <v>74</v>
      </c>
      <c r="I659" t="s">
        <v>12966</v>
      </c>
      <c r="J659" t="s">
        <v>3496</v>
      </c>
      <c r="K659" t="s">
        <v>74</v>
      </c>
      <c r="L659" t="s">
        <v>74</v>
      </c>
      <c r="M659" t="s">
        <v>78</v>
      </c>
      <c r="N659" t="s">
        <v>79</v>
      </c>
      <c r="O659" t="s">
        <v>74</v>
      </c>
      <c r="P659" t="s">
        <v>74</v>
      </c>
      <c r="Q659" t="s">
        <v>74</v>
      </c>
      <c r="R659" t="s">
        <v>74</v>
      </c>
      <c r="S659" t="s">
        <v>74</v>
      </c>
      <c r="T659" t="s">
        <v>12967</v>
      </c>
      <c r="U659" t="s">
        <v>12968</v>
      </c>
      <c r="V659" t="s">
        <v>12969</v>
      </c>
      <c r="W659" t="s">
        <v>12970</v>
      </c>
      <c r="X659" t="s">
        <v>12971</v>
      </c>
      <c r="Y659" t="s">
        <v>12972</v>
      </c>
      <c r="Z659" t="s">
        <v>12973</v>
      </c>
      <c r="AA659" t="s">
        <v>12974</v>
      </c>
      <c r="AB659" t="s">
        <v>12975</v>
      </c>
      <c r="AC659" t="s">
        <v>12976</v>
      </c>
      <c r="AD659" t="s">
        <v>12977</v>
      </c>
      <c r="AE659" t="s">
        <v>12978</v>
      </c>
      <c r="AF659" t="s">
        <v>74</v>
      </c>
      <c r="AG659">
        <v>35</v>
      </c>
      <c r="AH659">
        <v>10</v>
      </c>
      <c r="AI659">
        <v>11</v>
      </c>
      <c r="AJ659">
        <v>0</v>
      </c>
      <c r="AK659">
        <v>5</v>
      </c>
      <c r="AL659" t="s">
        <v>3508</v>
      </c>
      <c r="AM659" t="s">
        <v>1540</v>
      </c>
      <c r="AN659" t="s">
        <v>3509</v>
      </c>
      <c r="AO659" t="s">
        <v>3510</v>
      </c>
      <c r="AP659" t="s">
        <v>3511</v>
      </c>
      <c r="AQ659" t="s">
        <v>74</v>
      </c>
      <c r="AR659" t="s">
        <v>3512</v>
      </c>
      <c r="AS659" t="s">
        <v>3513</v>
      </c>
      <c r="AT659" t="s">
        <v>11811</v>
      </c>
      <c r="AU659">
        <v>2018</v>
      </c>
      <c r="AV659">
        <v>68</v>
      </c>
      <c r="AW659">
        <v>3</v>
      </c>
      <c r="AX659" t="s">
        <v>74</v>
      </c>
      <c r="AY659" t="s">
        <v>74</v>
      </c>
      <c r="AZ659" t="s">
        <v>74</v>
      </c>
      <c r="BA659" t="s">
        <v>74</v>
      </c>
      <c r="BB659">
        <v>795</v>
      </c>
      <c r="BC659">
        <v>800</v>
      </c>
      <c r="BD659" t="s">
        <v>74</v>
      </c>
      <c r="BE659" t="s">
        <v>12979</v>
      </c>
      <c r="BF659" t="str">
        <f>HYPERLINK("http://dx.doi.org/10.1099/ijsem.0.002586","http://dx.doi.org/10.1099/ijsem.0.002586")</f>
        <v>http://dx.doi.org/10.1099/ijsem.0.002586</v>
      </c>
      <c r="BG659" t="s">
        <v>74</v>
      </c>
      <c r="BH659" t="s">
        <v>74</v>
      </c>
      <c r="BI659">
        <v>6</v>
      </c>
      <c r="BJ659" t="s">
        <v>510</v>
      </c>
      <c r="BK659" t="s">
        <v>101</v>
      </c>
      <c r="BL659" t="s">
        <v>510</v>
      </c>
      <c r="BM659" t="s">
        <v>12980</v>
      </c>
      <c r="BN659">
        <v>29458470</v>
      </c>
      <c r="BO659" t="s">
        <v>162</v>
      </c>
      <c r="BP659" t="s">
        <v>74</v>
      </c>
      <c r="BQ659" t="s">
        <v>74</v>
      </c>
      <c r="BR659" t="s">
        <v>105</v>
      </c>
      <c r="BS659" t="s">
        <v>12981</v>
      </c>
      <c r="BT659" t="str">
        <f>HYPERLINK("https%3A%2F%2Fwww.webofscience.com%2Fwos%2Fwoscc%2Ffull-record%2FWOS:000432657400016","View Full Record in Web of Science")</f>
        <v>View Full Record in Web of Science</v>
      </c>
    </row>
    <row r="660" spans="1:72" x14ac:dyDescent="0.15">
      <c r="A660" t="s">
        <v>72</v>
      </c>
      <c r="B660" t="s">
        <v>12982</v>
      </c>
      <c r="C660" t="s">
        <v>74</v>
      </c>
      <c r="D660" t="s">
        <v>74</v>
      </c>
      <c r="E660" t="s">
        <v>74</v>
      </c>
      <c r="F660" t="s">
        <v>12983</v>
      </c>
      <c r="G660" t="s">
        <v>74</v>
      </c>
      <c r="H660" t="s">
        <v>74</v>
      </c>
      <c r="I660" t="s">
        <v>12984</v>
      </c>
      <c r="J660" t="s">
        <v>3496</v>
      </c>
      <c r="K660" t="s">
        <v>74</v>
      </c>
      <c r="L660" t="s">
        <v>74</v>
      </c>
      <c r="M660" t="s">
        <v>78</v>
      </c>
      <c r="N660" t="s">
        <v>79</v>
      </c>
      <c r="O660" t="s">
        <v>74</v>
      </c>
      <c r="P660" t="s">
        <v>74</v>
      </c>
      <c r="Q660" t="s">
        <v>74</v>
      </c>
      <c r="R660" t="s">
        <v>74</v>
      </c>
      <c r="S660" t="s">
        <v>74</v>
      </c>
      <c r="T660" t="s">
        <v>12985</v>
      </c>
      <c r="U660" t="s">
        <v>12986</v>
      </c>
      <c r="V660" t="s">
        <v>12987</v>
      </c>
      <c r="W660" t="s">
        <v>12988</v>
      </c>
      <c r="X660" t="s">
        <v>12989</v>
      </c>
      <c r="Y660" t="s">
        <v>12990</v>
      </c>
      <c r="Z660" t="s">
        <v>12991</v>
      </c>
      <c r="AA660" t="s">
        <v>12992</v>
      </c>
      <c r="AB660" t="s">
        <v>12993</v>
      </c>
      <c r="AC660" t="s">
        <v>12994</v>
      </c>
      <c r="AD660" t="s">
        <v>12995</v>
      </c>
      <c r="AE660" t="s">
        <v>12996</v>
      </c>
      <c r="AF660" t="s">
        <v>74</v>
      </c>
      <c r="AG660">
        <v>36</v>
      </c>
      <c r="AH660">
        <v>14</v>
      </c>
      <c r="AI660">
        <v>15</v>
      </c>
      <c r="AJ660">
        <v>0</v>
      </c>
      <c r="AK660">
        <v>6</v>
      </c>
      <c r="AL660" t="s">
        <v>3508</v>
      </c>
      <c r="AM660" t="s">
        <v>1540</v>
      </c>
      <c r="AN660" t="s">
        <v>3509</v>
      </c>
      <c r="AO660" t="s">
        <v>3510</v>
      </c>
      <c r="AP660" t="s">
        <v>3511</v>
      </c>
      <c r="AQ660" t="s">
        <v>74</v>
      </c>
      <c r="AR660" t="s">
        <v>3512</v>
      </c>
      <c r="AS660" t="s">
        <v>3513</v>
      </c>
      <c r="AT660" t="s">
        <v>11811</v>
      </c>
      <c r="AU660">
        <v>2018</v>
      </c>
      <c r="AV660">
        <v>68</v>
      </c>
      <c r="AW660">
        <v>3</v>
      </c>
      <c r="AX660" t="s">
        <v>74</v>
      </c>
      <c r="AY660" t="s">
        <v>74</v>
      </c>
      <c r="AZ660" t="s">
        <v>74</v>
      </c>
      <c r="BA660" t="s">
        <v>74</v>
      </c>
      <c r="BB660">
        <v>911</v>
      </c>
      <c r="BC660">
        <v>916</v>
      </c>
      <c r="BD660" t="s">
        <v>74</v>
      </c>
      <c r="BE660" t="s">
        <v>12997</v>
      </c>
      <c r="BF660" t="str">
        <f>HYPERLINK("http://dx.doi.org/10.1099/ijsem.0.002610","http://dx.doi.org/10.1099/ijsem.0.002610")</f>
        <v>http://dx.doi.org/10.1099/ijsem.0.002610</v>
      </c>
      <c r="BG660" t="s">
        <v>74</v>
      </c>
      <c r="BH660" t="s">
        <v>74</v>
      </c>
      <c r="BI660">
        <v>6</v>
      </c>
      <c r="BJ660" t="s">
        <v>510</v>
      </c>
      <c r="BK660" t="s">
        <v>101</v>
      </c>
      <c r="BL660" t="s">
        <v>510</v>
      </c>
      <c r="BM660" t="s">
        <v>12980</v>
      </c>
      <c r="BN660">
        <v>29458488</v>
      </c>
      <c r="BO660" t="s">
        <v>162</v>
      </c>
      <c r="BP660" t="s">
        <v>74</v>
      </c>
      <c r="BQ660" t="s">
        <v>74</v>
      </c>
      <c r="BR660" t="s">
        <v>105</v>
      </c>
      <c r="BS660" t="s">
        <v>12998</v>
      </c>
      <c r="BT660" t="str">
        <f>HYPERLINK("https%3A%2F%2Fwww.webofscience.com%2Fwos%2Fwoscc%2Ffull-record%2FWOS:000432657400034","View Full Record in Web of Science")</f>
        <v>View Full Record in Web of Science</v>
      </c>
    </row>
    <row r="661" spans="1:72" x14ac:dyDescent="0.15">
      <c r="A661" t="s">
        <v>72</v>
      </c>
      <c r="B661" t="s">
        <v>12999</v>
      </c>
      <c r="C661" t="s">
        <v>74</v>
      </c>
      <c r="D661" t="s">
        <v>74</v>
      </c>
      <c r="E661" t="s">
        <v>74</v>
      </c>
      <c r="F661" t="s">
        <v>13000</v>
      </c>
      <c r="G661" t="s">
        <v>74</v>
      </c>
      <c r="H661" t="s">
        <v>74</v>
      </c>
      <c r="I661" t="s">
        <v>13001</v>
      </c>
      <c r="J661" t="s">
        <v>13002</v>
      </c>
      <c r="K661" t="s">
        <v>74</v>
      </c>
      <c r="L661" t="s">
        <v>74</v>
      </c>
      <c r="M661" t="s">
        <v>78</v>
      </c>
      <c r="N661" t="s">
        <v>79</v>
      </c>
      <c r="O661" t="s">
        <v>74</v>
      </c>
      <c r="P661" t="s">
        <v>74</v>
      </c>
      <c r="Q661" t="s">
        <v>74</v>
      </c>
      <c r="R661" t="s">
        <v>74</v>
      </c>
      <c r="S661" t="s">
        <v>74</v>
      </c>
      <c r="T661" t="s">
        <v>13003</v>
      </c>
      <c r="U661" t="s">
        <v>13004</v>
      </c>
      <c r="V661" t="s">
        <v>13005</v>
      </c>
      <c r="W661" t="s">
        <v>13006</v>
      </c>
      <c r="X661" t="s">
        <v>4029</v>
      </c>
      <c r="Y661" t="s">
        <v>13007</v>
      </c>
      <c r="Z661" t="s">
        <v>13008</v>
      </c>
      <c r="AA661" t="s">
        <v>13009</v>
      </c>
      <c r="AB661" t="s">
        <v>13010</v>
      </c>
      <c r="AC661" t="s">
        <v>13011</v>
      </c>
      <c r="AD661" t="s">
        <v>13012</v>
      </c>
      <c r="AE661" t="s">
        <v>13013</v>
      </c>
      <c r="AF661" t="s">
        <v>74</v>
      </c>
      <c r="AG661">
        <v>27</v>
      </c>
      <c r="AH661">
        <v>0</v>
      </c>
      <c r="AI661">
        <v>0</v>
      </c>
      <c r="AJ661">
        <v>0</v>
      </c>
      <c r="AK661">
        <v>2</v>
      </c>
      <c r="AL661" t="s">
        <v>13014</v>
      </c>
      <c r="AM661" t="s">
        <v>12622</v>
      </c>
      <c r="AN661" t="s">
        <v>13015</v>
      </c>
      <c r="AO661" t="s">
        <v>13016</v>
      </c>
      <c r="AP661" t="s">
        <v>74</v>
      </c>
      <c r="AQ661" t="s">
        <v>74</v>
      </c>
      <c r="AR661" t="s">
        <v>13017</v>
      </c>
      <c r="AS661" t="s">
        <v>13018</v>
      </c>
      <c r="AT661" t="s">
        <v>13019</v>
      </c>
      <c r="AU661">
        <v>2018</v>
      </c>
      <c r="AV661">
        <v>18</v>
      </c>
      <c r="AW661">
        <v>2</v>
      </c>
      <c r="AX661" t="s">
        <v>74</v>
      </c>
      <c r="AY661" t="s">
        <v>74</v>
      </c>
      <c r="AZ661" t="s">
        <v>74</v>
      </c>
      <c r="BA661" t="s">
        <v>74</v>
      </c>
      <c r="BB661" t="s">
        <v>74</v>
      </c>
      <c r="BC661" t="s">
        <v>74</v>
      </c>
      <c r="BD661" t="s">
        <v>13020</v>
      </c>
      <c r="BE661" t="s">
        <v>13021</v>
      </c>
      <c r="BF661" t="str">
        <f>HYPERLINK("http://dx.doi.org/10.2205/2017ES000610","http://dx.doi.org/10.2205/2017ES000610")</f>
        <v>http://dx.doi.org/10.2205/2017ES000610</v>
      </c>
      <c r="BG661" t="s">
        <v>74</v>
      </c>
      <c r="BH661" t="s">
        <v>74</v>
      </c>
      <c r="BI661">
        <v>7</v>
      </c>
      <c r="BJ661" t="s">
        <v>1243</v>
      </c>
      <c r="BK661" t="s">
        <v>261</v>
      </c>
      <c r="BL661" t="s">
        <v>1181</v>
      </c>
      <c r="BM661" t="s">
        <v>13022</v>
      </c>
      <c r="BN661" t="s">
        <v>74</v>
      </c>
      <c r="BO661" t="s">
        <v>4167</v>
      </c>
      <c r="BP661" t="s">
        <v>74</v>
      </c>
      <c r="BQ661" t="s">
        <v>74</v>
      </c>
      <c r="BR661" t="s">
        <v>105</v>
      </c>
      <c r="BS661" t="s">
        <v>13023</v>
      </c>
      <c r="BT661" t="str">
        <f>HYPERLINK("https%3A%2F%2Fwww.webofscience.com%2Fwos%2Fwoscc%2Ffull-record%2FWOS:000432947000003","View Full Record in Web of Science")</f>
        <v>View Full Record in Web of Science</v>
      </c>
    </row>
    <row r="662" spans="1:72" x14ac:dyDescent="0.15">
      <c r="A662" t="s">
        <v>72</v>
      </c>
      <c r="B662" t="s">
        <v>13024</v>
      </c>
      <c r="C662" t="s">
        <v>74</v>
      </c>
      <c r="D662" t="s">
        <v>74</v>
      </c>
      <c r="E662" t="s">
        <v>74</v>
      </c>
      <c r="F662" t="s">
        <v>13025</v>
      </c>
      <c r="G662" t="s">
        <v>74</v>
      </c>
      <c r="H662" t="s">
        <v>74</v>
      </c>
      <c r="I662" t="s">
        <v>13026</v>
      </c>
      <c r="J662" t="s">
        <v>13027</v>
      </c>
      <c r="K662" t="s">
        <v>74</v>
      </c>
      <c r="L662" t="s">
        <v>74</v>
      </c>
      <c r="M662" t="s">
        <v>78</v>
      </c>
      <c r="N662" t="s">
        <v>79</v>
      </c>
      <c r="O662" t="s">
        <v>74</v>
      </c>
      <c r="P662" t="s">
        <v>74</v>
      </c>
      <c r="Q662" t="s">
        <v>74</v>
      </c>
      <c r="R662" t="s">
        <v>74</v>
      </c>
      <c r="S662" t="s">
        <v>74</v>
      </c>
      <c r="T662" t="s">
        <v>13028</v>
      </c>
      <c r="U662" t="s">
        <v>74</v>
      </c>
      <c r="V662" t="s">
        <v>13029</v>
      </c>
      <c r="W662" t="s">
        <v>13030</v>
      </c>
      <c r="X662" t="s">
        <v>13031</v>
      </c>
      <c r="Y662" t="s">
        <v>13032</v>
      </c>
      <c r="Z662" t="s">
        <v>13033</v>
      </c>
      <c r="AA662" t="s">
        <v>13034</v>
      </c>
      <c r="AB662" t="s">
        <v>13035</v>
      </c>
      <c r="AC662" t="s">
        <v>13036</v>
      </c>
      <c r="AD662" t="s">
        <v>4058</v>
      </c>
      <c r="AE662" t="s">
        <v>13037</v>
      </c>
      <c r="AF662" t="s">
        <v>74</v>
      </c>
      <c r="AG662">
        <v>18</v>
      </c>
      <c r="AH662">
        <v>6</v>
      </c>
      <c r="AI662">
        <v>6</v>
      </c>
      <c r="AJ662">
        <v>0</v>
      </c>
      <c r="AK662">
        <v>4</v>
      </c>
      <c r="AL662" t="s">
        <v>12621</v>
      </c>
      <c r="AM662" t="s">
        <v>12622</v>
      </c>
      <c r="AN662" t="s">
        <v>12623</v>
      </c>
      <c r="AO662" t="s">
        <v>13038</v>
      </c>
      <c r="AP662" t="s">
        <v>13039</v>
      </c>
      <c r="AQ662" t="s">
        <v>74</v>
      </c>
      <c r="AR662" t="s">
        <v>13040</v>
      </c>
      <c r="AS662" t="s">
        <v>13041</v>
      </c>
      <c r="AT662" t="s">
        <v>11811</v>
      </c>
      <c r="AU662">
        <v>2018</v>
      </c>
      <c r="AV662">
        <v>58</v>
      </c>
      <c r="AW662">
        <v>2</v>
      </c>
      <c r="AX662" t="s">
        <v>74</v>
      </c>
      <c r="AY662" t="s">
        <v>74</v>
      </c>
      <c r="AZ662" t="s">
        <v>74</v>
      </c>
      <c r="BA662" t="s">
        <v>74</v>
      </c>
      <c r="BB662">
        <v>139</v>
      </c>
      <c r="BC662">
        <v>147</v>
      </c>
      <c r="BD662" t="s">
        <v>74</v>
      </c>
      <c r="BE662" t="s">
        <v>13042</v>
      </c>
      <c r="BF662" t="str">
        <f>HYPERLINK("http://dx.doi.org/10.1134/S0032945218020029","http://dx.doi.org/10.1134/S0032945218020029")</f>
        <v>http://dx.doi.org/10.1134/S0032945218020029</v>
      </c>
      <c r="BG662" t="s">
        <v>74</v>
      </c>
      <c r="BH662" t="s">
        <v>74</v>
      </c>
      <c r="BI662">
        <v>9</v>
      </c>
      <c r="BJ662" t="s">
        <v>13043</v>
      </c>
      <c r="BK662" t="s">
        <v>101</v>
      </c>
      <c r="BL662" t="s">
        <v>13043</v>
      </c>
      <c r="BM662" t="s">
        <v>13044</v>
      </c>
      <c r="BN662" t="s">
        <v>74</v>
      </c>
      <c r="BO662" t="s">
        <v>74</v>
      </c>
      <c r="BP662" t="s">
        <v>74</v>
      </c>
      <c r="BQ662" t="s">
        <v>74</v>
      </c>
      <c r="BR662" t="s">
        <v>105</v>
      </c>
      <c r="BS662" t="s">
        <v>13045</v>
      </c>
      <c r="BT662" t="str">
        <f>HYPERLINK("https%3A%2F%2Fwww.webofscience.com%2Fwos%2Fwoscc%2Ffull-record%2FWOS:000431605400002","View Full Record in Web of Science")</f>
        <v>View Full Record in Web of Science</v>
      </c>
    </row>
    <row r="663" spans="1:72" x14ac:dyDescent="0.15">
      <c r="A663" t="s">
        <v>72</v>
      </c>
      <c r="B663" t="s">
        <v>13046</v>
      </c>
      <c r="C663" t="s">
        <v>74</v>
      </c>
      <c r="D663" t="s">
        <v>74</v>
      </c>
      <c r="E663" t="s">
        <v>74</v>
      </c>
      <c r="F663" t="s">
        <v>13047</v>
      </c>
      <c r="G663" t="s">
        <v>74</v>
      </c>
      <c r="H663" t="s">
        <v>74</v>
      </c>
      <c r="I663" t="s">
        <v>13048</v>
      </c>
      <c r="J663" t="s">
        <v>5509</v>
      </c>
      <c r="K663" t="s">
        <v>74</v>
      </c>
      <c r="L663" t="s">
        <v>74</v>
      </c>
      <c r="M663" t="s">
        <v>78</v>
      </c>
      <c r="N663" t="s">
        <v>79</v>
      </c>
      <c r="O663" t="s">
        <v>74</v>
      </c>
      <c r="P663" t="s">
        <v>74</v>
      </c>
      <c r="Q663" t="s">
        <v>74</v>
      </c>
      <c r="R663" t="s">
        <v>74</v>
      </c>
      <c r="S663" t="s">
        <v>74</v>
      </c>
      <c r="T663" t="s">
        <v>74</v>
      </c>
      <c r="U663" t="s">
        <v>13049</v>
      </c>
      <c r="V663" t="s">
        <v>13050</v>
      </c>
      <c r="W663" t="s">
        <v>13051</v>
      </c>
      <c r="X663" t="s">
        <v>13052</v>
      </c>
      <c r="Y663" t="s">
        <v>13053</v>
      </c>
      <c r="Z663" t="s">
        <v>13054</v>
      </c>
      <c r="AA663" t="s">
        <v>13055</v>
      </c>
      <c r="AB663" t="s">
        <v>13056</v>
      </c>
      <c r="AC663" t="s">
        <v>13057</v>
      </c>
      <c r="AD663" t="s">
        <v>13058</v>
      </c>
      <c r="AE663" t="s">
        <v>13059</v>
      </c>
      <c r="AF663" t="s">
        <v>74</v>
      </c>
      <c r="AG663">
        <v>60</v>
      </c>
      <c r="AH663">
        <v>70</v>
      </c>
      <c r="AI663">
        <v>72</v>
      </c>
      <c r="AJ663">
        <v>3</v>
      </c>
      <c r="AK663">
        <v>27</v>
      </c>
      <c r="AL663" t="s">
        <v>5521</v>
      </c>
      <c r="AM663" t="s">
        <v>575</v>
      </c>
      <c r="AN663" t="s">
        <v>5522</v>
      </c>
      <c r="AO663" t="s">
        <v>5523</v>
      </c>
      <c r="AP663" t="s">
        <v>74</v>
      </c>
      <c r="AQ663" t="s">
        <v>74</v>
      </c>
      <c r="AR663" t="s">
        <v>5524</v>
      </c>
      <c r="AS663" t="s">
        <v>5525</v>
      </c>
      <c r="AT663" t="s">
        <v>11811</v>
      </c>
      <c r="AU663">
        <v>2018</v>
      </c>
      <c r="AV663">
        <v>4</v>
      </c>
      <c r="AW663">
        <v>3</v>
      </c>
      <c r="AX663" t="s">
        <v>74</v>
      </c>
      <c r="AY663" t="s">
        <v>74</v>
      </c>
      <c r="AZ663" t="s">
        <v>74</v>
      </c>
      <c r="BA663" t="s">
        <v>74</v>
      </c>
      <c r="BB663" t="s">
        <v>74</v>
      </c>
      <c r="BC663" t="s">
        <v>74</v>
      </c>
      <c r="BD663" t="s">
        <v>13060</v>
      </c>
      <c r="BE663" t="s">
        <v>13061</v>
      </c>
      <c r="BF663" t="str">
        <f>HYPERLINK("http://dx.doi.org/10.1126/sciadv.aao5928","http://dx.doi.org/10.1126/sciadv.aao5928")</f>
        <v>http://dx.doi.org/10.1126/sciadv.aao5928</v>
      </c>
      <c r="BG663" t="s">
        <v>74</v>
      </c>
      <c r="BH663" t="s">
        <v>74</v>
      </c>
      <c r="BI663">
        <v>8</v>
      </c>
      <c r="BJ663" t="s">
        <v>1670</v>
      </c>
      <c r="BK663" t="s">
        <v>101</v>
      </c>
      <c r="BL663" t="s">
        <v>1671</v>
      </c>
      <c r="BM663" t="s">
        <v>13062</v>
      </c>
      <c r="BN663">
        <v>29600271</v>
      </c>
      <c r="BO663" t="s">
        <v>3176</v>
      </c>
      <c r="BP663" t="s">
        <v>74</v>
      </c>
      <c r="BQ663" t="s">
        <v>74</v>
      </c>
      <c r="BR663" t="s">
        <v>105</v>
      </c>
      <c r="BS663" t="s">
        <v>13063</v>
      </c>
      <c r="BT663" t="str">
        <f>HYPERLINK("https%3A%2F%2Fwww.webofscience.com%2Fwos%2Fwoscc%2Ffull-record%2FWOS:000431373300009","View Full Record in Web of Science")</f>
        <v>View Full Record in Web of Science</v>
      </c>
    </row>
    <row r="664" spans="1:72" x14ac:dyDescent="0.15">
      <c r="A664" t="s">
        <v>72</v>
      </c>
      <c r="B664" t="s">
        <v>13064</v>
      </c>
      <c r="C664" t="s">
        <v>74</v>
      </c>
      <c r="D664" t="s">
        <v>74</v>
      </c>
      <c r="E664" t="s">
        <v>74</v>
      </c>
      <c r="F664" t="s">
        <v>13065</v>
      </c>
      <c r="G664" t="s">
        <v>74</v>
      </c>
      <c r="H664" t="s">
        <v>74</v>
      </c>
      <c r="I664" t="s">
        <v>13066</v>
      </c>
      <c r="J664" t="s">
        <v>5509</v>
      </c>
      <c r="K664" t="s">
        <v>74</v>
      </c>
      <c r="L664" t="s">
        <v>74</v>
      </c>
      <c r="M664" t="s">
        <v>78</v>
      </c>
      <c r="N664" t="s">
        <v>79</v>
      </c>
      <c r="O664" t="s">
        <v>74</v>
      </c>
      <c r="P664" t="s">
        <v>74</v>
      </c>
      <c r="Q664" t="s">
        <v>74</v>
      </c>
      <c r="R664" t="s">
        <v>74</v>
      </c>
      <c r="S664" t="s">
        <v>74</v>
      </c>
      <c r="T664" t="s">
        <v>74</v>
      </c>
      <c r="U664" t="s">
        <v>13067</v>
      </c>
      <c r="V664" t="s">
        <v>13068</v>
      </c>
      <c r="W664" t="s">
        <v>13069</v>
      </c>
      <c r="X664" t="s">
        <v>13070</v>
      </c>
      <c r="Y664" t="s">
        <v>13071</v>
      </c>
      <c r="Z664" t="s">
        <v>13072</v>
      </c>
      <c r="AA664" t="s">
        <v>13073</v>
      </c>
      <c r="AB664" t="s">
        <v>13074</v>
      </c>
      <c r="AC664" t="s">
        <v>13075</v>
      </c>
      <c r="AD664" t="s">
        <v>13076</v>
      </c>
      <c r="AE664" t="s">
        <v>13077</v>
      </c>
      <c r="AF664" t="s">
        <v>74</v>
      </c>
      <c r="AG664">
        <v>41</v>
      </c>
      <c r="AH664">
        <v>18</v>
      </c>
      <c r="AI664">
        <v>18</v>
      </c>
      <c r="AJ664">
        <v>1</v>
      </c>
      <c r="AK664">
        <v>17</v>
      </c>
      <c r="AL664" t="s">
        <v>5521</v>
      </c>
      <c r="AM664" t="s">
        <v>575</v>
      </c>
      <c r="AN664" t="s">
        <v>5522</v>
      </c>
      <c r="AO664" t="s">
        <v>5523</v>
      </c>
      <c r="AP664" t="s">
        <v>74</v>
      </c>
      <c r="AQ664" t="s">
        <v>74</v>
      </c>
      <c r="AR664" t="s">
        <v>5524</v>
      </c>
      <c r="AS664" t="s">
        <v>5525</v>
      </c>
      <c r="AT664" t="s">
        <v>11811</v>
      </c>
      <c r="AU664">
        <v>2018</v>
      </c>
      <c r="AV664">
        <v>4</v>
      </c>
      <c r="AW664">
        <v>3</v>
      </c>
      <c r="AX664" t="s">
        <v>74</v>
      </c>
      <c r="AY664" t="s">
        <v>74</v>
      </c>
      <c r="AZ664" t="s">
        <v>74</v>
      </c>
      <c r="BA664" t="s">
        <v>74</v>
      </c>
      <c r="BB664" t="s">
        <v>74</v>
      </c>
      <c r="BC664" t="s">
        <v>74</v>
      </c>
      <c r="BD664" t="s">
        <v>13078</v>
      </c>
      <c r="BE664" t="s">
        <v>13079</v>
      </c>
      <c r="BF664" t="str">
        <f>HYPERLINK("http://dx.doi.org/10.1126/sciadv.aao2824","http://dx.doi.org/10.1126/sciadv.aao2824")</f>
        <v>http://dx.doi.org/10.1126/sciadv.aao2824</v>
      </c>
      <c r="BG664" t="s">
        <v>74</v>
      </c>
      <c r="BH664" t="s">
        <v>74</v>
      </c>
      <c r="BI664">
        <v>7</v>
      </c>
      <c r="BJ664" t="s">
        <v>1670</v>
      </c>
      <c r="BK664" t="s">
        <v>101</v>
      </c>
      <c r="BL664" t="s">
        <v>1671</v>
      </c>
      <c r="BM664" t="s">
        <v>13062</v>
      </c>
      <c r="BN664">
        <v>29670936</v>
      </c>
      <c r="BO664" t="s">
        <v>672</v>
      </c>
      <c r="BP664" t="s">
        <v>74</v>
      </c>
      <c r="BQ664" t="s">
        <v>74</v>
      </c>
      <c r="BR664" t="s">
        <v>105</v>
      </c>
      <c r="BS664" t="s">
        <v>13080</v>
      </c>
      <c r="BT664" t="str">
        <f>HYPERLINK("https%3A%2F%2Fwww.webofscience.com%2Fwos%2Fwoscc%2Ffull-record%2FWOS:000431373300004","View Full Record in Web of Science")</f>
        <v>View Full Record in Web of Science</v>
      </c>
    </row>
    <row r="665" spans="1:72" x14ac:dyDescent="0.15">
      <c r="A665" t="s">
        <v>72</v>
      </c>
      <c r="B665" t="s">
        <v>13081</v>
      </c>
      <c r="C665" t="s">
        <v>74</v>
      </c>
      <c r="D665" t="s">
        <v>74</v>
      </c>
      <c r="E665" t="s">
        <v>74</v>
      </c>
      <c r="F665" t="s">
        <v>13082</v>
      </c>
      <c r="G665" t="s">
        <v>74</v>
      </c>
      <c r="H665" t="s">
        <v>74</v>
      </c>
      <c r="I665" t="s">
        <v>13083</v>
      </c>
      <c r="J665" t="s">
        <v>3656</v>
      </c>
      <c r="K665" t="s">
        <v>74</v>
      </c>
      <c r="L665" t="s">
        <v>74</v>
      </c>
      <c r="M665" t="s">
        <v>78</v>
      </c>
      <c r="N665" t="s">
        <v>79</v>
      </c>
      <c r="O665" t="s">
        <v>74</v>
      </c>
      <c r="P665" t="s">
        <v>74</v>
      </c>
      <c r="Q665" t="s">
        <v>74</v>
      </c>
      <c r="R665" t="s">
        <v>74</v>
      </c>
      <c r="S665" t="s">
        <v>74</v>
      </c>
      <c r="T665" t="s">
        <v>13084</v>
      </c>
      <c r="U665" t="s">
        <v>13085</v>
      </c>
      <c r="V665" t="s">
        <v>13086</v>
      </c>
      <c r="W665" t="s">
        <v>13087</v>
      </c>
      <c r="X665" t="s">
        <v>13088</v>
      </c>
      <c r="Y665" t="s">
        <v>13089</v>
      </c>
      <c r="Z665" t="s">
        <v>13090</v>
      </c>
      <c r="AA665" t="s">
        <v>13091</v>
      </c>
      <c r="AB665" t="s">
        <v>13092</v>
      </c>
      <c r="AC665" t="s">
        <v>13093</v>
      </c>
      <c r="AD665" t="s">
        <v>13094</v>
      </c>
      <c r="AE665" t="s">
        <v>13095</v>
      </c>
      <c r="AF665" t="s">
        <v>74</v>
      </c>
      <c r="AG665">
        <v>131</v>
      </c>
      <c r="AH665">
        <v>19</v>
      </c>
      <c r="AI665">
        <v>20</v>
      </c>
      <c r="AJ665">
        <v>6</v>
      </c>
      <c r="AK665">
        <v>36</v>
      </c>
      <c r="AL665" t="s">
        <v>574</v>
      </c>
      <c r="AM665" t="s">
        <v>575</v>
      </c>
      <c r="AN665" t="s">
        <v>576</v>
      </c>
      <c r="AO665" t="s">
        <v>3669</v>
      </c>
      <c r="AP665" t="s">
        <v>3670</v>
      </c>
      <c r="AQ665" t="s">
        <v>74</v>
      </c>
      <c r="AR665" t="s">
        <v>3671</v>
      </c>
      <c r="AS665" t="s">
        <v>3672</v>
      </c>
      <c r="AT665" t="s">
        <v>11811</v>
      </c>
      <c r="AU665">
        <v>2018</v>
      </c>
      <c r="AV665">
        <v>123</v>
      </c>
      <c r="AW665">
        <v>3</v>
      </c>
      <c r="AX665" t="s">
        <v>74</v>
      </c>
      <c r="AY665" t="s">
        <v>74</v>
      </c>
      <c r="AZ665" t="s">
        <v>74</v>
      </c>
      <c r="BA665" t="s">
        <v>74</v>
      </c>
      <c r="BB665">
        <v>1684</v>
      </c>
      <c r="BC665">
        <v>1707</v>
      </c>
      <c r="BD665" t="s">
        <v>74</v>
      </c>
      <c r="BE665" t="s">
        <v>13096</v>
      </c>
      <c r="BF665" t="str">
        <f>HYPERLINK("http://dx.doi.org/10.1002/2017JC013527","http://dx.doi.org/10.1002/2017JC013527")</f>
        <v>http://dx.doi.org/10.1002/2017JC013527</v>
      </c>
      <c r="BG665" t="s">
        <v>74</v>
      </c>
      <c r="BH665" t="s">
        <v>74</v>
      </c>
      <c r="BI665">
        <v>24</v>
      </c>
      <c r="BJ665" t="s">
        <v>364</v>
      </c>
      <c r="BK665" t="s">
        <v>101</v>
      </c>
      <c r="BL665" t="s">
        <v>364</v>
      </c>
      <c r="BM665" t="s">
        <v>12316</v>
      </c>
      <c r="BN665" t="s">
        <v>74</v>
      </c>
      <c r="BO665" t="s">
        <v>74</v>
      </c>
      <c r="BP665" t="s">
        <v>74</v>
      </c>
      <c r="BQ665" t="s">
        <v>74</v>
      </c>
      <c r="BR665" t="s">
        <v>105</v>
      </c>
      <c r="BS665" t="s">
        <v>13097</v>
      </c>
      <c r="BT665" t="str">
        <f>HYPERLINK("https%3A%2F%2Fwww.webofscience.com%2Fwos%2Fwoscc%2Ffull-record%2FWOS:000430918500007","View Full Record in Web of Science")</f>
        <v>View Full Record in Web of Science</v>
      </c>
    </row>
    <row r="666" spans="1:72" x14ac:dyDescent="0.15">
      <c r="A666" t="s">
        <v>72</v>
      </c>
      <c r="B666" t="s">
        <v>13098</v>
      </c>
      <c r="C666" t="s">
        <v>74</v>
      </c>
      <c r="D666" t="s">
        <v>74</v>
      </c>
      <c r="E666" t="s">
        <v>74</v>
      </c>
      <c r="F666" t="s">
        <v>13099</v>
      </c>
      <c r="G666" t="s">
        <v>74</v>
      </c>
      <c r="H666" t="s">
        <v>74</v>
      </c>
      <c r="I666" t="s">
        <v>13100</v>
      </c>
      <c r="J666" t="s">
        <v>3656</v>
      </c>
      <c r="K666" t="s">
        <v>74</v>
      </c>
      <c r="L666" t="s">
        <v>74</v>
      </c>
      <c r="M666" t="s">
        <v>78</v>
      </c>
      <c r="N666" t="s">
        <v>79</v>
      </c>
      <c r="O666" t="s">
        <v>74</v>
      </c>
      <c r="P666" t="s">
        <v>74</v>
      </c>
      <c r="Q666" t="s">
        <v>74</v>
      </c>
      <c r="R666" t="s">
        <v>74</v>
      </c>
      <c r="S666" t="s">
        <v>74</v>
      </c>
      <c r="T666" t="s">
        <v>74</v>
      </c>
      <c r="U666" t="s">
        <v>13101</v>
      </c>
      <c r="V666" t="s">
        <v>13102</v>
      </c>
      <c r="W666" t="s">
        <v>13103</v>
      </c>
      <c r="X666" t="s">
        <v>13104</v>
      </c>
      <c r="Y666" t="s">
        <v>13105</v>
      </c>
      <c r="Z666" t="s">
        <v>13106</v>
      </c>
      <c r="AA666" t="s">
        <v>13107</v>
      </c>
      <c r="AB666" t="s">
        <v>13108</v>
      </c>
      <c r="AC666" t="s">
        <v>13109</v>
      </c>
      <c r="AD666" t="s">
        <v>13110</v>
      </c>
      <c r="AE666" t="s">
        <v>13111</v>
      </c>
      <c r="AF666" t="s">
        <v>74</v>
      </c>
      <c r="AG666">
        <v>27</v>
      </c>
      <c r="AH666">
        <v>21</v>
      </c>
      <c r="AI666">
        <v>24</v>
      </c>
      <c r="AJ666">
        <v>0</v>
      </c>
      <c r="AK666">
        <v>11</v>
      </c>
      <c r="AL666" t="s">
        <v>574</v>
      </c>
      <c r="AM666" t="s">
        <v>575</v>
      </c>
      <c r="AN666" t="s">
        <v>576</v>
      </c>
      <c r="AO666" t="s">
        <v>3669</v>
      </c>
      <c r="AP666" t="s">
        <v>3670</v>
      </c>
      <c r="AQ666" t="s">
        <v>74</v>
      </c>
      <c r="AR666" t="s">
        <v>3671</v>
      </c>
      <c r="AS666" t="s">
        <v>3672</v>
      </c>
      <c r="AT666" t="s">
        <v>11811</v>
      </c>
      <c r="AU666">
        <v>2018</v>
      </c>
      <c r="AV666">
        <v>123</v>
      </c>
      <c r="AW666">
        <v>3</v>
      </c>
      <c r="AX666" t="s">
        <v>74</v>
      </c>
      <c r="AY666" t="s">
        <v>74</v>
      </c>
      <c r="AZ666" t="s">
        <v>74</v>
      </c>
      <c r="BA666" t="s">
        <v>74</v>
      </c>
      <c r="BB666">
        <v>1896</v>
      </c>
      <c r="BC666">
        <v>1906</v>
      </c>
      <c r="BD666" t="s">
        <v>74</v>
      </c>
      <c r="BE666" t="s">
        <v>13112</v>
      </c>
      <c r="BF666" t="str">
        <f>HYPERLINK("http://dx.doi.org/10.1002/2017JC013524","http://dx.doi.org/10.1002/2017JC013524")</f>
        <v>http://dx.doi.org/10.1002/2017JC013524</v>
      </c>
      <c r="BG666" t="s">
        <v>74</v>
      </c>
      <c r="BH666" t="s">
        <v>74</v>
      </c>
      <c r="BI666">
        <v>11</v>
      </c>
      <c r="BJ666" t="s">
        <v>364</v>
      </c>
      <c r="BK666" t="s">
        <v>101</v>
      </c>
      <c r="BL666" t="s">
        <v>364</v>
      </c>
      <c r="BM666" t="s">
        <v>12316</v>
      </c>
      <c r="BN666" t="s">
        <v>74</v>
      </c>
      <c r="BO666" t="s">
        <v>1085</v>
      </c>
      <c r="BP666" t="s">
        <v>74</v>
      </c>
      <c r="BQ666" t="s">
        <v>74</v>
      </c>
      <c r="BR666" t="s">
        <v>105</v>
      </c>
      <c r="BS666" t="s">
        <v>13113</v>
      </c>
      <c r="BT666" t="str">
        <f>HYPERLINK("https%3A%2F%2Fwww.webofscience.com%2Fwos%2Fwoscc%2Ffull-record%2FWOS:000430918500018","View Full Record in Web of Science")</f>
        <v>View Full Record in Web of Science</v>
      </c>
    </row>
    <row r="667" spans="1:72" x14ac:dyDescent="0.15">
      <c r="A667" t="s">
        <v>72</v>
      </c>
      <c r="B667" t="s">
        <v>13114</v>
      </c>
      <c r="C667" t="s">
        <v>74</v>
      </c>
      <c r="D667" t="s">
        <v>74</v>
      </c>
      <c r="E667" t="s">
        <v>74</v>
      </c>
      <c r="F667" t="s">
        <v>13115</v>
      </c>
      <c r="G667" t="s">
        <v>74</v>
      </c>
      <c r="H667" t="s">
        <v>74</v>
      </c>
      <c r="I667" t="s">
        <v>13116</v>
      </c>
      <c r="J667" t="s">
        <v>3656</v>
      </c>
      <c r="K667" t="s">
        <v>74</v>
      </c>
      <c r="L667" t="s">
        <v>74</v>
      </c>
      <c r="M667" t="s">
        <v>78</v>
      </c>
      <c r="N667" t="s">
        <v>79</v>
      </c>
      <c r="O667" t="s">
        <v>74</v>
      </c>
      <c r="P667" t="s">
        <v>74</v>
      </c>
      <c r="Q667" t="s">
        <v>74</v>
      </c>
      <c r="R667" t="s">
        <v>74</v>
      </c>
      <c r="S667" t="s">
        <v>74</v>
      </c>
      <c r="T667" t="s">
        <v>13117</v>
      </c>
      <c r="U667" t="s">
        <v>13118</v>
      </c>
      <c r="V667" t="s">
        <v>13119</v>
      </c>
      <c r="W667" t="s">
        <v>13120</v>
      </c>
      <c r="X667" t="s">
        <v>13121</v>
      </c>
      <c r="Y667" t="s">
        <v>13122</v>
      </c>
      <c r="Z667" t="s">
        <v>4213</v>
      </c>
      <c r="AA667" t="s">
        <v>13123</v>
      </c>
      <c r="AB667" t="s">
        <v>13124</v>
      </c>
      <c r="AC667" t="s">
        <v>13125</v>
      </c>
      <c r="AD667" t="s">
        <v>13126</v>
      </c>
      <c r="AE667" t="s">
        <v>13127</v>
      </c>
      <c r="AF667" t="s">
        <v>74</v>
      </c>
      <c r="AG667">
        <v>99</v>
      </c>
      <c r="AH667">
        <v>15</v>
      </c>
      <c r="AI667">
        <v>15</v>
      </c>
      <c r="AJ667">
        <v>2</v>
      </c>
      <c r="AK667">
        <v>20</v>
      </c>
      <c r="AL667" t="s">
        <v>574</v>
      </c>
      <c r="AM667" t="s">
        <v>575</v>
      </c>
      <c r="AN667" t="s">
        <v>576</v>
      </c>
      <c r="AO667" t="s">
        <v>3669</v>
      </c>
      <c r="AP667" t="s">
        <v>3670</v>
      </c>
      <c r="AQ667" t="s">
        <v>74</v>
      </c>
      <c r="AR667" t="s">
        <v>3671</v>
      </c>
      <c r="AS667" t="s">
        <v>3672</v>
      </c>
      <c r="AT667" t="s">
        <v>11811</v>
      </c>
      <c r="AU667">
        <v>2018</v>
      </c>
      <c r="AV667">
        <v>123</v>
      </c>
      <c r="AW667">
        <v>3</v>
      </c>
      <c r="AX667" t="s">
        <v>74</v>
      </c>
      <c r="AY667" t="s">
        <v>74</v>
      </c>
      <c r="AZ667" t="s">
        <v>74</v>
      </c>
      <c r="BA667" t="s">
        <v>74</v>
      </c>
      <c r="BB667">
        <v>1937</v>
      </c>
      <c r="BC667">
        <v>1961</v>
      </c>
      <c r="BD667" t="s">
        <v>74</v>
      </c>
      <c r="BE667" t="s">
        <v>13128</v>
      </c>
      <c r="BF667" t="str">
        <f>HYPERLINK("http://dx.doi.org/10.1002/2017JC013396","http://dx.doi.org/10.1002/2017JC013396")</f>
        <v>http://dx.doi.org/10.1002/2017JC013396</v>
      </c>
      <c r="BG667" t="s">
        <v>74</v>
      </c>
      <c r="BH667" t="s">
        <v>74</v>
      </c>
      <c r="BI667">
        <v>25</v>
      </c>
      <c r="BJ667" t="s">
        <v>364</v>
      </c>
      <c r="BK667" t="s">
        <v>101</v>
      </c>
      <c r="BL667" t="s">
        <v>364</v>
      </c>
      <c r="BM667" t="s">
        <v>12316</v>
      </c>
      <c r="BN667" t="s">
        <v>74</v>
      </c>
      <c r="BO667" t="s">
        <v>1292</v>
      </c>
      <c r="BP667" t="s">
        <v>74</v>
      </c>
      <c r="BQ667" t="s">
        <v>74</v>
      </c>
      <c r="BR667" t="s">
        <v>105</v>
      </c>
      <c r="BS667" t="s">
        <v>13129</v>
      </c>
      <c r="BT667" t="str">
        <f>HYPERLINK("https%3A%2F%2Fwww.webofscience.com%2Fwos%2Fwoscc%2Ffull-record%2FWOS:000430918500021","View Full Record in Web of Science")</f>
        <v>View Full Record in Web of Science</v>
      </c>
    </row>
    <row r="668" spans="1:72" x14ac:dyDescent="0.15">
      <c r="A668" t="s">
        <v>72</v>
      </c>
      <c r="B668" t="s">
        <v>13130</v>
      </c>
      <c r="C668" t="s">
        <v>74</v>
      </c>
      <c r="D668" t="s">
        <v>74</v>
      </c>
      <c r="E668" t="s">
        <v>74</v>
      </c>
      <c r="F668" t="s">
        <v>13131</v>
      </c>
      <c r="G668" t="s">
        <v>74</v>
      </c>
      <c r="H668" t="s">
        <v>74</v>
      </c>
      <c r="I668" t="s">
        <v>13132</v>
      </c>
      <c r="J668" t="s">
        <v>3656</v>
      </c>
      <c r="K668" t="s">
        <v>74</v>
      </c>
      <c r="L668" t="s">
        <v>74</v>
      </c>
      <c r="M668" t="s">
        <v>78</v>
      </c>
      <c r="N668" t="s">
        <v>79</v>
      </c>
      <c r="O668" t="s">
        <v>74</v>
      </c>
      <c r="P668" t="s">
        <v>74</v>
      </c>
      <c r="Q668" t="s">
        <v>74</v>
      </c>
      <c r="R668" t="s">
        <v>74</v>
      </c>
      <c r="S668" t="s">
        <v>74</v>
      </c>
      <c r="T668" t="s">
        <v>13133</v>
      </c>
      <c r="U668" t="s">
        <v>13134</v>
      </c>
      <c r="V668" t="s">
        <v>13135</v>
      </c>
      <c r="W668" t="s">
        <v>13136</v>
      </c>
      <c r="X668" t="s">
        <v>13137</v>
      </c>
      <c r="Y668" t="s">
        <v>13138</v>
      </c>
      <c r="Z668" t="s">
        <v>13139</v>
      </c>
      <c r="AA668" t="s">
        <v>13140</v>
      </c>
      <c r="AB668" t="s">
        <v>13141</v>
      </c>
      <c r="AC668" t="s">
        <v>13142</v>
      </c>
      <c r="AD668" t="s">
        <v>13143</v>
      </c>
      <c r="AE668" t="s">
        <v>13144</v>
      </c>
      <c r="AF668" t="s">
        <v>74</v>
      </c>
      <c r="AG668">
        <v>64</v>
      </c>
      <c r="AH668">
        <v>26</v>
      </c>
      <c r="AI668">
        <v>27</v>
      </c>
      <c r="AJ668">
        <v>0</v>
      </c>
      <c r="AK668">
        <v>24</v>
      </c>
      <c r="AL668" t="s">
        <v>574</v>
      </c>
      <c r="AM668" t="s">
        <v>575</v>
      </c>
      <c r="AN668" t="s">
        <v>576</v>
      </c>
      <c r="AO668" t="s">
        <v>3669</v>
      </c>
      <c r="AP668" t="s">
        <v>3670</v>
      </c>
      <c r="AQ668" t="s">
        <v>74</v>
      </c>
      <c r="AR668" t="s">
        <v>3671</v>
      </c>
      <c r="AS668" t="s">
        <v>3672</v>
      </c>
      <c r="AT668" t="s">
        <v>11811</v>
      </c>
      <c r="AU668">
        <v>2018</v>
      </c>
      <c r="AV668">
        <v>123</v>
      </c>
      <c r="AW668">
        <v>3</v>
      </c>
      <c r="AX668" t="s">
        <v>74</v>
      </c>
      <c r="AY668" t="s">
        <v>74</v>
      </c>
      <c r="AZ668" t="s">
        <v>74</v>
      </c>
      <c r="BA668" t="s">
        <v>74</v>
      </c>
      <c r="BB668">
        <v>1994</v>
      </c>
      <c r="BC668">
        <v>2017</v>
      </c>
      <c r="BD668" t="s">
        <v>74</v>
      </c>
      <c r="BE668" t="s">
        <v>13145</v>
      </c>
      <c r="BF668" t="str">
        <f>HYPERLINK("http://dx.doi.org/10.1002/2017JC013409","http://dx.doi.org/10.1002/2017JC013409")</f>
        <v>http://dx.doi.org/10.1002/2017JC013409</v>
      </c>
      <c r="BG668" t="s">
        <v>74</v>
      </c>
      <c r="BH668" t="s">
        <v>74</v>
      </c>
      <c r="BI668">
        <v>24</v>
      </c>
      <c r="BJ668" t="s">
        <v>364</v>
      </c>
      <c r="BK668" t="s">
        <v>101</v>
      </c>
      <c r="BL668" t="s">
        <v>364</v>
      </c>
      <c r="BM668" t="s">
        <v>12316</v>
      </c>
      <c r="BN668" t="s">
        <v>74</v>
      </c>
      <c r="BO668" t="s">
        <v>162</v>
      </c>
      <c r="BP668" t="s">
        <v>74</v>
      </c>
      <c r="BQ668" t="s">
        <v>74</v>
      </c>
      <c r="BR668" t="s">
        <v>105</v>
      </c>
      <c r="BS668" t="s">
        <v>13146</v>
      </c>
      <c r="BT668" t="str">
        <f>HYPERLINK("https%3A%2F%2Fwww.webofscience.com%2Fwos%2Fwoscc%2Ffull-record%2FWOS:000430918500024","View Full Record in Web of Science")</f>
        <v>View Full Record in Web of Science</v>
      </c>
    </row>
    <row r="669" spans="1:72" x14ac:dyDescent="0.15">
      <c r="A669" t="s">
        <v>72</v>
      </c>
      <c r="B669" t="s">
        <v>13147</v>
      </c>
      <c r="C669" t="s">
        <v>74</v>
      </c>
      <c r="D669" t="s">
        <v>74</v>
      </c>
      <c r="E669" t="s">
        <v>74</v>
      </c>
      <c r="F669" t="s">
        <v>13148</v>
      </c>
      <c r="G669" t="s">
        <v>74</v>
      </c>
      <c r="H669" t="s">
        <v>74</v>
      </c>
      <c r="I669" t="s">
        <v>13149</v>
      </c>
      <c r="J669" t="s">
        <v>3656</v>
      </c>
      <c r="K669" t="s">
        <v>74</v>
      </c>
      <c r="L669" t="s">
        <v>74</v>
      </c>
      <c r="M669" t="s">
        <v>78</v>
      </c>
      <c r="N669" t="s">
        <v>79</v>
      </c>
      <c r="O669" t="s">
        <v>74</v>
      </c>
      <c r="P669" t="s">
        <v>74</v>
      </c>
      <c r="Q669" t="s">
        <v>74</v>
      </c>
      <c r="R669" t="s">
        <v>74</v>
      </c>
      <c r="S669" t="s">
        <v>74</v>
      </c>
      <c r="T669" t="s">
        <v>13150</v>
      </c>
      <c r="U669" t="s">
        <v>13151</v>
      </c>
      <c r="V669" t="s">
        <v>13152</v>
      </c>
      <c r="W669" t="s">
        <v>13153</v>
      </c>
      <c r="X669" t="s">
        <v>13154</v>
      </c>
      <c r="Y669" t="s">
        <v>13155</v>
      </c>
      <c r="Z669" t="s">
        <v>13156</v>
      </c>
      <c r="AA669" t="s">
        <v>13157</v>
      </c>
      <c r="AB669" t="s">
        <v>13158</v>
      </c>
      <c r="AC669" t="s">
        <v>13159</v>
      </c>
      <c r="AD669" t="s">
        <v>13160</v>
      </c>
      <c r="AE669" t="s">
        <v>13161</v>
      </c>
      <c r="AF669" t="s">
        <v>74</v>
      </c>
      <c r="AG669">
        <v>77</v>
      </c>
      <c r="AH669">
        <v>5</v>
      </c>
      <c r="AI669">
        <v>5</v>
      </c>
      <c r="AJ669">
        <v>0</v>
      </c>
      <c r="AK669">
        <v>19</v>
      </c>
      <c r="AL669" t="s">
        <v>574</v>
      </c>
      <c r="AM669" t="s">
        <v>575</v>
      </c>
      <c r="AN669" t="s">
        <v>576</v>
      </c>
      <c r="AO669" t="s">
        <v>3669</v>
      </c>
      <c r="AP669" t="s">
        <v>3670</v>
      </c>
      <c r="AQ669" t="s">
        <v>74</v>
      </c>
      <c r="AR669" t="s">
        <v>3671</v>
      </c>
      <c r="AS669" t="s">
        <v>3672</v>
      </c>
      <c r="AT669" t="s">
        <v>11811</v>
      </c>
      <c r="AU669">
        <v>2018</v>
      </c>
      <c r="AV669">
        <v>123</v>
      </c>
      <c r="AW669">
        <v>3</v>
      </c>
      <c r="AX669" t="s">
        <v>74</v>
      </c>
      <c r="AY669" t="s">
        <v>74</v>
      </c>
      <c r="AZ669" t="s">
        <v>74</v>
      </c>
      <c r="BA669" t="s">
        <v>74</v>
      </c>
      <c r="BB669">
        <v>2238</v>
      </c>
      <c r="BC669">
        <v>2253</v>
      </c>
      <c r="BD669" t="s">
        <v>74</v>
      </c>
      <c r="BE669" t="s">
        <v>13162</v>
      </c>
      <c r="BF669" t="str">
        <f>HYPERLINK("http://dx.doi.org/10.1002/2017JC013382","http://dx.doi.org/10.1002/2017JC013382")</f>
        <v>http://dx.doi.org/10.1002/2017JC013382</v>
      </c>
      <c r="BG669" t="s">
        <v>74</v>
      </c>
      <c r="BH669" t="s">
        <v>74</v>
      </c>
      <c r="BI669">
        <v>16</v>
      </c>
      <c r="BJ669" t="s">
        <v>364</v>
      </c>
      <c r="BK669" t="s">
        <v>101</v>
      </c>
      <c r="BL669" t="s">
        <v>364</v>
      </c>
      <c r="BM669" t="s">
        <v>12316</v>
      </c>
      <c r="BN669" t="s">
        <v>74</v>
      </c>
      <c r="BO669" t="s">
        <v>74</v>
      </c>
      <c r="BP669" t="s">
        <v>74</v>
      </c>
      <c r="BQ669" t="s">
        <v>74</v>
      </c>
      <c r="BR669" t="s">
        <v>105</v>
      </c>
      <c r="BS669" t="s">
        <v>13163</v>
      </c>
      <c r="BT669" t="str">
        <f>HYPERLINK("https%3A%2F%2Fwww.webofscience.com%2Fwos%2Fwoscc%2Ffull-record%2FWOS:000430918500037","View Full Record in Web of Science")</f>
        <v>View Full Record in Web of Science</v>
      </c>
    </row>
    <row r="670" spans="1:72" x14ac:dyDescent="0.15">
      <c r="A670" t="s">
        <v>72</v>
      </c>
      <c r="B670" t="s">
        <v>13164</v>
      </c>
      <c r="C670" t="s">
        <v>74</v>
      </c>
      <c r="D670" t="s">
        <v>74</v>
      </c>
      <c r="E670" t="s">
        <v>74</v>
      </c>
      <c r="F670" t="s">
        <v>13165</v>
      </c>
      <c r="G670" t="s">
        <v>74</v>
      </c>
      <c r="H670" t="s">
        <v>74</v>
      </c>
      <c r="I670" t="s">
        <v>13166</v>
      </c>
      <c r="J670" t="s">
        <v>3656</v>
      </c>
      <c r="K670" t="s">
        <v>74</v>
      </c>
      <c r="L670" t="s">
        <v>74</v>
      </c>
      <c r="M670" t="s">
        <v>78</v>
      </c>
      <c r="N670" t="s">
        <v>79</v>
      </c>
      <c r="O670" t="s">
        <v>74</v>
      </c>
      <c r="P670" t="s">
        <v>74</v>
      </c>
      <c r="Q670" t="s">
        <v>74</v>
      </c>
      <c r="R670" t="s">
        <v>74</v>
      </c>
      <c r="S670" t="s">
        <v>74</v>
      </c>
      <c r="T670" t="s">
        <v>13167</v>
      </c>
      <c r="U670" t="s">
        <v>13168</v>
      </c>
      <c r="V670" t="s">
        <v>13169</v>
      </c>
      <c r="W670" t="s">
        <v>13170</v>
      </c>
      <c r="X670" t="s">
        <v>13171</v>
      </c>
      <c r="Y670" t="s">
        <v>13172</v>
      </c>
      <c r="Z670" t="s">
        <v>13173</v>
      </c>
      <c r="AA670" t="s">
        <v>13174</v>
      </c>
      <c r="AB670" t="s">
        <v>13175</v>
      </c>
      <c r="AC670" t="s">
        <v>13176</v>
      </c>
      <c r="AD670" t="s">
        <v>13177</v>
      </c>
      <c r="AE670" t="s">
        <v>13178</v>
      </c>
      <c r="AF670" t="s">
        <v>74</v>
      </c>
      <c r="AG670">
        <v>66</v>
      </c>
      <c r="AH670">
        <v>23</v>
      </c>
      <c r="AI670">
        <v>23</v>
      </c>
      <c r="AJ670">
        <v>0</v>
      </c>
      <c r="AK670">
        <v>12</v>
      </c>
      <c r="AL670" t="s">
        <v>574</v>
      </c>
      <c r="AM670" t="s">
        <v>575</v>
      </c>
      <c r="AN670" t="s">
        <v>576</v>
      </c>
      <c r="AO670" t="s">
        <v>3669</v>
      </c>
      <c r="AP670" t="s">
        <v>3670</v>
      </c>
      <c r="AQ670" t="s">
        <v>74</v>
      </c>
      <c r="AR670" t="s">
        <v>3671</v>
      </c>
      <c r="AS670" t="s">
        <v>3672</v>
      </c>
      <c r="AT670" t="s">
        <v>11811</v>
      </c>
      <c r="AU670">
        <v>2018</v>
      </c>
      <c r="AV670">
        <v>123</v>
      </c>
      <c r="AW670">
        <v>3</v>
      </c>
      <c r="AX670" t="s">
        <v>74</v>
      </c>
      <c r="AY670" t="s">
        <v>74</v>
      </c>
      <c r="AZ670" t="s">
        <v>74</v>
      </c>
      <c r="BA670" t="s">
        <v>74</v>
      </c>
      <c r="BB670">
        <v>2274</v>
      </c>
      <c r="BC670">
        <v>2292</v>
      </c>
      <c r="BD670" t="s">
        <v>74</v>
      </c>
      <c r="BE670" t="s">
        <v>13179</v>
      </c>
      <c r="BF670" t="str">
        <f>HYPERLINK("http://dx.doi.org/10.1002/2017JC013298","http://dx.doi.org/10.1002/2017JC013298")</f>
        <v>http://dx.doi.org/10.1002/2017JC013298</v>
      </c>
      <c r="BG670" t="s">
        <v>74</v>
      </c>
      <c r="BH670" t="s">
        <v>74</v>
      </c>
      <c r="BI670">
        <v>19</v>
      </c>
      <c r="BJ670" t="s">
        <v>364</v>
      </c>
      <c r="BK670" t="s">
        <v>101</v>
      </c>
      <c r="BL670" t="s">
        <v>364</v>
      </c>
      <c r="BM670" t="s">
        <v>12316</v>
      </c>
      <c r="BN670" t="s">
        <v>74</v>
      </c>
      <c r="BO670" t="s">
        <v>1111</v>
      </c>
      <c r="BP670" t="s">
        <v>74</v>
      </c>
      <c r="BQ670" t="s">
        <v>74</v>
      </c>
      <c r="BR670" t="s">
        <v>105</v>
      </c>
      <c r="BS670" t="s">
        <v>13180</v>
      </c>
      <c r="BT670" t="str">
        <f>HYPERLINK("https%3A%2F%2Fwww.webofscience.com%2Fwos%2Fwoscc%2Ffull-record%2FWOS:000430918500039","View Full Record in Web of Science")</f>
        <v>View Full Record in Web of Science</v>
      </c>
    </row>
    <row r="671" spans="1:72" x14ac:dyDescent="0.15">
      <c r="A671" t="s">
        <v>72</v>
      </c>
      <c r="B671" t="s">
        <v>13181</v>
      </c>
      <c r="C671" t="s">
        <v>74</v>
      </c>
      <c r="D671" t="s">
        <v>74</v>
      </c>
      <c r="E671" t="s">
        <v>74</v>
      </c>
      <c r="F671" t="s">
        <v>13182</v>
      </c>
      <c r="G671" t="s">
        <v>74</v>
      </c>
      <c r="H671" t="s">
        <v>74</v>
      </c>
      <c r="I671" t="s">
        <v>13183</v>
      </c>
      <c r="J671" t="s">
        <v>4115</v>
      </c>
      <c r="K671" t="s">
        <v>74</v>
      </c>
      <c r="L671" t="s">
        <v>74</v>
      </c>
      <c r="M671" t="s">
        <v>78</v>
      </c>
      <c r="N671" t="s">
        <v>79</v>
      </c>
      <c r="O671" t="s">
        <v>74</v>
      </c>
      <c r="P671" t="s">
        <v>74</v>
      </c>
      <c r="Q671" t="s">
        <v>74</v>
      </c>
      <c r="R671" t="s">
        <v>74</v>
      </c>
      <c r="S671" t="s">
        <v>74</v>
      </c>
      <c r="T671" t="s">
        <v>74</v>
      </c>
      <c r="U671" t="s">
        <v>13184</v>
      </c>
      <c r="V671" t="s">
        <v>13185</v>
      </c>
      <c r="W671" t="s">
        <v>13186</v>
      </c>
      <c r="X671" t="s">
        <v>13187</v>
      </c>
      <c r="Y671" t="s">
        <v>13188</v>
      </c>
      <c r="Z671" t="s">
        <v>13189</v>
      </c>
      <c r="AA671" t="s">
        <v>74</v>
      </c>
      <c r="AB671" t="s">
        <v>13190</v>
      </c>
      <c r="AC671" t="s">
        <v>13191</v>
      </c>
      <c r="AD671" t="s">
        <v>13192</v>
      </c>
      <c r="AE671" t="s">
        <v>13193</v>
      </c>
      <c r="AF671" t="s">
        <v>74</v>
      </c>
      <c r="AG671">
        <v>47</v>
      </c>
      <c r="AH671">
        <v>4</v>
      </c>
      <c r="AI671">
        <v>4</v>
      </c>
      <c r="AJ671">
        <v>0</v>
      </c>
      <c r="AK671">
        <v>2</v>
      </c>
      <c r="AL671" t="s">
        <v>3595</v>
      </c>
      <c r="AM671" t="s">
        <v>3596</v>
      </c>
      <c r="AN671" t="s">
        <v>3597</v>
      </c>
      <c r="AO671" t="s">
        <v>4122</v>
      </c>
      <c r="AP671" t="s">
        <v>4123</v>
      </c>
      <c r="AQ671" t="s">
        <v>74</v>
      </c>
      <c r="AR671" t="s">
        <v>4124</v>
      </c>
      <c r="AS671" t="s">
        <v>4125</v>
      </c>
      <c r="AT671" t="s">
        <v>11811</v>
      </c>
      <c r="AU671">
        <v>2018</v>
      </c>
      <c r="AV671">
        <v>48</v>
      </c>
      <c r="AW671">
        <v>3</v>
      </c>
      <c r="AX671" t="s">
        <v>74</v>
      </c>
      <c r="AY671" t="s">
        <v>74</v>
      </c>
      <c r="AZ671" t="s">
        <v>74</v>
      </c>
      <c r="BA671" t="s">
        <v>74</v>
      </c>
      <c r="BB671">
        <v>555</v>
      </c>
      <c r="BC671">
        <v>572</v>
      </c>
      <c r="BD671" t="s">
        <v>74</v>
      </c>
      <c r="BE671" t="s">
        <v>13194</v>
      </c>
      <c r="BF671" t="str">
        <f>HYPERLINK("http://dx.doi.org/10.1175/JPO-D-16-0255.1","http://dx.doi.org/10.1175/JPO-D-16-0255.1")</f>
        <v>http://dx.doi.org/10.1175/JPO-D-16-0255.1</v>
      </c>
      <c r="BG671" t="s">
        <v>74</v>
      </c>
      <c r="BH671" t="s">
        <v>74</v>
      </c>
      <c r="BI671">
        <v>18</v>
      </c>
      <c r="BJ671" t="s">
        <v>364</v>
      </c>
      <c r="BK671" t="s">
        <v>101</v>
      </c>
      <c r="BL671" t="s">
        <v>364</v>
      </c>
      <c r="BM671" t="s">
        <v>13195</v>
      </c>
      <c r="BN671" t="s">
        <v>74</v>
      </c>
      <c r="BO671" t="s">
        <v>341</v>
      </c>
      <c r="BP671" t="s">
        <v>74</v>
      </c>
      <c r="BQ671" t="s">
        <v>74</v>
      </c>
      <c r="BR671" t="s">
        <v>105</v>
      </c>
      <c r="BS671" t="s">
        <v>13196</v>
      </c>
      <c r="BT671" t="str">
        <f>HYPERLINK("https%3A%2F%2Fwww.webofscience.com%2Fwos%2Fwoscc%2Ffull-record%2FWOS:000430757700005","View Full Record in Web of Science")</f>
        <v>View Full Record in Web of Science</v>
      </c>
    </row>
    <row r="672" spans="1:72" x14ac:dyDescent="0.15">
      <c r="A672" t="s">
        <v>72</v>
      </c>
      <c r="B672" t="s">
        <v>13197</v>
      </c>
      <c r="C672" t="s">
        <v>74</v>
      </c>
      <c r="D672" t="s">
        <v>74</v>
      </c>
      <c r="E672" t="s">
        <v>74</v>
      </c>
      <c r="F672" t="s">
        <v>13198</v>
      </c>
      <c r="G672" t="s">
        <v>74</v>
      </c>
      <c r="H672" t="s">
        <v>74</v>
      </c>
      <c r="I672" t="s">
        <v>13199</v>
      </c>
      <c r="J672" t="s">
        <v>4115</v>
      </c>
      <c r="K672" t="s">
        <v>74</v>
      </c>
      <c r="L672" t="s">
        <v>74</v>
      </c>
      <c r="M672" t="s">
        <v>78</v>
      </c>
      <c r="N672" t="s">
        <v>79</v>
      </c>
      <c r="O672" t="s">
        <v>74</v>
      </c>
      <c r="P672" t="s">
        <v>74</v>
      </c>
      <c r="Q672" t="s">
        <v>74</v>
      </c>
      <c r="R672" t="s">
        <v>74</v>
      </c>
      <c r="S672" t="s">
        <v>74</v>
      </c>
      <c r="T672" t="s">
        <v>74</v>
      </c>
      <c r="U672" t="s">
        <v>13200</v>
      </c>
      <c r="V672" t="s">
        <v>13201</v>
      </c>
      <c r="W672" t="s">
        <v>13202</v>
      </c>
      <c r="X672" t="s">
        <v>13203</v>
      </c>
      <c r="Y672" t="s">
        <v>13204</v>
      </c>
      <c r="Z672" t="s">
        <v>13205</v>
      </c>
      <c r="AA672" t="s">
        <v>13206</v>
      </c>
      <c r="AB672" t="s">
        <v>13207</v>
      </c>
      <c r="AC672" t="s">
        <v>13208</v>
      </c>
      <c r="AD672" t="s">
        <v>13209</v>
      </c>
      <c r="AE672" t="s">
        <v>13210</v>
      </c>
      <c r="AF672" t="s">
        <v>74</v>
      </c>
      <c r="AG672">
        <v>46</v>
      </c>
      <c r="AH672">
        <v>128</v>
      </c>
      <c r="AI672">
        <v>138</v>
      </c>
      <c r="AJ672">
        <v>4</v>
      </c>
      <c r="AK672">
        <v>46</v>
      </c>
      <c r="AL672" t="s">
        <v>3595</v>
      </c>
      <c r="AM672" t="s">
        <v>3596</v>
      </c>
      <c r="AN672" t="s">
        <v>3597</v>
      </c>
      <c r="AO672" t="s">
        <v>4122</v>
      </c>
      <c r="AP672" t="s">
        <v>4123</v>
      </c>
      <c r="AQ672" t="s">
        <v>74</v>
      </c>
      <c r="AR672" t="s">
        <v>4124</v>
      </c>
      <c r="AS672" t="s">
        <v>4125</v>
      </c>
      <c r="AT672" t="s">
        <v>11811</v>
      </c>
      <c r="AU672">
        <v>2018</v>
      </c>
      <c r="AV672">
        <v>48</v>
      </c>
      <c r="AW672">
        <v>3</v>
      </c>
      <c r="AX672" t="s">
        <v>74</v>
      </c>
      <c r="AY672" t="s">
        <v>74</v>
      </c>
      <c r="AZ672" t="s">
        <v>74</v>
      </c>
      <c r="BA672" t="s">
        <v>74</v>
      </c>
      <c r="BB672">
        <v>591</v>
      </c>
      <c r="BC672">
        <v>605</v>
      </c>
      <c r="BD672" t="s">
        <v>74</v>
      </c>
      <c r="BE672" t="s">
        <v>13211</v>
      </c>
      <c r="BF672" t="str">
        <f>HYPERLINK("http://dx.doi.org/10.1175/JPO-D-17-0169.1","http://dx.doi.org/10.1175/JPO-D-17-0169.1")</f>
        <v>http://dx.doi.org/10.1175/JPO-D-17-0169.1</v>
      </c>
      <c r="BG672" t="s">
        <v>74</v>
      </c>
      <c r="BH672" t="s">
        <v>74</v>
      </c>
      <c r="BI672">
        <v>15</v>
      </c>
      <c r="BJ672" t="s">
        <v>364</v>
      </c>
      <c r="BK672" t="s">
        <v>101</v>
      </c>
      <c r="BL672" t="s">
        <v>364</v>
      </c>
      <c r="BM672" t="s">
        <v>13195</v>
      </c>
      <c r="BN672" t="s">
        <v>74</v>
      </c>
      <c r="BO672" t="s">
        <v>288</v>
      </c>
      <c r="BP672" t="s">
        <v>74</v>
      </c>
      <c r="BQ672" t="s">
        <v>74</v>
      </c>
      <c r="BR672" t="s">
        <v>105</v>
      </c>
      <c r="BS672" t="s">
        <v>13212</v>
      </c>
      <c r="BT672" t="str">
        <f>HYPERLINK("https%3A%2F%2Fwww.webofscience.com%2Fwos%2Fwoscc%2Ffull-record%2FWOS:000430757700007","View Full Record in Web of Science")</f>
        <v>View Full Record in Web of Science</v>
      </c>
    </row>
    <row r="673" spans="1:72" x14ac:dyDescent="0.15">
      <c r="A673" t="s">
        <v>72</v>
      </c>
      <c r="B673" t="s">
        <v>13213</v>
      </c>
      <c r="C673" t="s">
        <v>74</v>
      </c>
      <c r="D673" t="s">
        <v>74</v>
      </c>
      <c r="E673" t="s">
        <v>74</v>
      </c>
      <c r="F673" t="s">
        <v>13214</v>
      </c>
      <c r="G673" t="s">
        <v>74</v>
      </c>
      <c r="H673" t="s">
        <v>74</v>
      </c>
      <c r="I673" t="s">
        <v>13215</v>
      </c>
      <c r="J673" t="s">
        <v>4115</v>
      </c>
      <c r="K673" t="s">
        <v>74</v>
      </c>
      <c r="L673" t="s">
        <v>74</v>
      </c>
      <c r="M673" t="s">
        <v>78</v>
      </c>
      <c r="N673" t="s">
        <v>79</v>
      </c>
      <c r="O673" t="s">
        <v>74</v>
      </c>
      <c r="P673" t="s">
        <v>74</v>
      </c>
      <c r="Q673" t="s">
        <v>74</v>
      </c>
      <c r="R673" t="s">
        <v>74</v>
      </c>
      <c r="S673" t="s">
        <v>74</v>
      </c>
      <c r="T673" t="s">
        <v>74</v>
      </c>
      <c r="U673" t="s">
        <v>13216</v>
      </c>
      <c r="V673" t="s">
        <v>13217</v>
      </c>
      <c r="W673" t="s">
        <v>13218</v>
      </c>
      <c r="X673" t="s">
        <v>13219</v>
      </c>
      <c r="Y673" t="s">
        <v>13220</v>
      </c>
      <c r="Z673" t="s">
        <v>13221</v>
      </c>
      <c r="AA673" t="s">
        <v>74</v>
      </c>
      <c r="AB673" t="s">
        <v>13222</v>
      </c>
      <c r="AC673" t="s">
        <v>13223</v>
      </c>
      <c r="AD673" t="s">
        <v>13224</v>
      </c>
      <c r="AE673" t="s">
        <v>13225</v>
      </c>
      <c r="AF673" t="s">
        <v>74</v>
      </c>
      <c r="AG673">
        <v>89</v>
      </c>
      <c r="AH673">
        <v>7</v>
      </c>
      <c r="AI673">
        <v>7</v>
      </c>
      <c r="AJ673">
        <v>0</v>
      </c>
      <c r="AK673">
        <v>11</v>
      </c>
      <c r="AL673" t="s">
        <v>3595</v>
      </c>
      <c r="AM673" t="s">
        <v>3596</v>
      </c>
      <c r="AN673" t="s">
        <v>3597</v>
      </c>
      <c r="AO673" t="s">
        <v>4122</v>
      </c>
      <c r="AP673" t="s">
        <v>4123</v>
      </c>
      <c r="AQ673" t="s">
        <v>74</v>
      </c>
      <c r="AR673" t="s">
        <v>4124</v>
      </c>
      <c r="AS673" t="s">
        <v>4125</v>
      </c>
      <c r="AT673" t="s">
        <v>11811</v>
      </c>
      <c r="AU673">
        <v>2018</v>
      </c>
      <c r="AV673">
        <v>48</v>
      </c>
      <c r="AW673">
        <v>3</v>
      </c>
      <c r="AX673" t="s">
        <v>74</v>
      </c>
      <c r="AY673" t="s">
        <v>74</v>
      </c>
      <c r="AZ673" t="s">
        <v>74</v>
      </c>
      <c r="BA673" t="s">
        <v>74</v>
      </c>
      <c r="BB673">
        <v>647</v>
      </c>
      <c r="BC673">
        <v>665</v>
      </c>
      <c r="BD673" t="s">
        <v>74</v>
      </c>
      <c r="BE673" t="s">
        <v>13226</v>
      </c>
      <c r="BF673" t="str">
        <f>HYPERLINK("http://dx.doi.org/10.1175/JPO-D-17-0147.1","http://dx.doi.org/10.1175/JPO-D-17-0147.1")</f>
        <v>http://dx.doi.org/10.1175/JPO-D-17-0147.1</v>
      </c>
      <c r="BG673" t="s">
        <v>74</v>
      </c>
      <c r="BH673" t="s">
        <v>74</v>
      </c>
      <c r="BI673">
        <v>19</v>
      </c>
      <c r="BJ673" t="s">
        <v>364</v>
      </c>
      <c r="BK673" t="s">
        <v>101</v>
      </c>
      <c r="BL673" t="s">
        <v>364</v>
      </c>
      <c r="BM673" t="s">
        <v>13195</v>
      </c>
      <c r="BN673" t="s">
        <v>74</v>
      </c>
      <c r="BO673" t="s">
        <v>4840</v>
      </c>
      <c r="BP673" t="s">
        <v>74</v>
      </c>
      <c r="BQ673" t="s">
        <v>74</v>
      </c>
      <c r="BR673" t="s">
        <v>105</v>
      </c>
      <c r="BS673" t="s">
        <v>13227</v>
      </c>
      <c r="BT673" t="str">
        <f>HYPERLINK("https%3A%2F%2Fwww.webofscience.com%2Fwos%2Fwoscc%2Ffull-record%2FWOS:000430757700011","View Full Record in Web of Science")</f>
        <v>View Full Record in Web of Science</v>
      </c>
    </row>
    <row r="674" spans="1:72" x14ac:dyDescent="0.15">
      <c r="A674" t="s">
        <v>72</v>
      </c>
      <c r="B674" t="s">
        <v>13228</v>
      </c>
      <c r="C674" t="s">
        <v>74</v>
      </c>
      <c r="D674" t="s">
        <v>74</v>
      </c>
      <c r="E674" t="s">
        <v>74</v>
      </c>
      <c r="F674" t="s">
        <v>13229</v>
      </c>
      <c r="G674" t="s">
        <v>74</v>
      </c>
      <c r="H674" t="s">
        <v>74</v>
      </c>
      <c r="I674" t="s">
        <v>13230</v>
      </c>
      <c r="J674" t="s">
        <v>4115</v>
      </c>
      <c r="K674" t="s">
        <v>74</v>
      </c>
      <c r="L674" t="s">
        <v>74</v>
      </c>
      <c r="M674" t="s">
        <v>78</v>
      </c>
      <c r="N674" t="s">
        <v>79</v>
      </c>
      <c r="O674" t="s">
        <v>74</v>
      </c>
      <c r="P674" t="s">
        <v>74</v>
      </c>
      <c r="Q674" t="s">
        <v>74</v>
      </c>
      <c r="R674" t="s">
        <v>74</v>
      </c>
      <c r="S674" t="s">
        <v>74</v>
      </c>
      <c r="T674" t="s">
        <v>74</v>
      </c>
      <c r="U674" t="s">
        <v>13231</v>
      </c>
      <c r="V674" t="s">
        <v>13232</v>
      </c>
      <c r="W674" t="s">
        <v>13233</v>
      </c>
      <c r="X674" t="s">
        <v>13234</v>
      </c>
      <c r="Y674" t="s">
        <v>13235</v>
      </c>
      <c r="Z674" t="s">
        <v>13236</v>
      </c>
      <c r="AA674" t="s">
        <v>13237</v>
      </c>
      <c r="AB674" t="s">
        <v>13238</v>
      </c>
      <c r="AC674" t="s">
        <v>13239</v>
      </c>
      <c r="AD674" t="s">
        <v>13240</v>
      </c>
      <c r="AE674" t="s">
        <v>13241</v>
      </c>
      <c r="AF674" t="s">
        <v>74</v>
      </c>
      <c r="AG674">
        <v>76</v>
      </c>
      <c r="AH674">
        <v>13</v>
      </c>
      <c r="AI674">
        <v>15</v>
      </c>
      <c r="AJ674">
        <v>0</v>
      </c>
      <c r="AK674">
        <v>11</v>
      </c>
      <c r="AL674" t="s">
        <v>3595</v>
      </c>
      <c r="AM674" t="s">
        <v>3596</v>
      </c>
      <c r="AN674" t="s">
        <v>3597</v>
      </c>
      <c r="AO674" t="s">
        <v>4122</v>
      </c>
      <c r="AP674" t="s">
        <v>4123</v>
      </c>
      <c r="AQ674" t="s">
        <v>74</v>
      </c>
      <c r="AR674" t="s">
        <v>4124</v>
      </c>
      <c r="AS674" t="s">
        <v>4125</v>
      </c>
      <c r="AT674" t="s">
        <v>11811</v>
      </c>
      <c r="AU674">
        <v>2018</v>
      </c>
      <c r="AV674">
        <v>48</v>
      </c>
      <c r="AW674">
        <v>3</v>
      </c>
      <c r="AX674" t="s">
        <v>74</v>
      </c>
      <c r="AY674" t="s">
        <v>74</v>
      </c>
      <c r="AZ674" t="s">
        <v>74</v>
      </c>
      <c r="BA674" t="s">
        <v>74</v>
      </c>
      <c r="BB674">
        <v>687</v>
      </c>
      <c r="BC674">
        <v>703</v>
      </c>
      <c r="BD674" t="s">
        <v>74</v>
      </c>
      <c r="BE674" t="s">
        <v>13242</v>
      </c>
      <c r="BF674" t="str">
        <f>HYPERLINK("http://dx.doi.org/10.1175/JPO-D-17-0047.1","http://dx.doi.org/10.1175/JPO-D-17-0047.1")</f>
        <v>http://dx.doi.org/10.1175/JPO-D-17-0047.1</v>
      </c>
      <c r="BG674" t="s">
        <v>74</v>
      </c>
      <c r="BH674" t="s">
        <v>74</v>
      </c>
      <c r="BI674">
        <v>17</v>
      </c>
      <c r="BJ674" t="s">
        <v>364</v>
      </c>
      <c r="BK674" t="s">
        <v>101</v>
      </c>
      <c r="BL674" t="s">
        <v>364</v>
      </c>
      <c r="BM674" t="s">
        <v>13195</v>
      </c>
      <c r="BN674" t="s">
        <v>74</v>
      </c>
      <c r="BO674" t="s">
        <v>341</v>
      </c>
      <c r="BP674" t="s">
        <v>74</v>
      </c>
      <c r="BQ674" t="s">
        <v>74</v>
      </c>
      <c r="BR674" t="s">
        <v>105</v>
      </c>
      <c r="BS674" t="s">
        <v>13243</v>
      </c>
      <c r="BT674" t="str">
        <f>HYPERLINK("https%3A%2F%2Fwww.webofscience.com%2Fwos%2Fwoscc%2Ffull-record%2FWOS:000430757700013","View Full Record in Web of Science")</f>
        <v>View Full Record in Web of Science</v>
      </c>
    </row>
    <row r="675" spans="1:72" x14ac:dyDescent="0.15">
      <c r="A675" t="s">
        <v>72</v>
      </c>
      <c r="B675" t="s">
        <v>13244</v>
      </c>
      <c r="C675" t="s">
        <v>74</v>
      </c>
      <c r="D675" t="s">
        <v>74</v>
      </c>
      <c r="E675" t="s">
        <v>74</v>
      </c>
      <c r="F675" t="s">
        <v>13245</v>
      </c>
      <c r="G675" t="s">
        <v>74</v>
      </c>
      <c r="H675" t="s">
        <v>74</v>
      </c>
      <c r="I675" t="s">
        <v>13246</v>
      </c>
      <c r="J675" t="s">
        <v>4510</v>
      </c>
      <c r="K675" t="s">
        <v>74</v>
      </c>
      <c r="L675" t="s">
        <v>74</v>
      </c>
      <c r="M675" t="s">
        <v>78</v>
      </c>
      <c r="N675" t="s">
        <v>79</v>
      </c>
      <c r="O675" t="s">
        <v>74</v>
      </c>
      <c r="P675" t="s">
        <v>74</v>
      </c>
      <c r="Q675" t="s">
        <v>74</v>
      </c>
      <c r="R675" t="s">
        <v>74</v>
      </c>
      <c r="S675" t="s">
        <v>74</v>
      </c>
      <c r="T675" t="s">
        <v>13247</v>
      </c>
      <c r="U675" t="s">
        <v>13248</v>
      </c>
      <c r="V675" t="s">
        <v>13249</v>
      </c>
      <c r="W675" t="s">
        <v>13250</v>
      </c>
      <c r="X675" t="s">
        <v>13251</v>
      </c>
      <c r="Y675" t="s">
        <v>13252</v>
      </c>
      <c r="Z675" t="s">
        <v>13253</v>
      </c>
      <c r="AA675" t="s">
        <v>74</v>
      </c>
      <c r="AB675" t="s">
        <v>13254</v>
      </c>
      <c r="AC675" t="s">
        <v>13255</v>
      </c>
      <c r="AD675" t="s">
        <v>13256</v>
      </c>
      <c r="AE675" t="s">
        <v>13257</v>
      </c>
      <c r="AF675" t="s">
        <v>74</v>
      </c>
      <c r="AG675">
        <v>106</v>
      </c>
      <c r="AH675">
        <v>20</v>
      </c>
      <c r="AI675">
        <v>20</v>
      </c>
      <c r="AJ675">
        <v>0</v>
      </c>
      <c r="AK675">
        <v>24</v>
      </c>
      <c r="AL675" t="s">
        <v>277</v>
      </c>
      <c r="AM675" t="s">
        <v>278</v>
      </c>
      <c r="AN675" t="s">
        <v>279</v>
      </c>
      <c r="AO675" t="s">
        <v>4522</v>
      </c>
      <c r="AP675" t="s">
        <v>74</v>
      </c>
      <c r="AQ675" t="s">
        <v>74</v>
      </c>
      <c r="AR675" t="s">
        <v>4524</v>
      </c>
      <c r="AS675" t="s">
        <v>4525</v>
      </c>
      <c r="AT675" t="s">
        <v>11811</v>
      </c>
      <c r="AU675">
        <v>2018</v>
      </c>
      <c r="AV675">
        <v>162</v>
      </c>
      <c r="AW675" t="s">
        <v>74</v>
      </c>
      <c r="AX675" t="s">
        <v>74</v>
      </c>
      <c r="AY675" t="s">
        <v>74</v>
      </c>
      <c r="AZ675" t="s">
        <v>74</v>
      </c>
      <c r="BA675" t="s">
        <v>74</v>
      </c>
      <c r="BB675">
        <v>240</v>
      </c>
      <c r="BC675">
        <v>256</v>
      </c>
      <c r="BD675" t="s">
        <v>74</v>
      </c>
      <c r="BE675" t="s">
        <v>13258</v>
      </c>
      <c r="BF675" t="str">
        <f>HYPERLINK("http://dx.doi.org/10.1016/j.pocean.2018.03.005","http://dx.doi.org/10.1016/j.pocean.2018.03.005")</f>
        <v>http://dx.doi.org/10.1016/j.pocean.2018.03.005</v>
      </c>
      <c r="BG675" t="s">
        <v>74</v>
      </c>
      <c r="BH675" t="s">
        <v>74</v>
      </c>
      <c r="BI675">
        <v>17</v>
      </c>
      <c r="BJ675" t="s">
        <v>364</v>
      </c>
      <c r="BK675" t="s">
        <v>101</v>
      </c>
      <c r="BL675" t="s">
        <v>364</v>
      </c>
      <c r="BM675" t="s">
        <v>12571</v>
      </c>
      <c r="BN675" t="s">
        <v>74</v>
      </c>
      <c r="BO675" t="s">
        <v>980</v>
      </c>
      <c r="BP675" t="s">
        <v>74</v>
      </c>
      <c r="BQ675" t="s">
        <v>74</v>
      </c>
      <c r="BR675" t="s">
        <v>105</v>
      </c>
      <c r="BS675" t="s">
        <v>13259</v>
      </c>
      <c r="BT675" t="str">
        <f>HYPERLINK("https%3A%2F%2Fwww.webofscience.com%2Fwos%2Fwoscc%2Ffull-record%2FWOS:000431163600016","View Full Record in Web of Science")</f>
        <v>View Full Record in Web of Science</v>
      </c>
    </row>
    <row r="676" spans="1:72" x14ac:dyDescent="0.15">
      <c r="A676" t="s">
        <v>72</v>
      </c>
      <c r="B676" t="s">
        <v>13260</v>
      </c>
      <c r="C676" t="s">
        <v>74</v>
      </c>
      <c r="D676" t="s">
        <v>74</v>
      </c>
      <c r="E676" t="s">
        <v>74</v>
      </c>
      <c r="F676" t="s">
        <v>13261</v>
      </c>
      <c r="G676" t="s">
        <v>74</v>
      </c>
      <c r="H676" t="s">
        <v>74</v>
      </c>
      <c r="I676" t="s">
        <v>13262</v>
      </c>
      <c r="J676" t="s">
        <v>4553</v>
      </c>
      <c r="K676" t="s">
        <v>74</v>
      </c>
      <c r="L676" t="s">
        <v>74</v>
      </c>
      <c r="M676" t="s">
        <v>78</v>
      </c>
      <c r="N676" t="s">
        <v>79</v>
      </c>
      <c r="O676" t="s">
        <v>74</v>
      </c>
      <c r="P676" t="s">
        <v>74</v>
      </c>
      <c r="Q676" t="s">
        <v>74</v>
      </c>
      <c r="R676" t="s">
        <v>74</v>
      </c>
      <c r="S676" t="s">
        <v>74</v>
      </c>
      <c r="T676" t="s">
        <v>13263</v>
      </c>
      <c r="U676" t="s">
        <v>13264</v>
      </c>
      <c r="V676" t="s">
        <v>13265</v>
      </c>
      <c r="W676" t="s">
        <v>13266</v>
      </c>
      <c r="X676" t="s">
        <v>13267</v>
      </c>
      <c r="Y676" t="s">
        <v>13268</v>
      </c>
      <c r="Z676" t="s">
        <v>13269</v>
      </c>
      <c r="AA676" t="s">
        <v>13270</v>
      </c>
      <c r="AB676" t="s">
        <v>13271</v>
      </c>
      <c r="AC676" t="s">
        <v>74</v>
      </c>
      <c r="AD676" t="s">
        <v>74</v>
      </c>
      <c r="AE676" t="s">
        <v>74</v>
      </c>
      <c r="AF676" t="s">
        <v>74</v>
      </c>
      <c r="AG676">
        <v>320</v>
      </c>
      <c r="AH676">
        <v>107</v>
      </c>
      <c r="AI676">
        <v>116</v>
      </c>
      <c r="AJ676">
        <v>7</v>
      </c>
      <c r="AK676">
        <v>107</v>
      </c>
      <c r="AL676" t="s">
        <v>451</v>
      </c>
      <c r="AM676" t="s">
        <v>452</v>
      </c>
      <c r="AN676" t="s">
        <v>453</v>
      </c>
      <c r="AO676" t="s">
        <v>4561</v>
      </c>
      <c r="AP676" t="s">
        <v>4562</v>
      </c>
      <c r="AQ676" t="s">
        <v>74</v>
      </c>
      <c r="AR676" t="s">
        <v>4563</v>
      </c>
      <c r="AS676" t="s">
        <v>4564</v>
      </c>
      <c r="AT676" t="s">
        <v>11811</v>
      </c>
      <c r="AU676">
        <v>2018</v>
      </c>
      <c r="AV676">
        <v>178</v>
      </c>
      <c r="AW676" t="s">
        <v>74</v>
      </c>
      <c r="AX676" t="s">
        <v>74</v>
      </c>
      <c r="AY676" t="s">
        <v>74</v>
      </c>
      <c r="AZ676" t="s">
        <v>74</v>
      </c>
      <c r="BA676" t="s">
        <v>74</v>
      </c>
      <c r="BB676">
        <v>379</v>
      </c>
      <c r="BC676">
        <v>429</v>
      </c>
      <c r="BD676" t="s">
        <v>74</v>
      </c>
      <c r="BE676" t="s">
        <v>13272</v>
      </c>
      <c r="BF676" t="str">
        <f>HYPERLINK("http://dx.doi.org/10.1016/j.earscirev.2017.12.016","http://dx.doi.org/10.1016/j.earscirev.2017.12.016")</f>
        <v>http://dx.doi.org/10.1016/j.earscirev.2017.12.016</v>
      </c>
      <c r="BG676" t="s">
        <v>74</v>
      </c>
      <c r="BH676" t="s">
        <v>74</v>
      </c>
      <c r="BI676">
        <v>51</v>
      </c>
      <c r="BJ676" t="s">
        <v>1243</v>
      </c>
      <c r="BK676" t="s">
        <v>484</v>
      </c>
      <c r="BL676" t="s">
        <v>1181</v>
      </c>
      <c r="BM676" t="s">
        <v>13273</v>
      </c>
      <c r="BN676" t="s">
        <v>74</v>
      </c>
      <c r="BO676" t="s">
        <v>1421</v>
      </c>
      <c r="BP676" t="s">
        <v>74</v>
      </c>
      <c r="BQ676" t="s">
        <v>74</v>
      </c>
      <c r="BR676" t="s">
        <v>105</v>
      </c>
      <c r="BS676" t="s">
        <v>13274</v>
      </c>
      <c r="BT676" t="str">
        <f>HYPERLINK("https%3A%2F%2Fwww.webofscience.com%2Fwos%2Fwoscc%2Ffull-record%2FWOS:000430774000015","View Full Record in Web of Science")</f>
        <v>View Full Record in Web of Science</v>
      </c>
    </row>
    <row r="677" spans="1:72" x14ac:dyDescent="0.15">
      <c r="A677" t="s">
        <v>72</v>
      </c>
      <c r="B677" t="s">
        <v>13275</v>
      </c>
      <c r="C677" t="s">
        <v>74</v>
      </c>
      <c r="D677" t="s">
        <v>74</v>
      </c>
      <c r="E677" t="s">
        <v>74</v>
      </c>
      <c r="F677" t="s">
        <v>13276</v>
      </c>
      <c r="G677" t="s">
        <v>74</v>
      </c>
      <c r="H677" t="s">
        <v>74</v>
      </c>
      <c r="I677" t="s">
        <v>13277</v>
      </c>
      <c r="J677" t="s">
        <v>4362</v>
      </c>
      <c r="K677" t="s">
        <v>74</v>
      </c>
      <c r="L677" t="s">
        <v>74</v>
      </c>
      <c r="M677" t="s">
        <v>78</v>
      </c>
      <c r="N677" t="s">
        <v>79</v>
      </c>
      <c r="O677" t="s">
        <v>74</v>
      </c>
      <c r="P677" t="s">
        <v>74</v>
      </c>
      <c r="Q677" t="s">
        <v>74</v>
      </c>
      <c r="R677" t="s">
        <v>74</v>
      </c>
      <c r="S677" t="s">
        <v>74</v>
      </c>
      <c r="T677" t="s">
        <v>13278</v>
      </c>
      <c r="U677" t="s">
        <v>13279</v>
      </c>
      <c r="V677" t="s">
        <v>13280</v>
      </c>
      <c r="W677" t="s">
        <v>13281</v>
      </c>
      <c r="X677" t="s">
        <v>13282</v>
      </c>
      <c r="Y677" t="s">
        <v>13283</v>
      </c>
      <c r="Z677" t="s">
        <v>13284</v>
      </c>
      <c r="AA677" t="s">
        <v>13285</v>
      </c>
      <c r="AB677" t="s">
        <v>13286</v>
      </c>
      <c r="AC677" t="s">
        <v>13287</v>
      </c>
      <c r="AD677" t="s">
        <v>1332</v>
      </c>
      <c r="AE677" t="s">
        <v>13288</v>
      </c>
      <c r="AF677" t="s">
        <v>74</v>
      </c>
      <c r="AG677">
        <v>48</v>
      </c>
      <c r="AH677">
        <v>7</v>
      </c>
      <c r="AI677">
        <v>8</v>
      </c>
      <c r="AJ677">
        <v>0</v>
      </c>
      <c r="AK677">
        <v>7</v>
      </c>
      <c r="AL677" t="s">
        <v>4037</v>
      </c>
      <c r="AM677" t="s">
        <v>92</v>
      </c>
      <c r="AN677" t="s">
        <v>4038</v>
      </c>
      <c r="AO677" t="s">
        <v>4375</v>
      </c>
      <c r="AP677" t="s">
        <v>4376</v>
      </c>
      <c r="AQ677" t="s">
        <v>74</v>
      </c>
      <c r="AR677" t="s">
        <v>4377</v>
      </c>
      <c r="AS677" t="s">
        <v>4378</v>
      </c>
      <c r="AT677" t="s">
        <v>11811</v>
      </c>
      <c r="AU677">
        <v>2018</v>
      </c>
      <c r="AV677">
        <v>54</v>
      </c>
      <c r="AW677">
        <v>2</v>
      </c>
      <c r="AX677" t="s">
        <v>74</v>
      </c>
      <c r="AY677" t="s">
        <v>74</v>
      </c>
      <c r="AZ677" t="s">
        <v>74</v>
      </c>
      <c r="BA677" t="s">
        <v>74</v>
      </c>
      <c r="BB677">
        <v>213</v>
      </c>
      <c r="BC677">
        <v>222</v>
      </c>
      <c r="BD677" t="s">
        <v>74</v>
      </c>
      <c r="BE677" t="s">
        <v>13289</v>
      </c>
      <c r="BF677" t="str">
        <f>HYPERLINK("http://dx.doi.org/10.1134/S0001433818020032","http://dx.doi.org/10.1134/S0001433818020032")</f>
        <v>http://dx.doi.org/10.1134/S0001433818020032</v>
      </c>
      <c r="BG677" t="s">
        <v>74</v>
      </c>
      <c r="BH677" t="s">
        <v>74</v>
      </c>
      <c r="BI677">
        <v>10</v>
      </c>
      <c r="BJ677" t="s">
        <v>3871</v>
      </c>
      <c r="BK677" t="s">
        <v>101</v>
      </c>
      <c r="BL677" t="s">
        <v>3871</v>
      </c>
      <c r="BM677" t="s">
        <v>13290</v>
      </c>
      <c r="BN677" t="s">
        <v>74</v>
      </c>
      <c r="BO677" t="s">
        <v>74</v>
      </c>
      <c r="BP677" t="s">
        <v>74</v>
      </c>
      <c r="BQ677" t="s">
        <v>74</v>
      </c>
      <c r="BR677" t="s">
        <v>105</v>
      </c>
      <c r="BS677" t="s">
        <v>13291</v>
      </c>
      <c r="BT677" t="str">
        <f>HYPERLINK("https%3A%2F%2Fwww.webofscience.com%2Fwos%2Fwoscc%2Ffull-record%2FWOS:000431064100014","View Full Record in Web of Science")</f>
        <v>View Full Record in Web of Science</v>
      </c>
    </row>
    <row r="678" spans="1:72" x14ac:dyDescent="0.15">
      <c r="A678" t="s">
        <v>72</v>
      </c>
      <c r="B678" t="s">
        <v>13292</v>
      </c>
      <c r="C678" t="s">
        <v>74</v>
      </c>
      <c r="D678" t="s">
        <v>74</v>
      </c>
      <c r="E678" t="s">
        <v>74</v>
      </c>
      <c r="F678" t="s">
        <v>13293</v>
      </c>
      <c r="G678" t="s">
        <v>74</v>
      </c>
      <c r="H678" t="s">
        <v>74</v>
      </c>
      <c r="I678" t="s">
        <v>13294</v>
      </c>
      <c r="J678" t="s">
        <v>13295</v>
      </c>
      <c r="K678" t="s">
        <v>74</v>
      </c>
      <c r="L678" t="s">
        <v>74</v>
      </c>
      <c r="M678" t="s">
        <v>78</v>
      </c>
      <c r="N678" t="s">
        <v>79</v>
      </c>
      <c r="O678" t="s">
        <v>74</v>
      </c>
      <c r="P678" t="s">
        <v>74</v>
      </c>
      <c r="Q678" t="s">
        <v>74</v>
      </c>
      <c r="R678" t="s">
        <v>74</v>
      </c>
      <c r="S678" t="s">
        <v>74</v>
      </c>
      <c r="T678" t="s">
        <v>13296</v>
      </c>
      <c r="U678" t="s">
        <v>13297</v>
      </c>
      <c r="V678" t="s">
        <v>13298</v>
      </c>
      <c r="W678" t="s">
        <v>13299</v>
      </c>
      <c r="X678" t="s">
        <v>13300</v>
      </c>
      <c r="Y678" t="s">
        <v>13301</v>
      </c>
      <c r="Z678" t="s">
        <v>13302</v>
      </c>
      <c r="AA678" t="s">
        <v>13303</v>
      </c>
      <c r="AB678" t="s">
        <v>13304</v>
      </c>
      <c r="AC678" t="s">
        <v>13305</v>
      </c>
      <c r="AD678" t="s">
        <v>13306</v>
      </c>
      <c r="AE678" t="s">
        <v>13307</v>
      </c>
      <c r="AF678" t="s">
        <v>74</v>
      </c>
      <c r="AG678">
        <v>31</v>
      </c>
      <c r="AH678">
        <v>12</v>
      </c>
      <c r="AI678">
        <v>12</v>
      </c>
      <c r="AJ678">
        <v>0</v>
      </c>
      <c r="AK678">
        <v>0</v>
      </c>
      <c r="AL678" t="s">
        <v>12621</v>
      </c>
      <c r="AM678" t="s">
        <v>12622</v>
      </c>
      <c r="AN678" t="s">
        <v>12623</v>
      </c>
      <c r="AO678" t="s">
        <v>13308</v>
      </c>
      <c r="AP678" t="s">
        <v>13309</v>
      </c>
      <c r="AQ678" t="s">
        <v>74</v>
      </c>
      <c r="AR678" t="s">
        <v>13310</v>
      </c>
      <c r="AS678" t="s">
        <v>13311</v>
      </c>
      <c r="AT678" t="s">
        <v>11811</v>
      </c>
      <c r="AU678">
        <v>2018</v>
      </c>
      <c r="AV678">
        <v>31</v>
      </c>
      <c r="AW678">
        <v>2</v>
      </c>
      <c r="AX678" t="s">
        <v>74</v>
      </c>
      <c r="AY678" t="s">
        <v>74</v>
      </c>
      <c r="AZ678" t="s">
        <v>74</v>
      </c>
      <c r="BA678" t="s">
        <v>74</v>
      </c>
      <c r="BB678">
        <v>163</v>
      </c>
      <c r="BC678">
        <v>170</v>
      </c>
      <c r="BD678" t="s">
        <v>74</v>
      </c>
      <c r="BE678" t="s">
        <v>13312</v>
      </c>
      <c r="BF678" t="str">
        <f>HYPERLINK("http://dx.doi.org/10.1134/S1024856018020112","http://dx.doi.org/10.1134/S1024856018020112")</f>
        <v>http://dx.doi.org/10.1134/S1024856018020112</v>
      </c>
      <c r="BG678" t="s">
        <v>74</v>
      </c>
      <c r="BH678" t="s">
        <v>74</v>
      </c>
      <c r="BI678">
        <v>8</v>
      </c>
      <c r="BJ678" t="s">
        <v>13313</v>
      </c>
      <c r="BK678" t="s">
        <v>261</v>
      </c>
      <c r="BL678" t="s">
        <v>13313</v>
      </c>
      <c r="BM678" t="s">
        <v>13314</v>
      </c>
      <c r="BN678" t="s">
        <v>74</v>
      </c>
      <c r="BO678" t="s">
        <v>74</v>
      </c>
      <c r="BP678" t="s">
        <v>74</v>
      </c>
      <c r="BQ678" t="s">
        <v>74</v>
      </c>
      <c r="BR678" t="s">
        <v>105</v>
      </c>
      <c r="BS678" t="s">
        <v>13315</v>
      </c>
      <c r="BT678" t="str">
        <f>HYPERLINK("https%3A%2F%2Fwww.webofscience.com%2Fwos%2Fwoscc%2Ffull-record%2FWOS:000430870800009","View Full Record in Web of Science")</f>
        <v>View Full Record in Web of Science</v>
      </c>
    </row>
    <row r="679" spans="1:72" x14ac:dyDescent="0.15">
      <c r="A679" t="s">
        <v>72</v>
      </c>
      <c r="B679" t="s">
        <v>13316</v>
      </c>
      <c r="C679" t="s">
        <v>74</v>
      </c>
      <c r="D679" t="s">
        <v>74</v>
      </c>
      <c r="E679" t="s">
        <v>74</v>
      </c>
      <c r="F679" t="s">
        <v>13317</v>
      </c>
      <c r="G679" t="s">
        <v>74</v>
      </c>
      <c r="H679" t="s">
        <v>74</v>
      </c>
      <c r="I679" t="s">
        <v>13318</v>
      </c>
      <c r="J679" t="s">
        <v>13319</v>
      </c>
      <c r="K679" t="s">
        <v>74</v>
      </c>
      <c r="L679" t="s">
        <v>74</v>
      </c>
      <c r="M679" t="s">
        <v>78</v>
      </c>
      <c r="N679" t="s">
        <v>79</v>
      </c>
      <c r="O679" t="s">
        <v>74</v>
      </c>
      <c r="P679" t="s">
        <v>74</v>
      </c>
      <c r="Q679" t="s">
        <v>74</v>
      </c>
      <c r="R679" t="s">
        <v>74</v>
      </c>
      <c r="S679" t="s">
        <v>74</v>
      </c>
      <c r="T679" t="s">
        <v>13320</v>
      </c>
      <c r="U679" t="s">
        <v>74</v>
      </c>
      <c r="V679" t="s">
        <v>13321</v>
      </c>
      <c r="W679" t="s">
        <v>13322</v>
      </c>
      <c r="X679" t="s">
        <v>13323</v>
      </c>
      <c r="Y679" t="s">
        <v>13324</v>
      </c>
      <c r="Z679" t="s">
        <v>13325</v>
      </c>
      <c r="AA679" t="s">
        <v>74</v>
      </c>
      <c r="AB679" t="s">
        <v>74</v>
      </c>
      <c r="AC679" t="s">
        <v>74</v>
      </c>
      <c r="AD679" t="s">
        <v>74</v>
      </c>
      <c r="AE679" t="s">
        <v>74</v>
      </c>
      <c r="AF679" t="s">
        <v>74</v>
      </c>
      <c r="AG679">
        <v>17</v>
      </c>
      <c r="AH679">
        <v>0</v>
      </c>
      <c r="AI679">
        <v>0</v>
      </c>
      <c r="AJ679">
        <v>0</v>
      </c>
      <c r="AK679">
        <v>2</v>
      </c>
      <c r="AL679" t="s">
        <v>277</v>
      </c>
      <c r="AM679" t="s">
        <v>278</v>
      </c>
      <c r="AN679" t="s">
        <v>279</v>
      </c>
      <c r="AO679" t="s">
        <v>13326</v>
      </c>
      <c r="AP679" t="s">
        <v>13327</v>
      </c>
      <c r="AQ679" t="s">
        <v>74</v>
      </c>
      <c r="AR679" t="s">
        <v>13319</v>
      </c>
      <c r="AS679" t="s">
        <v>13328</v>
      </c>
      <c r="AT679" t="s">
        <v>11811</v>
      </c>
      <c r="AU679">
        <v>2018</v>
      </c>
      <c r="AV679">
        <v>42</v>
      </c>
      <c r="AW679">
        <v>1</v>
      </c>
      <c r="AX679" t="s">
        <v>74</v>
      </c>
      <c r="AY679" t="s">
        <v>74</v>
      </c>
      <c r="AZ679" t="s">
        <v>74</v>
      </c>
      <c r="BA679" t="s">
        <v>74</v>
      </c>
      <c r="BB679">
        <v>42</v>
      </c>
      <c r="BC679">
        <v>47</v>
      </c>
      <c r="BD679" t="s">
        <v>74</v>
      </c>
      <c r="BE679" t="s">
        <v>13329</v>
      </c>
      <c r="BF679" t="str">
        <f>HYPERLINK("http://dx.doi.org/10.1016/j.endeavour.2018.01.002","http://dx.doi.org/10.1016/j.endeavour.2018.01.002")</f>
        <v>http://dx.doi.org/10.1016/j.endeavour.2018.01.002</v>
      </c>
      <c r="BG679" t="s">
        <v>74</v>
      </c>
      <c r="BH679" t="s">
        <v>74</v>
      </c>
      <c r="BI679">
        <v>6</v>
      </c>
      <c r="BJ679" t="s">
        <v>13330</v>
      </c>
      <c r="BK679" t="s">
        <v>101</v>
      </c>
      <c r="BL679" t="s">
        <v>13331</v>
      </c>
      <c r="BM679" t="s">
        <v>13332</v>
      </c>
      <c r="BN679">
        <v>29503030</v>
      </c>
      <c r="BO679" t="s">
        <v>1085</v>
      </c>
      <c r="BP679" t="s">
        <v>74</v>
      </c>
      <c r="BQ679" t="s">
        <v>74</v>
      </c>
      <c r="BR679" t="s">
        <v>105</v>
      </c>
      <c r="BS679" t="s">
        <v>13333</v>
      </c>
      <c r="BT679" t="str">
        <f>HYPERLINK("https%3A%2F%2Fwww.webofscience.com%2Fwos%2Fwoscc%2Ffull-record%2FWOS:000430582100004","View Full Record in Web of Science")</f>
        <v>View Full Record in Web of Science</v>
      </c>
    </row>
    <row r="680" spans="1:72" x14ac:dyDescent="0.15">
      <c r="A680" t="s">
        <v>72</v>
      </c>
      <c r="B680" t="s">
        <v>13334</v>
      </c>
      <c r="C680" t="s">
        <v>74</v>
      </c>
      <c r="D680" t="s">
        <v>74</v>
      </c>
      <c r="E680" t="s">
        <v>74</v>
      </c>
      <c r="F680" t="s">
        <v>13335</v>
      </c>
      <c r="G680" t="s">
        <v>74</v>
      </c>
      <c r="H680" t="s">
        <v>74</v>
      </c>
      <c r="I680" t="s">
        <v>13336</v>
      </c>
      <c r="J680" t="s">
        <v>4470</v>
      </c>
      <c r="K680" t="s">
        <v>74</v>
      </c>
      <c r="L680" t="s">
        <v>74</v>
      </c>
      <c r="M680" t="s">
        <v>78</v>
      </c>
      <c r="N680" t="s">
        <v>79</v>
      </c>
      <c r="O680" t="s">
        <v>74</v>
      </c>
      <c r="P680" t="s">
        <v>74</v>
      </c>
      <c r="Q680" t="s">
        <v>74</v>
      </c>
      <c r="R680" t="s">
        <v>74</v>
      </c>
      <c r="S680" t="s">
        <v>74</v>
      </c>
      <c r="T680" t="s">
        <v>74</v>
      </c>
      <c r="U680" t="s">
        <v>13337</v>
      </c>
      <c r="V680" t="s">
        <v>13338</v>
      </c>
      <c r="W680" t="s">
        <v>13339</v>
      </c>
      <c r="X680" t="s">
        <v>13340</v>
      </c>
      <c r="Y680" t="s">
        <v>13341</v>
      </c>
      <c r="Z680" t="s">
        <v>13342</v>
      </c>
      <c r="AA680" t="s">
        <v>13343</v>
      </c>
      <c r="AB680" t="s">
        <v>13344</v>
      </c>
      <c r="AC680" t="s">
        <v>13345</v>
      </c>
      <c r="AD680" t="s">
        <v>13345</v>
      </c>
      <c r="AE680" t="s">
        <v>13346</v>
      </c>
      <c r="AF680" t="s">
        <v>74</v>
      </c>
      <c r="AG680">
        <v>137</v>
      </c>
      <c r="AH680">
        <v>32</v>
      </c>
      <c r="AI680">
        <v>36</v>
      </c>
      <c r="AJ680">
        <v>5</v>
      </c>
      <c r="AK680">
        <v>51</v>
      </c>
      <c r="AL680" t="s">
        <v>574</v>
      </c>
      <c r="AM680" t="s">
        <v>575</v>
      </c>
      <c r="AN680" t="s">
        <v>576</v>
      </c>
      <c r="AO680" t="s">
        <v>4482</v>
      </c>
      <c r="AP680" t="s">
        <v>4483</v>
      </c>
      <c r="AQ680" t="s">
        <v>74</v>
      </c>
      <c r="AR680" t="s">
        <v>4484</v>
      </c>
      <c r="AS680" t="s">
        <v>4485</v>
      </c>
      <c r="AT680" t="s">
        <v>11811</v>
      </c>
      <c r="AU680">
        <v>2018</v>
      </c>
      <c r="AV680">
        <v>33</v>
      </c>
      <c r="AW680">
        <v>3</v>
      </c>
      <c r="AX680" t="s">
        <v>74</v>
      </c>
      <c r="AY680" t="s">
        <v>74</v>
      </c>
      <c r="AZ680" t="s">
        <v>74</v>
      </c>
      <c r="BA680" t="s">
        <v>74</v>
      </c>
      <c r="BB680">
        <v>246</v>
      </c>
      <c r="BC680">
        <v>263</v>
      </c>
      <c r="BD680" t="s">
        <v>74</v>
      </c>
      <c r="BE680" t="s">
        <v>13347</v>
      </c>
      <c r="BF680" t="str">
        <f>HYPERLINK("http://dx.doi.org/10.1002/2017PA003245","http://dx.doi.org/10.1002/2017PA003245")</f>
        <v>http://dx.doi.org/10.1002/2017PA003245</v>
      </c>
      <c r="BG680" t="s">
        <v>74</v>
      </c>
      <c r="BH680" t="s">
        <v>74</v>
      </c>
      <c r="BI680">
        <v>18</v>
      </c>
      <c r="BJ680" t="s">
        <v>4487</v>
      </c>
      <c r="BK680" t="s">
        <v>101</v>
      </c>
      <c r="BL680" t="s">
        <v>4488</v>
      </c>
      <c r="BM680" t="s">
        <v>13348</v>
      </c>
      <c r="BN680" t="s">
        <v>74</v>
      </c>
      <c r="BO680" t="s">
        <v>5821</v>
      </c>
      <c r="BP680" t="s">
        <v>74</v>
      </c>
      <c r="BQ680" t="s">
        <v>74</v>
      </c>
      <c r="BR680" t="s">
        <v>105</v>
      </c>
      <c r="BS680" t="s">
        <v>13349</v>
      </c>
      <c r="BT680" t="str">
        <f>HYPERLINK("https%3A%2F%2Fwww.webofscience.com%2Fwos%2Fwoscc%2Ffull-record%2FWOS:000430991200001","View Full Record in Web of Science")</f>
        <v>View Full Record in Web of Science</v>
      </c>
    </row>
    <row r="681" spans="1:72" x14ac:dyDescent="0.15">
      <c r="A681" t="s">
        <v>72</v>
      </c>
      <c r="B681" t="s">
        <v>13350</v>
      </c>
      <c r="C681" t="s">
        <v>74</v>
      </c>
      <c r="D681" t="s">
        <v>74</v>
      </c>
      <c r="E681" t="s">
        <v>74</v>
      </c>
      <c r="F681" t="s">
        <v>13351</v>
      </c>
      <c r="G681" t="s">
        <v>74</v>
      </c>
      <c r="H681" t="s">
        <v>74</v>
      </c>
      <c r="I681" t="s">
        <v>13352</v>
      </c>
      <c r="J681" t="s">
        <v>4470</v>
      </c>
      <c r="K681" t="s">
        <v>74</v>
      </c>
      <c r="L681" t="s">
        <v>74</v>
      </c>
      <c r="M681" t="s">
        <v>78</v>
      </c>
      <c r="N681" t="s">
        <v>79</v>
      </c>
      <c r="O681" t="s">
        <v>74</v>
      </c>
      <c r="P681" t="s">
        <v>74</v>
      </c>
      <c r="Q681" t="s">
        <v>74</v>
      </c>
      <c r="R681" t="s">
        <v>74</v>
      </c>
      <c r="S681" t="s">
        <v>74</v>
      </c>
      <c r="T681" t="s">
        <v>74</v>
      </c>
      <c r="U681" t="s">
        <v>13353</v>
      </c>
      <c r="V681" t="s">
        <v>13354</v>
      </c>
      <c r="W681" t="s">
        <v>13355</v>
      </c>
      <c r="X681" t="s">
        <v>13356</v>
      </c>
      <c r="Y681" t="s">
        <v>13357</v>
      </c>
      <c r="Z681" t="s">
        <v>13358</v>
      </c>
      <c r="AA681" t="s">
        <v>13359</v>
      </c>
      <c r="AB681" t="s">
        <v>13360</v>
      </c>
      <c r="AC681" t="s">
        <v>13361</v>
      </c>
      <c r="AD681" t="s">
        <v>13362</v>
      </c>
      <c r="AE681" t="s">
        <v>13363</v>
      </c>
      <c r="AF681" t="s">
        <v>74</v>
      </c>
      <c r="AG681">
        <v>89</v>
      </c>
      <c r="AH681">
        <v>14</v>
      </c>
      <c r="AI681">
        <v>14</v>
      </c>
      <c r="AJ681">
        <v>1</v>
      </c>
      <c r="AK681">
        <v>21</v>
      </c>
      <c r="AL681" t="s">
        <v>574</v>
      </c>
      <c r="AM681" t="s">
        <v>575</v>
      </c>
      <c r="AN681" t="s">
        <v>576</v>
      </c>
      <c r="AO681" t="s">
        <v>4483</v>
      </c>
      <c r="AP681" t="s">
        <v>74</v>
      </c>
      <c r="AQ681" t="s">
        <v>74</v>
      </c>
      <c r="AR681" t="s">
        <v>4484</v>
      </c>
      <c r="AS681" t="s">
        <v>4485</v>
      </c>
      <c r="AT681" t="s">
        <v>11811</v>
      </c>
      <c r="AU681">
        <v>2018</v>
      </c>
      <c r="AV681">
        <v>33</v>
      </c>
      <c r="AW681">
        <v>3</v>
      </c>
      <c r="AX681" t="s">
        <v>74</v>
      </c>
      <c r="AY681" t="s">
        <v>74</v>
      </c>
      <c r="AZ681" t="s">
        <v>74</v>
      </c>
      <c r="BA681" t="s">
        <v>74</v>
      </c>
      <c r="BB681">
        <v>302</v>
      </c>
      <c r="BC681">
        <v>317</v>
      </c>
      <c r="BD681" t="s">
        <v>74</v>
      </c>
      <c r="BE681" t="s">
        <v>13364</v>
      </c>
      <c r="BF681" t="str">
        <f>HYPERLINK("http://dx.doi.org/10.1002/2017PA003211","http://dx.doi.org/10.1002/2017PA003211")</f>
        <v>http://dx.doi.org/10.1002/2017PA003211</v>
      </c>
      <c r="BG681" t="s">
        <v>74</v>
      </c>
      <c r="BH681" t="s">
        <v>74</v>
      </c>
      <c r="BI681">
        <v>16</v>
      </c>
      <c r="BJ681" t="s">
        <v>4487</v>
      </c>
      <c r="BK681" t="s">
        <v>101</v>
      </c>
      <c r="BL681" t="s">
        <v>4488</v>
      </c>
      <c r="BM681" t="s">
        <v>13348</v>
      </c>
      <c r="BN681" t="s">
        <v>74</v>
      </c>
      <c r="BO681" t="s">
        <v>1421</v>
      </c>
      <c r="BP681" t="s">
        <v>74</v>
      </c>
      <c r="BQ681" t="s">
        <v>74</v>
      </c>
      <c r="BR681" t="s">
        <v>105</v>
      </c>
      <c r="BS681" t="s">
        <v>13365</v>
      </c>
      <c r="BT681" t="str">
        <f>HYPERLINK("https%3A%2F%2Fwww.webofscience.com%2Fwos%2Fwoscc%2Ffull-record%2FWOS:000430991200004","View Full Record in Web of Science")</f>
        <v>View Full Record in Web of Science</v>
      </c>
    </row>
    <row r="682" spans="1:72" x14ac:dyDescent="0.15">
      <c r="A682" t="s">
        <v>72</v>
      </c>
      <c r="B682" t="s">
        <v>13366</v>
      </c>
      <c r="C682" t="s">
        <v>74</v>
      </c>
      <c r="D682" t="s">
        <v>74</v>
      </c>
      <c r="E682" t="s">
        <v>74</v>
      </c>
      <c r="F682" t="s">
        <v>13367</v>
      </c>
      <c r="G682" t="s">
        <v>74</v>
      </c>
      <c r="H682" t="s">
        <v>74</v>
      </c>
      <c r="I682" t="s">
        <v>13368</v>
      </c>
      <c r="J682" t="s">
        <v>3633</v>
      </c>
      <c r="K682" t="s">
        <v>74</v>
      </c>
      <c r="L682" t="s">
        <v>74</v>
      </c>
      <c r="M682" t="s">
        <v>78</v>
      </c>
      <c r="N682" t="s">
        <v>79</v>
      </c>
      <c r="O682" t="s">
        <v>74</v>
      </c>
      <c r="P682" t="s">
        <v>74</v>
      </c>
      <c r="Q682" t="s">
        <v>74</v>
      </c>
      <c r="R682" t="s">
        <v>74</v>
      </c>
      <c r="S682" t="s">
        <v>74</v>
      </c>
      <c r="T682" t="s">
        <v>13369</v>
      </c>
      <c r="U682" t="s">
        <v>13370</v>
      </c>
      <c r="V682" t="s">
        <v>13371</v>
      </c>
      <c r="W682" t="s">
        <v>13372</v>
      </c>
      <c r="X682" t="s">
        <v>13373</v>
      </c>
      <c r="Y682" t="s">
        <v>13374</v>
      </c>
      <c r="Z682" t="s">
        <v>13375</v>
      </c>
      <c r="AA682" t="s">
        <v>74</v>
      </c>
      <c r="AB682" t="s">
        <v>74</v>
      </c>
      <c r="AC682" t="s">
        <v>13376</v>
      </c>
      <c r="AD682" t="s">
        <v>4316</v>
      </c>
      <c r="AE682" t="s">
        <v>13377</v>
      </c>
      <c r="AF682" t="s">
        <v>74</v>
      </c>
      <c r="AG682">
        <v>75</v>
      </c>
      <c r="AH682">
        <v>14</v>
      </c>
      <c r="AI682">
        <v>14</v>
      </c>
      <c r="AJ682">
        <v>2</v>
      </c>
      <c r="AK682">
        <v>18</v>
      </c>
      <c r="AL682" t="s">
        <v>574</v>
      </c>
      <c r="AM682" t="s">
        <v>575</v>
      </c>
      <c r="AN682" t="s">
        <v>576</v>
      </c>
      <c r="AO682" t="s">
        <v>3646</v>
      </c>
      <c r="AP682" t="s">
        <v>3647</v>
      </c>
      <c r="AQ682" t="s">
        <v>74</v>
      </c>
      <c r="AR682" t="s">
        <v>3648</v>
      </c>
      <c r="AS682" t="s">
        <v>3649</v>
      </c>
      <c r="AT682" t="s">
        <v>11811</v>
      </c>
      <c r="AU682">
        <v>2018</v>
      </c>
      <c r="AV682">
        <v>123</v>
      </c>
      <c r="AW682">
        <v>3</v>
      </c>
      <c r="AX682" t="s">
        <v>74</v>
      </c>
      <c r="AY682" t="s">
        <v>74</v>
      </c>
      <c r="AZ682" t="s">
        <v>74</v>
      </c>
      <c r="BA682" t="s">
        <v>74</v>
      </c>
      <c r="BB682">
        <v>535</v>
      </c>
      <c r="BC682">
        <v>556</v>
      </c>
      <c r="BD682" t="s">
        <v>74</v>
      </c>
      <c r="BE682" t="s">
        <v>13378</v>
      </c>
      <c r="BF682" t="str">
        <f>HYPERLINK("http://dx.doi.org/10.1002/2017JF004335","http://dx.doi.org/10.1002/2017JF004335")</f>
        <v>http://dx.doi.org/10.1002/2017JF004335</v>
      </c>
      <c r="BG682" t="s">
        <v>74</v>
      </c>
      <c r="BH682" t="s">
        <v>74</v>
      </c>
      <c r="BI682">
        <v>22</v>
      </c>
      <c r="BJ682" t="s">
        <v>1243</v>
      </c>
      <c r="BK682" t="s">
        <v>101</v>
      </c>
      <c r="BL682" t="s">
        <v>1181</v>
      </c>
      <c r="BM682" t="s">
        <v>12298</v>
      </c>
      <c r="BN682" t="s">
        <v>74</v>
      </c>
      <c r="BO682" t="s">
        <v>162</v>
      </c>
      <c r="BP682" t="s">
        <v>74</v>
      </c>
      <c r="BQ682" t="s">
        <v>74</v>
      </c>
      <c r="BR682" t="s">
        <v>105</v>
      </c>
      <c r="BS682" t="s">
        <v>13379</v>
      </c>
      <c r="BT682" t="str">
        <f>HYPERLINK("https%3A%2F%2Fwww.webofscience.com%2Fwos%2Fwoscc%2Ffull-record%2FWOS:000430649400007","View Full Record in Web of Science")</f>
        <v>View Full Record in Web of Science</v>
      </c>
    </row>
    <row r="683" spans="1:72" x14ac:dyDescent="0.15">
      <c r="A683" t="s">
        <v>72</v>
      </c>
      <c r="B683" t="s">
        <v>13380</v>
      </c>
      <c r="C683" t="s">
        <v>74</v>
      </c>
      <c r="D683" t="s">
        <v>74</v>
      </c>
      <c r="E683" t="s">
        <v>74</v>
      </c>
      <c r="F683" t="s">
        <v>13381</v>
      </c>
      <c r="G683" t="s">
        <v>74</v>
      </c>
      <c r="H683" t="s">
        <v>74</v>
      </c>
      <c r="I683" t="s">
        <v>13382</v>
      </c>
      <c r="J683" t="s">
        <v>561</v>
      </c>
      <c r="K683" t="s">
        <v>74</v>
      </c>
      <c r="L683" t="s">
        <v>74</v>
      </c>
      <c r="M683" t="s">
        <v>78</v>
      </c>
      <c r="N683" t="s">
        <v>79</v>
      </c>
      <c r="O683" t="s">
        <v>74</v>
      </c>
      <c r="P683" t="s">
        <v>74</v>
      </c>
      <c r="Q683" t="s">
        <v>74</v>
      </c>
      <c r="R683" t="s">
        <v>74</v>
      </c>
      <c r="S683" t="s">
        <v>74</v>
      </c>
      <c r="T683" t="s">
        <v>13383</v>
      </c>
      <c r="U683" t="s">
        <v>13384</v>
      </c>
      <c r="V683" t="s">
        <v>13385</v>
      </c>
      <c r="W683" t="s">
        <v>13386</v>
      </c>
      <c r="X683" t="s">
        <v>13387</v>
      </c>
      <c r="Y683" t="s">
        <v>13388</v>
      </c>
      <c r="Z683" t="s">
        <v>13389</v>
      </c>
      <c r="AA683" t="s">
        <v>13390</v>
      </c>
      <c r="AB683" t="s">
        <v>13391</v>
      </c>
      <c r="AC683" t="s">
        <v>13392</v>
      </c>
      <c r="AD683" t="s">
        <v>13393</v>
      </c>
      <c r="AE683" t="s">
        <v>13394</v>
      </c>
      <c r="AF683" t="s">
        <v>74</v>
      </c>
      <c r="AG683">
        <v>95</v>
      </c>
      <c r="AH683">
        <v>32</v>
      </c>
      <c r="AI683">
        <v>32</v>
      </c>
      <c r="AJ683">
        <v>1</v>
      </c>
      <c r="AK683">
        <v>12</v>
      </c>
      <c r="AL683" t="s">
        <v>574</v>
      </c>
      <c r="AM683" t="s">
        <v>575</v>
      </c>
      <c r="AN683" t="s">
        <v>576</v>
      </c>
      <c r="AO683" t="s">
        <v>577</v>
      </c>
      <c r="AP683" t="s">
        <v>578</v>
      </c>
      <c r="AQ683" t="s">
        <v>74</v>
      </c>
      <c r="AR683" t="s">
        <v>579</v>
      </c>
      <c r="AS683" t="s">
        <v>580</v>
      </c>
      <c r="AT683" t="s">
        <v>11811</v>
      </c>
      <c r="AU683">
        <v>2018</v>
      </c>
      <c r="AV683">
        <v>123</v>
      </c>
      <c r="AW683">
        <v>3</v>
      </c>
      <c r="AX683" t="s">
        <v>74</v>
      </c>
      <c r="AY683" t="s">
        <v>74</v>
      </c>
      <c r="AZ683" t="s">
        <v>74</v>
      </c>
      <c r="BA683" t="s">
        <v>74</v>
      </c>
      <c r="BB683">
        <v>1900</v>
      </c>
      <c r="BC683">
        <v>1914</v>
      </c>
      <c r="BD683" t="s">
        <v>74</v>
      </c>
      <c r="BE683" t="s">
        <v>13395</v>
      </c>
      <c r="BF683" t="str">
        <f>HYPERLINK("http://dx.doi.org/10.1002/2017JA024674","http://dx.doi.org/10.1002/2017JA024674")</f>
        <v>http://dx.doi.org/10.1002/2017JA024674</v>
      </c>
      <c r="BG683" t="s">
        <v>74</v>
      </c>
      <c r="BH683" t="s">
        <v>74</v>
      </c>
      <c r="BI683">
        <v>15</v>
      </c>
      <c r="BJ683" t="s">
        <v>582</v>
      </c>
      <c r="BK683" t="s">
        <v>101</v>
      </c>
      <c r="BL683" t="s">
        <v>582</v>
      </c>
      <c r="BM683" t="s">
        <v>12334</v>
      </c>
      <c r="BN683" t="s">
        <v>74</v>
      </c>
      <c r="BO683" t="s">
        <v>8485</v>
      </c>
      <c r="BP683" t="s">
        <v>74</v>
      </c>
      <c r="BQ683" t="s">
        <v>74</v>
      </c>
      <c r="BR683" t="s">
        <v>105</v>
      </c>
      <c r="BS683" t="s">
        <v>13396</v>
      </c>
      <c r="BT683" t="str">
        <f>HYPERLINK("https%3A%2F%2Fwww.webofscience.com%2Fwos%2Fwoscc%2Ffull-record%2FWOS:000430125300014","View Full Record in Web of Science")</f>
        <v>View Full Record in Web of Science</v>
      </c>
    </row>
    <row r="684" spans="1:72" x14ac:dyDescent="0.15">
      <c r="A684" t="s">
        <v>72</v>
      </c>
      <c r="B684" t="s">
        <v>13397</v>
      </c>
      <c r="C684" t="s">
        <v>74</v>
      </c>
      <c r="D684" t="s">
        <v>74</v>
      </c>
      <c r="E684" t="s">
        <v>74</v>
      </c>
      <c r="F684" t="s">
        <v>13398</v>
      </c>
      <c r="G684" t="s">
        <v>74</v>
      </c>
      <c r="H684" t="s">
        <v>74</v>
      </c>
      <c r="I684" t="s">
        <v>13399</v>
      </c>
      <c r="J684" t="s">
        <v>561</v>
      </c>
      <c r="K684" t="s">
        <v>74</v>
      </c>
      <c r="L684" t="s">
        <v>74</v>
      </c>
      <c r="M684" t="s">
        <v>78</v>
      </c>
      <c r="N684" t="s">
        <v>79</v>
      </c>
      <c r="O684" t="s">
        <v>74</v>
      </c>
      <c r="P684" t="s">
        <v>74</v>
      </c>
      <c r="Q684" t="s">
        <v>74</v>
      </c>
      <c r="R684" t="s">
        <v>74</v>
      </c>
      <c r="S684" t="s">
        <v>74</v>
      </c>
      <c r="T684" t="s">
        <v>74</v>
      </c>
      <c r="U684" t="s">
        <v>13400</v>
      </c>
      <c r="V684" t="s">
        <v>13401</v>
      </c>
      <c r="W684" t="s">
        <v>13402</v>
      </c>
      <c r="X684" t="s">
        <v>13403</v>
      </c>
      <c r="Y684" t="s">
        <v>13404</v>
      </c>
      <c r="Z684" t="s">
        <v>13405</v>
      </c>
      <c r="AA684" t="s">
        <v>74</v>
      </c>
      <c r="AB684" t="s">
        <v>13406</v>
      </c>
      <c r="AC684" t="s">
        <v>13407</v>
      </c>
      <c r="AD684" t="s">
        <v>13408</v>
      </c>
      <c r="AE684" t="s">
        <v>13409</v>
      </c>
      <c r="AF684" t="s">
        <v>74</v>
      </c>
      <c r="AG684">
        <v>49</v>
      </c>
      <c r="AH684">
        <v>0</v>
      </c>
      <c r="AI684">
        <v>0</v>
      </c>
      <c r="AJ684">
        <v>0</v>
      </c>
      <c r="AK684">
        <v>0</v>
      </c>
      <c r="AL684" t="s">
        <v>574</v>
      </c>
      <c r="AM684" t="s">
        <v>575</v>
      </c>
      <c r="AN684" t="s">
        <v>576</v>
      </c>
      <c r="AO684" t="s">
        <v>577</v>
      </c>
      <c r="AP684" t="s">
        <v>578</v>
      </c>
      <c r="AQ684" t="s">
        <v>74</v>
      </c>
      <c r="AR684" t="s">
        <v>579</v>
      </c>
      <c r="AS684" t="s">
        <v>580</v>
      </c>
      <c r="AT684" t="s">
        <v>11811</v>
      </c>
      <c r="AU684">
        <v>2018</v>
      </c>
      <c r="AV684">
        <v>123</v>
      </c>
      <c r="AW684">
        <v>3</v>
      </c>
      <c r="AX684" t="s">
        <v>74</v>
      </c>
      <c r="AY684" t="s">
        <v>74</v>
      </c>
      <c r="AZ684" t="s">
        <v>74</v>
      </c>
      <c r="BA684" t="s">
        <v>74</v>
      </c>
      <c r="BB684">
        <v>2351</v>
      </c>
      <c r="BC684">
        <v>2369</v>
      </c>
      <c r="BD684" t="s">
        <v>74</v>
      </c>
      <c r="BE684" t="s">
        <v>13410</v>
      </c>
      <c r="BF684" t="str">
        <f>HYPERLINK("http://dx.doi.org/10.1002/2017JA025102","http://dx.doi.org/10.1002/2017JA025102")</f>
        <v>http://dx.doi.org/10.1002/2017JA025102</v>
      </c>
      <c r="BG684" t="s">
        <v>74</v>
      </c>
      <c r="BH684" t="s">
        <v>74</v>
      </c>
      <c r="BI684">
        <v>19</v>
      </c>
      <c r="BJ684" t="s">
        <v>582</v>
      </c>
      <c r="BK684" t="s">
        <v>101</v>
      </c>
      <c r="BL684" t="s">
        <v>582</v>
      </c>
      <c r="BM684" t="s">
        <v>12334</v>
      </c>
      <c r="BN684" t="s">
        <v>74</v>
      </c>
      <c r="BO684" t="s">
        <v>162</v>
      </c>
      <c r="BP684" t="s">
        <v>74</v>
      </c>
      <c r="BQ684" t="s">
        <v>74</v>
      </c>
      <c r="BR684" t="s">
        <v>105</v>
      </c>
      <c r="BS684" t="s">
        <v>13411</v>
      </c>
      <c r="BT684" t="str">
        <f>HYPERLINK("https%3A%2F%2Fwww.webofscience.com%2Fwos%2Fwoscc%2Ffull-record%2FWOS:000430125300046","View Full Record in Web of Science")</f>
        <v>View Full Record in Web of Science</v>
      </c>
    </row>
    <row r="685" spans="1:72" x14ac:dyDescent="0.15">
      <c r="A685" t="s">
        <v>72</v>
      </c>
      <c r="B685" t="s">
        <v>13412</v>
      </c>
      <c r="C685" t="s">
        <v>74</v>
      </c>
      <c r="D685" t="s">
        <v>74</v>
      </c>
      <c r="E685" t="s">
        <v>74</v>
      </c>
      <c r="F685" t="s">
        <v>13413</v>
      </c>
      <c r="G685" t="s">
        <v>74</v>
      </c>
      <c r="H685" t="s">
        <v>74</v>
      </c>
      <c r="I685" t="s">
        <v>13414</v>
      </c>
      <c r="J685" t="s">
        <v>13415</v>
      </c>
      <c r="K685" t="s">
        <v>74</v>
      </c>
      <c r="L685" t="s">
        <v>74</v>
      </c>
      <c r="M685" t="s">
        <v>78</v>
      </c>
      <c r="N685" t="s">
        <v>79</v>
      </c>
      <c r="O685" t="s">
        <v>74</v>
      </c>
      <c r="P685" t="s">
        <v>74</v>
      </c>
      <c r="Q685" t="s">
        <v>74</v>
      </c>
      <c r="R685" t="s">
        <v>74</v>
      </c>
      <c r="S685" t="s">
        <v>74</v>
      </c>
      <c r="T685" t="s">
        <v>13416</v>
      </c>
      <c r="U685" t="s">
        <v>13417</v>
      </c>
      <c r="V685" t="s">
        <v>13418</v>
      </c>
      <c r="W685" t="s">
        <v>13419</v>
      </c>
      <c r="X685" t="s">
        <v>13420</v>
      </c>
      <c r="Y685" t="s">
        <v>13421</v>
      </c>
      <c r="Z685" t="s">
        <v>13422</v>
      </c>
      <c r="AA685" t="s">
        <v>13423</v>
      </c>
      <c r="AB685" t="s">
        <v>74</v>
      </c>
      <c r="AC685" t="s">
        <v>13424</v>
      </c>
      <c r="AD685" t="s">
        <v>13425</v>
      </c>
      <c r="AE685" t="s">
        <v>13426</v>
      </c>
      <c r="AF685" t="s">
        <v>74</v>
      </c>
      <c r="AG685">
        <v>62</v>
      </c>
      <c r="AH685">
        <v>8</v>
      </c>
      <c r="AI685">
        <v>10</v>
      </c>
      <c r="AJ685">
        <v>0</v>
      </c>
      <c r="AK685">
        <v>5</v>
      </c>
      <c r="AL685" t="s">
        <v>11897</v>
      </c>
      <c r="AM685" t="s">
        <v>11898</v>
      </c>
      <c r="AN685" t="s">
        <v>11899</v>
      </c>
      <c r="AO685" t="s">
        <v>13427</v>
      </c>
      <c r="AP685" t="s">
        <v>13428</v>
      </c>
      <c r="AQ685" t="s">
        <v>74</v>
      </c>
      <c r="AR685" t="s">
        <v>13429</v>
      </c>
      <c r="AS685" t="s">
        <v>13430</v>
      </c>
      <c r="AT685" t="s">
        <v>13019</v>
      </c>
      <c r="AU685">
        <v>2018</v>
      </c>
      <c r="AV685">
        <v>17</v>
      </c>
      <c r="AW685">
        <v>3</v>
      </c>
      <c r="AX685" t="s">
        <v>74</v>
      </c>
      <c r="AY685" t="s">
        <v>74</v>
      </c>
      <c r="AZ685" t="s">
        <v>74</v>
      </c>
      <c r="BA685" t="s">
        <v>74</v>
      </c>
      <c r="BB685">
        <v>158</v>
      </c>
      <c r="BC685">
        <v>165</v>
      </c>
      <c r="BD685" t="s">
        <v>74</v>
      </c>
      <c r="BE685" t="s">
        <v>13431</v>
      </c>
      <c r="BF685" t="str">
        <f>HYPERLINK("http://dx.doi.org/10.1016/j.crpv.2017.10.005","http://dx.doi.org/10.1016/j.crpv.2017.10.005")</f>
        <v>http://dx.doi.org/10.1016/j.crpv.2017.10.005</v>
      </c>
      <c r="BG685" t="s">
        <v>74</v>
      </c>
      <c r="BH685" t="s">
        <v>74</v>
      </c>
      <c r="BI685">
        <v>8</v>
      </c>
      <c r="BJ685" t="s">
        <v>4323</v>
      </c>
      <c r="BK685" t="s">
        <v>101</v>
      </c>
      <c r="BL685" t="s">
        <v>4323</v>
      </c>
      <c r="BM685" t="s">
        <v>13432</v>
      </c>
      <c r="BN685" t="s">
        <v>74</v>
      </c>
      <c r="BO685" t="s">
        <v>74</v>
      </c>
      <c r="BP685" t="s">
        <v>74</v>
      </c>
      <c r="BQ685" t="s">
        <v>74</v>
      </c>
      <c r="BR685" t="s">
        <v>105</v>
      </c>
      <c r="BS685" t="s">
        <v>13433</v>
      </c>
      <c r="BT685" t="str">
        <f>HYPERLINK("https%3A%2F%2Fwww.webofscience.com%2Fwos%2Fwoscc%2Ffull-record%2FWOS:000429549300002","View Full Record in Web of Science")</f>
        <v>View Full Record in Web of Science</v>
      </c>
    </row>
    <row r="686" spans="1:72" x14ac:dyDescent="0.15">
      <c r="A686" t="s">
        <v>72</v>
      </c>
      <c r="B686" t="s">
        <v>13434</v>
      </c>
      <c r="C686" t="s">
        <v>74</v>
      </c>
      <c r="D686" t="s">
        <v>74</v>
      </c>
      <c r="E686" t="s">
        <v>74</v>
      </c>
      <c r="F686" t="s">
        <v>13435</v>
      </c>
      <c r="G686" t="s">
        <v>74</v>
      </c>
      <c r="H686" t="s">
        <v>74</v>
      </c>
      <c r="I686" t="s">
        <v>13436</v>
      </c>
      <c r="J686" t="s">
        <v>4002</v>
      </c>
      <c r="K686" t="s">
        <v>74</v>
      </c>
      <c r="L686" t="s">
        <v>74</v>
      </c>
      <c r="M686" t="s">
        <v>78</v>
      </c>
      <c r="N686" t="s">
        <v>79</v>
      </c>
      <c r="O686" t="s">
        <v>74</v>
      </c>
      <c r="P686" t="s">
        <v>74</v>
      </c>
      <c r="Q686" t="s">
        <v>74</v>
      </c>
      <c r="R686" t="s">
        <v>74</v>
      </c>
      <c r="S686" t="s">
        <v>74</v>
      </c>
      <c r="T686" t="s">
        <v>13437</v>
      </c>
      <c r="U686" t="s">
        <v>13438</v>
      </c>
      <c r="V686" t="s">
        <v>13439</v>
      </c>
      <c r="W686" t="s">
        <v>13440</v>
      </c>
      <c r="X686" t="s">
        <v>13441</v>
      </c>
      <c r="Y686" t="s">
        <v>13442</v>
      </c>
      <c r="Z686" t="s">
        <v>13443</v>
      </c>
      <c r="AA686" t="s">
        <v>74</v>
      </c>
      <c r="AB686" t="s">
        <v>13444</v>
      </c>
      <c r="AC686" t="s">
        <v>13445</v>
      </c>
      <c r="AD686" t="s">
        <v>13446</v>
      </c>
      <c r="AE686" t="s">
        <v>13447</v>
      </c>
      <c r="AF686" t="s">
        <v>74</v>
      </c>
      <c r="AG686">
        <v>123</v>
      </c>
      <c r="AH686">
        <v>19</v>
      </c>
      <c r="AI686">
        <v>20</v>
      </c>
      <c r="AJ686">
        <v>1</v>
      </c>
      <c r="AK686">
        <v>20</v>
      </c>
      <c r="AL686" t="s">
        <v>3413</v>
      </c>
      <c r="AM686" t="s">
        <v>278</v>
      </c>
      <c r="AN686" t="s">
        <v>3414</v>
      </c>
      <c r="AO686" t="s">
        <v>4015</v>
      </c>
      <c r="AP686" t="s">
        <v>4016</v>
      </c>
      <c r="AQ686" t="s">
        <v>74</v>
      </c>
      <c r="AR686" t="s">
        <v>4017</v>
      </c>
      <c r="AS686" t="s">
        <v>4018</v>
      </c>
      <c r="AT686" t="s">
        <v>11811</v>
      </c>
      <c r="AU686">
        <v>2018</v>
      </c>
      <c r="AV686">
        <v>94</v>
      </c>
      <c r="AW686">
        <v>3</v>
      </c>
      <c r="AX686" t="s">
        <v>74</v>
      </c>
      <c r="AY686" t="s">
        <v>74</v>
      </c>
      <c r="AZ686" t="s">
        <v>74</v>
      </c>
      <c r="BA686" t="s">
        <v>74</v>
      </c>
      <c r="BB686" t="s">
        <v>74</v>
      </c>
      <c r="BC686" t="s">
        <v>74</v>
      </c>
      <c r="BD686" t="s">
        <v>13448</v>
      </c>
      <c r="BE686" t="s">
        <v>13449</v>
      </c>
      <c r="BF686" t="str">
        <f>HYPERLINK("http://dx.doi.org/10.1093/femsec/fiy021","http://dx.doi.org/10.1093/femsec/fiy021")</f>
        <v>http://dx.doi.org/10.1093/femsec/fiy021</v>
      </c>
      <c r="BG686" t="s">
        <v>74</v>
      </c>
      <c r="BH686" t="s">
        <v>74</v>
      </c>
      <c r="BI686">
        <v>15</v>
      </c>
      <c r="BJ686" t="s">
        <v>510</v>
      </c>
      <c r="BK686" t="s">
        <v>101</v>
      </c>
      <c r="BL686" t="s">
        <v>510</v>
      </c>
      <c r="BM686" t="s">
        <v>13450</v>
      </c>
      <c r="BN686">
        <v>29444218</v>
      </c>
      <c r="BO686" t="s">
        <v>162</v>
      </c>
      <c r="BP686" t="s">
        <v>74</v>
      </c>
      <c r="BQ686" t="s">
        <v>74</v>
      </c>
      <c r="BR686" t="s">
        <v>105</v>
      </c>
      <c r="BS686" t="s">
        <v>13451</v>
      </c>
      <c r="BT686" t="str">
        <f>HYPERLINK("https%3A%2F%2Fwww.webofscience.com%2Fwos%2Fwoscc%2Ffull-record%2FWOS:000429480200016","View Full Record in Web of Science")</f>
        <v>View Full Record in Web of Science</v>
      </c>
    </row>
    <row r="687" spans="1:72" x14ac:dyDescent="0.15">
      <c r="A687" t="s">
        <v>72</v>
      </c>
      <c r="B687" t="s">
        <v>13452</v>
      </c>
      <c r="C687" t="s">
        <v>74</v>
      </c>
      <c r="D687" t="s">
        <v>74</v>
      </c>
      <c r="E687" t="s">
        <v>74</v>
      </c>
      <c r="F687" t="s">
        <v>13453</v>
      </c>
      <c r="G687" t="s">
        <v>74</v>
      </c>
      <c r="H687" t="s">
        <v>74</v>
      </c>
      <c r="I687" t="s">
        <v>13454</v>
      </c>
      <c r="J687" t="s">
        <v>3472</v>
      </c>
      <c r="K687" t="s">
        <v>74</v>
      </c>
      <c r="L687" t="s">
        <v>74</v>
      </c>
      <c r="M687" t="s">
        <v>78</v>
      </c>
      <c r="N687" t="s">
        <v>79</v>
      </c>
      <c r="O687" t="s">
        <v>74</v>
      </c>
      <c r="P687" t="s">
        <v>74</v>
      </c>
      <c r="Q687" t="s">
        <v>74</v>
      </c>
      <c r="R687" t="s">
        <v>74</v>
      </c>
      <c r="S687" t="s">
        <v>74</v>
      </c>
      <c r="T687" t="s">
        <v>13455</v>
      </c>
      <c r="U687" t="s">
        <v>13456</v>
      </c>
      <c r="V687" t="s">
        <v>13457</v>
      </c>
      <c r="W687" t="s">
        <v>13458</v>
      </c>
      <c r="X687" t="s">
        <v>13459</v>
      </c>
      <c r="Y687" t="s">
        <v>13460</v>
      </c>
      <c r="Z687" t="s">
        <v>13461</v>
      </c>
      <c r="AA687" t="s">
        <v>13462</v>
      </c>
      <c r="AB687" t="s">
        <v>13463</v>
      </c>
      <c r="AC687" t="s">
        <v>74</v>
      </c>
      <c r="AD687" t="s">
        <v>74</v>
      </c>
      <c r="AE687" t="s">
        <v>74</v>
      </c>
      <c r="AF687" t="s">
        <v>74</v>
      </c>
      <c r="AG687">
        <v>58</v>
      </c>
      <c r="AH687">
        <v>5</v>
      </c>
      <c r="AI687">
        <v>5</v>
      </c>
      <c r="AJ687">
        <v>0</v>
      </c>
      <c r="AK687">
        <v>7</v>
      </c>
      <c r="AL687" t="s">
        <v>3485</v>
      </c>
      <c r="AM687" t="s">
        <v>1540</v>
      </c>
      <c r="AN687" t="s">
        <v>3486</v>
      </c>
      <c r="AO687" t="s">
        <v>3487</v>
      </c>
      <c r="AP687" t="s">
        <v>3488</v>
      </c>
      <c r="AQ687" t="s">
        <v>74</v>
      </c>
      <c r="AR687" t="s">
        <v>3472</v>
      </c>
      <c r="AS687" t="s">
        <v>3489</v>
      </c>
      <c r="AT687" t="s">
        <v>11811</v>
      </c>
      <c r="AU687">
        <v>2018</v>
      </c>
      <c r="AV687">
        <v>28</v>
      </c>
      <c r="AW687">
        <v>3</v>
      </c>
      <c r="AX687" t="s">
        <v>74</v>
      </c>
      <c r="AY687" t="s">
        <v>74</v>
      </c>
      <c r="AZ687" t="s">
        <v>74</v>
      </c>
      <c r="BA687" t="s">
        <v>74</v>
      </c>
      <c r="BB687">
        <v>341</v>
      </c>
      <c r="BC687">
        <v>353</v>
      </c>
      <c r="BD687" t="s">
        <v>74</v>
      </c>
      <c r="BE687" t="s">
        <v>13464</v>
      </c>
      <c r="BF687" t="str">
        <f>HYPERLINK("http://dx.doi.org/10.1177/0959683617729441","http://dx.doi.org/10.1177/0959683617729441")</f>
        <v>http://dx.doi.org/10.1177/0959683617729441</v>
      </c>
      <c r="BG687" t="s">
        <v>74</v>
      </c>
      <c r="BH687" t="s">
        <v>74</v>
      </c>
      <c r="BI687">
        <v>13</v>
      </c>
      <c r="BJ687" t="s">
        <v>338</v>
      </c>
      <c r="BK687" t="s">
        <v>101</v>
      </c>
      <c r="BL687" t="s">
        <v>339</v>
      </c>
      <c r="BM687" t="s">
        <v>13465</v>
      </c>
      <c r="BN687" t="s">
        <v>74</v>
      </c>
      <c r="BO687" t="s">
        <v>74</v>
      </c>
      <c r="BP687" t="s">
        <v>74</v>
      </c>
      <c r="BQ687" t="s">
        <v>74</v>
      </c>
      <c r="BR687" t="s">
        <v>105</v>
      </c>
      <c r="BS687" t="s">
        <v>13466</v>
      </c>
      <c r="BT687" t="str">
        <f>HYPERLINK("https%3A%2F%2Fwww.webofscience.com%2Fwos%2Fwoscc%2Ffull-record%2FWOS:000429957700001","View Full Record in Web of Science")</f>
        <v>View Full Record in Web of Science</v>
      </c>
    </row>
    <row r="688" spans="1:72" x14ac:dyDescent="0.15">
      <c r="A688" t="s">
        <v>72</v>
      </c>
      <c r="B688" t="s">
        <v>13467</v>
      </c>
      <c r="C688" t="s">
        <v>74</v>
      </c>
      <c r="D688" t="s">
        <v>74</v>
      </c>
      <c r="E688" t="s">
        <v>74</v>
      </c>
      <c r="F688" t="s">
        <v>13468</v>
      </c>
      <c r="G688" t="s">
        <v>74</v>
      </c>
      <c r="H688" t="s">
        <v>74</v>
      </c>
      <c r="I688" t="s">
        <v>13469</v>
      </c>
      <c r="J688" t="s">
        <v>5267</v>
      </c>
      <c r="K688" t="s">
        <v>74</v>
      </c>
      <c r="L688" t="s">
        <v>74</v>
      </c>
      <c r="M688" t="s">
        <v>78</v>
      </c>
      <c r="N688" t="s">
        <v>79</v>
      </c>
      <c r="O688" t="s">
        <v>74</v>
      </c>
      <c r="P688" t="s">
        <v>74</v>
      </c>
      <c r="Q688" t="s">
        <v>74</v>
      </c>
      <c r="R688" t="s">
        <v>74</v>
      </c>
      <c r="S688" t="s">
        <v>74</v>
      </c>
      <c r="T688" t="s">
        <v>13470</v>
      </c>
      <c r="U688" t="s">
        <v>13471</v>
      </c>
      <c r="V688" t="s">
        <v>13472</v>
      </c>
      <c r="W688" t="s">
        <v>13473</v>
      </c>
      <c r="X688" t="s">
        <v>13474</v>
      </c>
      <c r="Y688" t="s">
        <v>13475</v>
      </c>
      <c r="Z688" t="s">
        <v>13476</v>
      </c>
      <c r="AA688" t="s">
        <v>74</v>
      </c>
      <c r="AB688" t="s">
        <v>74</v>
      </c>
      <c r="AC688" t="s">
        <v>74</v>
      </c>
      <c r="AD688" t="s">
        <v>74</v>
      </c>
      <c r="AE688" t="s">
        <v>74</v>
      </c>
      <c r="AF688" t="s">
        <v>74</v>
      </c>
      <c r="AG688">
        <v>107</v>
      </c>
      <c r="AH688">
        <v>0</v>
      </c>
      <c r="AI688">
        <v>0</v>
      </c>
      <c r="AJ688">
        <v>0</v>
      </c>
      <c r="AK688">
        <v>11</v>
      </c>
      <c r="AL688" t="s">
        <v>3413</v>
      </c>
      <c r="AM688" t="s">
        <v>278</v>
      </c>
      <c r="AN688" t="s">
        <v>3414</v>
      </c>
      <c r="AO688" t="s">
        <v>5280</v>
      </c>
      <c r="AP688" t="s">
        <v>5281</v>
      </c>
      <c r="AQ688" t="s">
        <v>74</v>
      </c>
      <c r="AR688" t="s">
        <v>5282</v>
      </c>
      <c r="AS688" t="s">
        <v>5283</v>
      </c>
      <c r="AT688" t="s">
        <v>13019</v>
      </c>
      <c r="AU688">
        <v>2018</v>
      </c>
      <c r="AV688">
        <v>75</v>
      </c>
      <c r="AW688">
        <v>2</v>
      </c>
      <c r="AX688" t="s">
        <v>74</v>
      </c>
      <c r="AY688" t="s">
        <v>74</v>
      </c>
      <c r="AZ688" t="s">
        <v>74</v>
      </c>
      <c r="BA688" t="s">
        <v>74</v>
      </c>
      <c r="BB688">
        <v>483</v>
      </c>
      <c r="BC688">
        <v>493</v>
      </c>
      <c r="BD688" t="s">
        <v>74</v>
      </c>
      <c r="BE688" t="s">
        <v>13477</v>
      </c>
      <c r="BF688" t="str">
        <f>HYPERLINK("http://dx.doi.org/10.1093/icesjms/fsx210","http://dx.doi.org/10.1093/icesjms/fsx210")</f>
        <v>http://dx.doi.org/10.1093/icesjms/fsx210</v>
      </c>
      <c r="BG688" t="s">
        <v>74</v>
      </c>
      <c r="BH688" t="s">
        <v>74</v>
      </c>
      <c r="BI688">
        <v>11</v>
      </c>
      <c r="BJ688" t="s">
        <v>5285</v>
      </c>
      <c r="BK688" t="s">
        <v>101</v>
      </c>
      <c r="BL688" t="s">
        <v>5285</v>
      </c>
      <c r="BM688" t="s">
        <v>13478</v>
      </c>
      <c r="BN688" t="s">
        <v>74</v>
      </c>
      <c r="BO688" t="s">
        <v>162</v>
      </c>
      <c r="BP688" t="s">
        <v>74</v>
      </c>
      <c r="BQ688" t="s">
        <v>74</v>
      </c>
      <c r="BR688" t="s">
        <v>105</v>
      </c>
      <c r="BS688" t="s">
        <v>13479</v>
      </c>
      <c r="BT688" t="str">
        <f>HYPERLINK("https%3A%2F%2Fwww.webofscience.com%2Fwos%2Fwoscc%2Ffull-record%2FWOS:000429491500003","View Full Record in Web of Science")</f>
        <v>View Full Record in Web of Science</v>
      </c>
    </row>
    <row r="689" spans="1:72" x14ac:dyDescent="0.15">
      <c r="A689" t="s">
        <v>72</v>
      </c>
      <c r="B689" t="s">
        <v>13480</v>
      </c>
      <c r="C689" t="s">
        <v>74</v>
      </c>
      <c r="D689" t="s">
        <v>74</v>
      </c>
      <c r="E689" t="s">
        <v>74</v>
      </c>
      <c r="F689" t="s">
        <v>13481</v>
      </c>
      <c r="G689" t="s">
        <v>74</v>
      </c>
      <c r="H689" t="s">
        <v>74</v>
      </c>
      <c r="I689" t="s">
        <v>13482</v>
      </c>
      <c r="J689" t="s">
        <v>5267</v>
      </c>
      <c r="K689" t="s">
        <v>74</v>
      </c>
      <c r="L689" t="s">
        <v>74</v>
      </c>
      <c r="M689" t="s">
        <v>78</v>
      </c>
      <c r="N689" t="s">
        <v>79</v>
      </c>
      <c r="O689" t="s">
        <v>74</v>
      </c>
      <c r="P689" t="s">
        <v>74</v>
      </c>
      <c r="Q689" t="s">
        <v>74</v>
      </c>
      <c r="R689" t="s">
        <v>74</v>
      </c>
      <c r="S689" t="s">
        <v>74</v>
      </c>
      <c r="T689" t="s">
        <v>13483</v>
      </c>
      <c r="U689" t="s">
        <v>13484</v>
      </c>
      <c r="V689" t="s">
        <v>13485</v>
      </c>
      <c r="W689" t="s">
        <v>13486</v>
      </c>
      <c r="X689" t="s">
        <v>13487</v>
      </c>
      <c r="Y689" t="s">
        <v>13488</v>
      </c>
      <c r="Z689" t="s">
        <v>13489</v>
      </c>
      <c r="AA689" t="s">
        <v>7776</v>
      </c>
      <c r="AB689" t="s">
        <v>13490</v>
      </c>
      <c r="AC689" t="s">
        <v>13491</v>
      </c>
      <c r="AD689" t="s">
        <v>13492</v>
      </c>
      <c r="AE689" t="s">
        <v>13493</v>
      </c>
      <c r="AF689" t="s">
        <v>74</v>
      </c>
      <c r="AG689">
        <v>48</v>
      </c>
      <c r="AH689">
        <v>18</v>
      </c>
      <c r="AI689">
        <v>20</v>
      </c>
      <c r="AJ689">
        <v>1</v>
      </c>
      <c r="AK689">
        <v>28</v>
      </c>
      <c r="AL689" t="s">
        <v>3413</v>
      </c>
      <c r="AM689" t="s">
        <v>278</v>
      </c>
      <c r="AN689" t="s">
        <v>3414</v>
      </c>
      <c r="AO689" t="s">
        <v>5280</v>
      </c>
      <c r="AP689" t="s">
        <v>5281</v>
      </c>
      <c r="AQ689" t="s">
        <v>74</v>
      </c>
      <c r="AR689" t="s">
        <v>5282</v>
      </c>
      <c r="AS689" t="s">
        <v>5283</v>
      </c>
      <c r="AT689" t="s">
        <v>13019</v>
      </c>
      <c r="AU689">
        <v>2018</v>
      </c>
      <c r="AV689">
        <v>75</v>
      </c>
      <c r="AW689">
        <v>2</v>
      </c>
      <c r="AX689" t="s">
        <v>74</v>
      </c>
      <c r="AY689" t="s">
        <v>74</v>
      </c>
      <c r="AZ689" t="s">
        <v>74</v>
      </c>
      <c r="BA689" t="s">
        <v>74</v>
      </c>
      <c r="BB689">
        <v>738</v>
      </c>
      <c r="BC689">
        <v>750</v>
      </c>
      <c r="BD689" t="s">
        <v>74</v>
      </c>
      <c r="BE689" t="s">
        <v>13494</v>
      </c>
      <c r="BF689" t="str">
        <f>HYPERLINK("http://dx.doi.org/10.1093/icesjms/fsx190","http://dx.doi.org/10.1093/icesjms/fsx190")</f>
        <v>http://dx.doi.org/10.1093/icesjms/fsx190</v>
      </c>
      <c r="BG689" t="s">
        <v>74</v>
      </c>
      <c r="BH689" t="s">
        <v>74</v>
      </c>
      <c r="BI689">
        <v>13</v>
      </c>
      <c r="BJ689" t="s">
        <v>5285</v>
      </c>
      <c r="BK689" t="s">
        <v>101</v>
      </c>
      <c r="BL689" t="s">
        <v>5285</v>
      </c>
      <c r="BM689" t="s">
        <v>13478</v>
      </c>
      <c r="BN689" t="s">
        <v>74</v>
      </c>
      <c r="BO689" t="s">
        <v>74</v>
      </c>
      <c r="BP689" t="s">
        <v>74</v>
      </c>
      <c r="BQ689" t="s">
        <v>74</v>
      </c>
      <c r="BR689" t="s">
        <v>105</v>
      </c>
      <c r="BS689" t="s">
        <v>13495</v>
      </c>
      <c r="BT689" t="str">
        <f>HYPERLINK("https%3A%2F%2Fwww.webofscience.com%2Fwos%2Fwoscc%2Ffull-record%2FWOS:000429491500027","View Full Record in Web of Science")</f>
        <v>View Full Record in Web of Science</v>
      </c>
    </row>
    <row r="690" spans="1:72" x14ac:dyDescent="0.15">
      <c r="A690" t="s">
        <v>72</v>
      </c>
      <c r="B690" t="s">
        <v>13496</v>
      </c>
      <c r="C690" t="s">
        <v>74</v>
      </c>
      <c r="D690" t="s">
        <v>74</v>
      </c>
      <c r="E690" t="s">
        <v>74</v>
      </c>
      <c r="F690" t="s">
        <v>13497</v>
      </c>
      <c r="G690" t="s">
        <v>74</v>
      </c>
      <c r="H690" t="s">
        <v>74</v>
      </c>
      <c r="I690" t="s">
        <v>13498</v>
      </c>
      <c r="J690" t="s">
        <v>13499</v>
      </c>
      <c r="K690" t="s">
        <v>74</v>
      </c>
      <c r="L690" t="s">
        <v>74</v>
      </c>
      <c r="M690" t="s">
        <v>78</v>
      </c>
      <c r="N690" t="s">
        <v>52</v>
      </c>
      <c r="O690" t="s">
        <v>13500</v>
      </c>
      <c r="P690" t="s">
        <v>13501</v>
      </c>
      <c r="Q690" t="s">
        <v>13502</v>
      </c>
      <c r="R690" t="s">
        <v>74</v>
      </c>
      <c r="S690" t="s">
        <v>74</v>
      </c>
      <c r="T690" t="s">
        <v>74</v>
      </c>
      <c r="U690" t="s">
        <v>74</v>
      </c>
      <c r="V690" t="s">
        <v>74</v>
      </c>
      <c r="W690" t="s">
        <v>13503</v>
      </c>
      <c r="X690" t="s">
        <v>13504</v>
      </c>
      <c r="Y690" t="s">
        <v>74</v>
      </c>
      <c r="Z690" t="s">
        <v>13505</v>
      </c>
      <c r="AA690" t="s">
        <v>74</v>
      </c>
      <c r="AB690" t="s">
        <v>74</v>
      </c>
      <c r="AC690" t="s">
        <v>74</v>
      </c>
      <c r="AD690" t="s">
        <v>74</v>
      </c>
      <c r="AE690" t="s">
        <v>74</v>
      </c>
      <c r="AF690" t="s">
        <v>74</v>
      </c>
      <c r="AG690">
        <v>0</v>
      </c>
      <c r="AH690">
        <v>0</v>
      </c>
      <c r="AI690">
        <v>0</v>
      </c>
      <c r="AJ690">
        <v>0</v>
      </c>
      <c r="AK690">
        <v>1</v>
      </c>
      <c r="AL690" t="s">
        <v>13506</v>
      </c>
      <c r="AM690" t="s">
        <v>13507</v>
      </c>
      <c r="AN690" t="s">
        <v>13508</v>
      </c>
      <c r="AO690" t="s">
        <v>13509</v>
      </c>
      <c r="AP690" t="s">
        <v>13510</v>
      </c>
      <c r="AQ690" t="s">
        <v>74</v>
      </c>
      <c r="AR690" t="s">
        <v>13511</v>
      </c>
      <c r="AS690" t="s">
        <v>13512</v>
      </c>
      <c r="AT690" t="s">
        <v>11811</v>
      </c>
      <c r="AU690">
        <v>2018</v>
      </c>
      <c r="AV690">
        <v>58</v>
      </c>
      <c r="AW690" t="s">
        <v>74</v>
      </c>
      <c r="AX690" t="s">
        <v>74</v>
      </c>
      <c r="AY690">
        <v>1</v>
      </c>
      <c r="AZ690" t="s">
        <v>74</v>
      </c>
      <c r="BA690" t="s">
        <v>13513</v>
      </c>
      <c r="BB690" t="s">
        <v>13514</v>
      </c>
      <c r="BC690" t="s">
        <v>13514</v>
      </c>
      <c r="BD690" t="s">
        <v>74</v>
      </c>
      <c r="BE690" t="s">
        <v>74</v>
      </c>
      <c r="BF690" t="s">
        <v>74</v>
      </c>
      <c r="BG690" t="s">
        <v>74</v>
      </c>
      <c r="BH690" t="s">
        <v>74</v>
      </c>
      <c r="BI690">
        <v>1</v>
      </c>
      <c r="BJ690" t="s">
        <v>2624</v>
      </c>
      <c r="BK690" t="s">
        <v>1449</v>
      </c>
      <c r="BL690" t="s">
        <v>2624</v>
      </c>
      <c r="BM690" t="s">
        <v>13515</v>
      </c>
      <c r="BN690" t="s">
        <v>74</v>
      </c>
      <c r="BO690" t="s">
        <v>74</v>
      </c>
      <c r="BP690" t="s">
        <v>74</v>
      </c>
      <c r="BQ690" t="s">
        <v>74</v>
      </c>
      <c r="BR690" t="s">
        <v>105</v>
      </c>
      <c r="BS690" t="s">
        <v>13516</v>
      </c>
      <c r="BT690" t="str">
        <f>HYPERLINK("https%3A%2F%2Fwww.webofscience.com%2Fwos%2Fwoscc%2Ffull-record%2FWOS:000429309603233","View Full Record in Web of Science")</f>
        <v>View Full Record in Web of Science</v>
      </c>
    </row>
    <row r="691" spans="1:72" x14ac:dyDescent="0.15">
      <c r="A691" t="s">
        <v>72</v>
      </c>
      <c r="B691" t="s">
        <v>13517</v>
      </c>
      <c r="C691" t="s">
        <v>74</v>
      </c>
      <c r="D691" t="s">
        <v>74</v>
      </c>
      <c r="E691" t="s">
        <v>74</v>
      </c>
      <c r="F691" t="s">
        <v>13518</v>
      </c>
      <c r="G691" t="s">
        <v>74</v>
      </c>
      <c r="H691" t="s">
        <v>74</v>
      </c>
      <c r="I691" t="s">
        <v>13519</v>
      </c>
      <c r="J691" t="s">
        <v>13499</v>
      </c>
      <c r="K691" t="s">
        <v>74</v>
      </c>
      <c r="L691" t="s">
        <v>74</v>
      </c>
      <c r="M691" t="s">
        <v>78</v>
      </c>
      <c r="N691" t="s">
        <v>52</v>
      </c>
      <c r="O691" t="s">
        <v>13500</v>
      </c>
      <c r="P691" t="s">
        <v>13501</v>
      </c>
      <c r="Q691" t="s">
        <v>13502</v>
      </c>
      <c r="R691" t="s">
        <v>74</v>
      </c>
      <c r="S691" t="s">
        <v>74</v>
      </c>
      <c r="T691" t="s">
        <v>74</v>
      </c>
      <c r="U691" t="s">
        <v>74</v>
      </c>
      <c r="V691" t="s">
        <v>74</v>
      </c>
      <c r="W691" t="s">
        <v>13520</v>
      </c>
      <c r="X691" t="s">
        <v>13521</v>
      </c>
      <c r="Y691" t="s">
        <v>74</v>
      </c>
      <c r="Z691" t="s">
        <v>13522</v>
      </c>
      <c r="AA691" t="s">
        <v>13523</v>
      </c>
      <c r="AB691" t="s">
        <v>13524</v>
      </c>
      <c r="AC691" t="s">
        <v>74</v>
      </c>
      <c r="AD691" t="s">
        <v>74</v>
      </c>
      <c r="AE691" t="s">
        <v>74</v>
      </c>
      <c r="AF691" t="s">
        <v>74</v>
      </c>
      <c r="AG691">
        <v>0</v>
      </c>
      <c r="AH691">
        <v>0</v>
      </c>
      <c r="AI691">
        <v>0</v>
      </c>
      <c r="AJ691">
        <v>0</v>
      </c>
      <c r="AK691">
        <v>1</v>
      </c>
      <c r="AL691" t="s">
        <v>13506</v>
      </c>
      <c r="AM691" t="s">
        <v>13507</v>
      </c>
      <c r="AN691" t="s">
        <v>13508</v>
      </c>
      <c r="AO691" t="s">
        <v>13509</v>
      </c>
      <c r="AP691" t="s">
        <v>13510</v>
      </c>
      <c r="AQ691" t="s">
        <v>74</v>
      </c>
      <c r="AR691" t="s">
        <v>13511</v>
      </c>
      <c r="AS691" t="s">
        <v>13512</v>
      </c>
      <c r="AT691" t="s">
        <v>11811</v>
      </c>
      <c r="AU691">
        <v>2018</v>
      </c>
      <c r="AV691">
        <v>58</v>
      </c>
      <c r="AW691" t="s">
        <v>74</v>
      </c>
      <c r="AX691" t="s">
        <v>74</v>
      </c>
      <c r="AY691">
        <v>1</v>
      </c>
      <c r="AZ691" t="s">
        <v>74</v>
      </c>
      <c r="BA691" t="s">
        <v>13525</v>
      </c>
      <c r="BB691" t="s">
        <v>13526</v>
      </c>
      <c r="BC691" t="s">
        <v>13526</v>
      </c>
      <c r="BD691" t="s">
        <v>74</v>
      </c>
      <c r="BE691" t="s">
        <v>74</v>
      </c>
      <c r="BF691" t="s">
        <v>74</v>
      </c>
      <c r="BG691" t="s">
        <v>74</v>
      </c>
      <c r="BH691" t="s">
        <v>74</v>
      </c>
      <c r="BI691">
        <v>1</v>
      </c>
      <c r="BJ691" t="s">
        <v>2624</v>
      </c>
      <c r="BK691" t="s">
        <v>1449</v>
      </c>
      <c r="BL691" t="s">
        <v>2624</v>
      </c>
      <c r="BM691" t="s">
        <v>13515</v>
      </c>
      <c r="BN691" t="s">
        <v>74</v>
      </c>
      <c r="BO691" t="s">
        <v>74</v>
      </c>
      <c r="BP691" t="s">
        <v>74</v>
      </c>
      <c r="BQ691" t="s">
        <v>74</v>
      </c>
      <c r="BR691" t="s">
        <v>105</v>
      </c>
      <c r="BS691" t="s">
        <v>13527</v>
      </c>
      <c r="BT691" t="str">
        <f>HYPERLINK("https%3A%2F%2Fwww.webofscience.com%2Fwos%2Fwoscc%2Ffull-record%2FWOS:000429309600176","View Full Record in Web of Science")</f>
        <v>View Full Record in Web of Science</v>
      </c>
    </row>
    <row r="692" spans="1:72" x14ac:dyDescent="0.15">
      <c r="A692" t="s">
        <v>72</v>
      </c>
      <c r="B692" t="s">
        <v>13528</v>
      </c>
      <c r="C692" t="s">
        <v>74</v>
      </c>
      <c r="D692" t="s">
        <v>74</v>
      </c>
      <c r="E692" t="s">
        <v>74</v>
      </c>
      <c r="F692" t="s">
        <v>13529</v>
      </c>
      <c r="G692" t="s">
        <v>74</v>
      </c>
      <c r="H692" t="s">
        <v>74</v>
      </c>
      <c r="I692" t="s">
        <v>13530</v>
      </c>
      <c r="J692" t="s">
        <v>13499</v>
      </c>
      <c r="K692" t="s">
        <v>74</v>
      </c>
      <c r="L692" t="s">
        <v>74</v>
      </c>
      <c r="M692" t="s">
        <v>78</v>
      </c>
      <c r="N692" t="s">
        <v>52</v>
      </c>
      <c r="O692" t="s">
        <v>13500</v>
      </c>
      <c r="P692" t="s">
        <v>13501</v>
      </c>
      <c r="Q692" t="s">
        <v>13502</v>
      </c>
      <c r="R692" t="s">
        <v>74</v>
      </c>
      <c r="S692" t="s">
        <v>74</v>
      </c>
      <c r="T692" t="s">
        <v>74</v>
      </c>
      <c r="U692" t="s">
        <v>74</v>
      </c>
      <c r="V692" t="s">
        <v>74</v>
      </c>
      <c r="W692" t="s">
        <v>13531</v>
      </c>
      <c r="X692" t="s">
        <v>13532</v>
      </c>
      <c r="Y692" t="s">
        <v>74</v>
      </c>
      <c r="Z692" t="s">
        <v>8083</v>
      </c>
      <c r="AA692" t="s">
        <v>74</v>
      </c>
      <c r="AB692" t="s">
        <v>74</v>
      </c>
      <c r="AC692" t="s">
        <v>13533</v>
      </c>
      <c r="AD692" t="s">
        <v>4355</v>
      </c>
      <c r="AE692" t="s">
        <v>13534</v>
      </c>
      <c r="AF692" t="s">
        <v>74</v>
      </c>
      <c r="AG692">
        <v>0</v>
      </c>
      <c r="AH692">
        <v>0</v>
      </c>
      <c r="AI692">
        <v>0</v>
      </c>
      <c r="AJ692">
        <v>0</v>
      </c>
      <c r="AK692">
        <v>5</v>
      </c>
      <c r="AL692" t="s">
        <v>13506</v>
      </c>
      <c r="AM692" t="s">
        <v>13507</v>
      </c>
      <c r="AN692" t="s">
        <v>13508</v>
      </c>
      <c r="AO692" t="s">
        <v>13509</v>
      </c>
      <c r="AP692" t="s">
        <v>13510</v>
      </c>
      <c r="AQ692" t="s">
        <v>74</v>
      </c>
      <c r="AR692" t="s">
        <v>13511</v>
      </c>
      <c r="AS692" t="s">
        <v>13512</v>
      </c>
      <c r="AT692" t="s">
        <v>11811</v>
      </c>
      <c r="AU692">
        <v>2018</v>
      </c>
      <c r="AV692">
        <v>58</v>
      </c>
      <c r="AW692" t="s">
        <v>74</v>
      </c>
      <c r="AX692" t="s">
        <v>74</v>
      </c>
      <c r="AY692">
        <v>1</v>
      </c>
      <c r="AZ692" t="s">
        <v>74</v>
      </c>
      <c r="BA692" t="s">
        <v>13535</v>
      </c>
      <c r="BB692" t="s">
        <v>13536</v>
      </c>
      <c r="BC692" t="s">
        <v>13536</v>
      </c>
      <c r="BD692" t="s">
        <v>74</v>
      </c>
      <c r="BE692" t="s">
        <v>74</v>
      </c>
      <c r="BF692" t="s">
        <v>74</v>
      </c>
      <c r="BG692" t="s">
        <v>74</v>
      </c>
      <c r="BH692" t="s">
        <v>74</v>
      </c>
      <c r="BI692">
        <v>1</v>
      </c>
      <c r="BJ692" t="s">
        <v>2624</v>
      </c>
      <c r="BK692" t="s">
        <v>1449</v>
      </c>
      <c r="BL692" t="s">
        <v>2624</v>
      </c>
      <c r="BM692" t="s">
        <v>13515</v>
      </c>
      <c r="BN692" t="s">
        <v>74</v>
      </c>
      <c r="BO692" t="s">
        <v>74</v>
      </c>
      <c r="BP692" t="s">
        <v>74</v>
      </c>
      <c r="BQ692" t="s">
        <v>74</v>
      </c>
      <c r="BR692" t="s">
        <v>105</v>
      </c>
      <c r="BS692" t="s">
        <v>13537</v>
      </c>
      <c r="BT692" t="str">
        <f>HYPERLINK("https%3A%2F%2Fwww.webofscience.com%2Fwos%2Fwoscc%2Ffull-record%2FWOS:000429309602021","View Full Record in Web of Science")</f>
        <v>View Full Record in Web of Science</v>
      </c>
    </row>
    <row r="693" spans="1:72" x14ac:dyDescent="0.15">
      <c r="A693" t="s">
        <v>72</v>
      </c>
      <c r="B693" t="s">
        <v>13538</v>
      </c>
      <c r="C693" t="s">
        <v>74</v>
      </c>
      <c r="D693" t="s">
        <v>74</v>
      </c>
      <c r="E693" t="s">
        <v>74</v>
      </c>
      <c r="F693" t="s">
        <v>13539</v>
      </c>
      <c r="G693" t="s">
        <v>74</v>
      </c>
      <c r="H693" t="s">
        <v>74</v>
      </c>
      <c r="I693" t="s">
        <v>13540</v>
      </c>
      <c r="J693" t="s">
        <v>13499</v>
      </c>
      <c r="K693" t="s">
        <v>74</v>
      </c>
      <c r="L693" t="s">
        <v>74</v>
      </c>
      <c r="M693" t="s">
        <v>78</v>
      </c>
      <c r="N693" t="s">
        <v>52</v>
      </c>
      <c r="O693" t="s">
        <v>13500</v>
      </c>
      <c r="P693" t="s">
        <v>13501</v>
      </c>
      <c r="Q693" t="s">
        <v>13502</v>
      </c>
      <c r="R693" t="s">
        <v>74</v>
      </c>
      <c r="S693" t="s">
        <v>74</v>
      </c>
      <c r="T693" t="s">
        <v>74</v>
      </c>
      <c r="U693" t="s">
        <v>74</v>
      </c>
      <c r="V693" t="s">
        <v>74</v>
      </c>
      <c r="W693" t="s">
        <v>13541</v>
      </c>
      <c r="X693" t="s">
        <v>13542</v>
      </c>
      <c r="Y693" t="s">
        <v>74</v>
      </c>
      <c r="Z693" t="s">
        <v>13543</v>
      </c>
      <c r="AA693" t="s">
        <v>74</v>
      </c>
      <c r="AB693" t="s">
        <v>74</v>
      </c>
      <c r="AC693" t="s">
        <v>13544</v>
      </c>
      <c r="AD693" t="s">
        <v>4355</v>
      </c>
      <c r="AE693" t="s">
        <v>13545</v>
      </c>
      <c r="AF693" t="s">
        <v>74</v>
      </c>
      <c r="AG693">
        <v>0</v>
      </c>
      <c r="AH693">
        <v>0</v>
      </c>
      <c r="AI693">
        <v>0</v>
      </c>
      <c r="AJ693">
        <v>0</v>
      </c>
      <c r="AK693">
        <v>3</v>
      </c>
      <c r="AL693" t="s">
        <v>13506</v>
      </c>
      <c r="AM693" t="s">
        <v>13507</v>
      </c>
      <c r="AN693" t="s">
        <v>13508</v>
      </c>
      <c r="AO693" t="s">
        <v>13509</v>
      </c>
      <c r="AP693" t="s">
        <v>13510</v>
      </c>
      <c r="AQ693" t="s">
        <v>74</v>
      </c>
      <c r="AR693" t="s">
        <v>13511</v>
      </c>
      <c r="AS693" t="s">
        <v>13512</v>
      </c>
      <c r="AT693" t="s">
        <v>11811</v>
      </c>
      <c r="AU693">
        <v>2018</v>
      </c>
      <c r="AV693">
        <v>58</v>
      </c>
      <c r="AW693" t="s">
        <v>74</v>
      </c>
      <c r="AX693" t="s">
        <v>74</v>
      </c>
      <c r="AY693">
        <v>1</v>
      </c>
      <c r="AZ693" t="s">
        <v>74</v>
      </c>
      <c r="BA693" t="s">
        <v>13546</v>
      </c>
      <c r="BB693" t="s">
        <v>13547</v>
      </c>
      <c r="BC693" t="s">
        <v>13547</v>
      </c>
      <c r="BD693" t="s">
        <v>74</v>
      </c>
      <c r="BE693" t="s">
        <v>74</v>
      </c>
      <c r="BF693" t="s">
        <v>74</v>
      </c>
      <c r="BG693" t="s">
        <v>74</v>
      </c>
      <c r="BH693" t="s">
        <v>74</v>
      </c>
      <c r="BI693">
        <v>1</v>
      </c>
      <c r="BJ693" t="s">
        <v>2624</v>
      </c>
      <c r="BK693" t="s">
        <v>1449</v>
      </c>
      <c r="BL693" t="s">
        <v>2624</v>
      </c>
      <c r="BM693" t="s">
        <v>13515</v>
      </c>
      <c r="BN693" t="s">
        <v>74</v>
      </c>
      <c r="BO693" t="s">
        <v>74</v>
      </c>
      <c r="BP693" t="s">
        <v>74</v>
      </c>
      <c r="BQ693" t="s">
        <v>74</v>
      </c>
      <c r="BR693" t="s">
        <v>105</v>
      </c>
      <c r="BS693" t="s">
        <v>13548</v>
      </c>
      <c r="BT693" t="str">
        <f>HYPERLINK("https%3A%2F%2Fwww.webofscience.com%2Fwos%2Fwoscc%2Ffull-record%2FWOS:000429309602361","View Full Record in Web of Science")</f>
        <v>View Full Record in Web of Science</v>
      </c>
    </row>
    <row r="694" spans="1:72" x14ac:dyDescent="0.15">
      <c r="A694" t="s">
        <v>72</v>
      </c>
      <c r="B694" t="s">
        <v>13549</v>
      </c>
      <c r="C694" t="s">
        <v>74</v>
      </c>
      <c r="D694" t="s">
        <v>74</v>
      </c>
      <c r="E694" t="s">
        <v>74</v>
      </c>
      <c r="F694" t="s">
        <v>13550</v>
      </c>
      <c r="G694" t="s">
        <v>74</v>
      </c>
      <c r="H694" t="s">
        <v>74</v>
      </c>
      <c r="I694" t="s">
        <v>13551</v>
      </c>
      <c r="J694" t="s">
        <v>13499</v>
      </c>
      <c r="K694" t="s">
        <v>74</v>
      </c>
      <c r="L694" t="s">
        <v>74</v>
      </c>
      <c r="M694" t="s">
        <v>78</v>
      </c>
      <c r="N694" t="s">
        <v>52</v>
      </c>
      <c r="O694" t="s">
        <v>13500</v>
      </c>
      <c r="P694" t="s">
        <v>13501</v>
      </c>
      <c r="Q694" t="s">
        <v>13502</v>
      </c>
      <c r="R694" t="s">
        <v>74</v>
      </c>
      <c r="S694" t="s">
        <v>74</v>
      </c>
      <c r="T694" t="s">
        <v>74</v>
      </c>
      <c r="U694" t="s">
        <v>74</v>
      </c>
      <c r="V694" t="s">
        <v>74</v>
      </c>
      <c r="W694" t="s">
        <v>13552</v>
      </c>
      <c r="X694" t="s">
        <v>13553</v>
      </c>
      <c r="Y694" t="s">
        <v>74</v>
      </c>
      <c r="Z694" t="s">
        <v>13554</v>
      </c>
      <c r="AA694" t="s">
        <v>74</v>
      </c>
      <c r="AB694" t="s">
        <v>74</v>
      </c>
      <c r="AC694" t="s">
        <v>74</v>
      </c>
      <c r="AD694" t="s">
        <v>74</v>
      </c>
      <c r="AE694" t="s">
        <v>74</v>
      </c>
      <c r="AF694" t="s">
        <v>74</v>
      </c>
      <c r="AG694">
        <v>0</v>
      </c>
      <c r="AH694">
        <v>0</v>
      </c>
      <c r="AI694">
        <v>0</v>
      </c>
      <c r="AJ694">
        <v>0</v>
      </c>
      <c r="AK694">
        <v>0</v>
      </c>
      <c r="AL694" t="s">
        <v>13506</v>
      </c>
      <c r="AM694" t="s">
        <v>13507</v>
      </c>
      <c r="AN694" t="s">
        <v>13508</v>
      </c>
      <c r="AO694" t="s">
        <v>13509</v>
      </c>
      <c r="AP694" t="s">
        <v>13510</v>
      </c>
      <c r="AQ694" t="s">
        <v>74</v>
      </c>
      <c r="AR694" t="s">
        <v>13511</v>
      </c>
      <c r="AS694" t="s">
        <v>13512</v>
      </c>
      <c r="AT694" t="s">
        <v>11811</v>
      </c>
      <c r="AU694">
        <v>2018</v>
      </c>
      <c r="AV694">
        <v>58</v>
      </c>
      <c r="AW694" t="s">
        <v>74</v>
      </c>
      <c r="AX694" t="s">
        <v>74</v>
      </c>
      <c r="AY694">
        <v>1</v>
      </c>
      <c r="AZ694" t="s">
        <v>74</v>
      </c>
      <c r="BA694" t="s">
        <v>13555</v>
      </c>
      <c r="BB694" t="s">
        <v>13556</v>
      </c>
      <c r="BC694" t="s">
        <v>13556</v>
      </c>
      <c r="BD694" t="s">
        <v>74</v>
      </c>
      <c r="BE694" t="s">
        <v>74</v>
      </c>
      <c r="BF694" t="s">
        <v>74</v>
      </c>
      <c r="BG694" t="s">
        <v>74</v>
      </c>
      <c r="BH694" t="s">
        <v>74</v>
      </c>
      <c r="BI694">
        <v>1</v>
      </c>
      <c r="BJ694" t="s">
        <v>2624</v>
      </c>
      <c r="BK694" t="s">
        <v>1449</v>
      </c>
      <c r="BL694" t="s">
        <v>2624</v>
      </c>
      <c r="BM694" t="s">
        <v>13515</v>
      </c>
      <c r="BN694" t="s">
        <v>74</v>
      </c>
      <c r="BO694" t="s">
        <v>74</v>
      </c>
      <c r="BP694" t="s">
        <v>74</v>
      </c>
      <c r="BQ694" t="s">
        <v>74</v>
      </c>
      <c r="BR694" t="s">
        <v>105</v>
      </c>
      <c r="BS694" t="s">
        <v>13557</v>
      </c>
      <c r="BT694" t="str">
        <f>HYPERLINK("https%3A%2F%2Fwww.webofscience.com%2Fwos%2Fwoscc%2Ffull-record%2FWOS:000429309605063","View Full Record in Web of Science")</f>
        <v>View Full Record in Web of Science</v>
      </c>
    </row>
    <row r="695" spans="1:72" x14ac:dyDescent="0.15">
      <c r="A695" t="s">
        <v>72</v>
      </c>
      <c r="B695" t="s">
        <v>13558</v>
      </c>
      <c r="C695" t="s">
        <v>74</v>
      </c>
      <c r="D695" t="s">
        <v>74</v>
      </c>
      <c r="E695" t="s">
        <v>74</v>
      </c>
      <c r="F695" t="s">
        <v>13559</v>
      </c>
      <c r="G695" t="s">
        <v>74</v>
      </c>
      <c r="H695" t="s">
        <v>74</v>
      </c>
      <c r="I695" t="s">
        <v>13560</v>
      </c>
      <c r="J695" t="s">
        <v>13499</v>
      </c>
      <c r="K695" t="s">
        <v>74</v>
      </c>
      <c r="L695" t="s">
        <v>74</v>
      </c>
      <c r="M695" t="s">
        <v>78</v>
      </c>
      <c r="N695" t="s">
        <v>52</v>
      </c>
      <c r="O695" t="s">
        <v>13500</v>
      </c>
      <c r="P695" t="s">
        <v>13501</v>
      </c>
      <c r="Q695" t="s">
        <v>13502</v>
      </c>
      <c r="R695" t="s">
        <v>74</v>
      </c>
      <c r="S695" t="s">
        <v>74</v>
      </c>
      <c r="T695" t="s">
        <v>74</v>
      </c>
      <c r="U695" t="s">
        <v>74</v>
      </c>
      <c r="V695" t="s">
        <v>74</v>
      </c>
      <c r="W695" t="s">
        <v>13561</v>
      </c>
      <c r="X695" t="s">
        <v>74</v>
      </c>
      <c r="Y695" t="s">
        <v>74</v>
      </c>
      <c r="Z695" t="s">
        <v>13562</v>
      </c>
      <c r="AA695" t="s">
        <v>74</v>
      </c>
      <c r="AB695" t="s">
        <v>74</v>
      </c>
      <c r="AC695" t="s">
        <v>74</v>
      </c>
      <c r="AD695" t="s">
        <v>74</v>
      </c>
      <c r="AE695" t="s">
        <v>74</v>
      </c>
      <c r="AF695" t="s">
        <v>74</v>
      </c>
      <c r="AG695">
        <v>0</v>
      </c>
      <c r="AH695">
        <v>0</v>
      </c>
      <c r="AI695">
        <v>0</v>
      </c>
      <c r="AJ695">
        <v>0</v>
      </c>
      <c r="AK695">
        <v>1</v>
      </c>
      <c r="AL695" t="s">
        <v>13506</v>
      </c>
      <c r="AM695" t="s">
        <v>13507</v>
      </c>
      <c r="AN695" t="s">
        <v>13508</v>
      </c>
      <c r="AO695" t="s">
        <v>13509</v>
      </c>
      <c r="AP695" t="s">
        <v>13510</v>
      </c>
      <c r="AQ695" t="s">
        <v>74</v>
      </c>
      <c r="AR695" t="s">
        <v>13511</v>
      </c>
      <c r="AS695" t="s">
        <v>13512</v>
      </c>
      <c r="AT695" t="s">
        <v>11811</v>
      </c>
      <c r="AU695">
        <v>2018</v>
      </c>
      <c r="AV695">
        <v>58</v>
      </c>
      <c r="AW695" t="s">
        <v>74</v>
      </c>
      <c r="AX695" t="s">
        <v>74</v>
      </c>
      <c r="AY695">
        <v>1</v>
      </c>
      <c r="AZ695" t="s">
        <v>74</v>
      </c>
      <c r="BA695" t="s">
        <v>13563</v>
      </c>
      <c r="BB695" t="s">
        <v>13564</v>
      </c>
      <c r="BC695" t="s">
        <v>13564</v>
      </c>
      <c r="BD695" t="s">
        <v>74</v>
      </c>
      <c r="BE695" t="s">
        <v>74</v>
      </c>
      <c r="BF695" t="s">
        <v>74</v>
      </c>
      <c r="BG695" t="s">
        <v>74</v>
      </c>
      <c r="BH695" t="s">
        <v>74</v>
      </c>
      <c r="BI695">
        <v>1</v>
      </c>
      <c r="BJ695" t="s">
        <v>2624</v>
      </c>
      <c r="BK695" t="s">
        <v>1449</v>
      </c>
      <c r="BL695" t="s">
        <v>2624</v>
      </c>
      <c r="BM695" t="s">
        <v>13515</v>
      </c>
      <c r="BN695" t="s">
        <v>74</v>
      </c>
      <c r="BO695" t="s">
        <v>74</v>
      </c>
      <c r="BP695" t="s">
        <v>74</v>
      </c>
      <c r="BQ695" t="s">
        <v>74</v>
      </c>
      <c r="BR695" t="s">
        <v>105</v>
      </c>
      <c r="BS695" t="s">
        <v>13565</v>
      </c>
      <c r="BT695" t="str">
        <f>HYPERLINK("https%3A%2F%2Fwww.webofscience.com%2Fwos%2Fwoscc%2Ffull-record%2FWOS:000429309605104","View Full Record in Web of Science")</f>
        <v>View Full Record in Web of Science</v>
      </c>
    </row>
    <row r="696" spans="1:72" x14ac:dyDescent="0.15">
      <c r="A696" t="s">
        <v>72</v>
      </c>
      <c r="B696" t="s">
        <v>13566</v>
      </c>
      <c r="C696" t="s">
        <v>74</v>
      </c>
      <c r="D696" t="s">
        <v>74</v>
      </c>
      <c r="E696" t="s">
        <v>74</v>
      </c>
      <c r="F696" t="s">
        <v>13567</v>
      </c>
      <c r="G696" t="s">
        <v>74</v>
      </c>
      <c r="H696" t="s">
        <v>74</v>
      </c>
      <c r="I696" t="s">
        <v>13568</v>
      </c>
      <c r="J696" t="s">
        <v>13569</v>
      </c>
      <c r="K696" t="s">
        <v>74</v>
      </c>
      <c r="L696" t="s">
        <v>74</v>
      </c>
      <c r="M696" t="s">
        <v>78</v>
      </c>
      <c r="N696" t="s">
        <v>52</v>
      </c>
      <c r="O696" t="s">
        <v>74</v>
      </c>
      <c r="P696" t="s">
        <v>74</v>
      </c>
      <c r="Q696" t="s">
        <v>74</v>
      </c>
      <c r="R696" t="s">
        <v>74</v>
      </c>
      <c r="S696" t="s">
        <v>74</v>
      </c>
      <c r="T696" t="s">
        <v>74</v>
      </c>
      <c r="U696" t="s">
        <v>74</v>
      </c>
      <c r="V696" t="s">
        <v>74</v>
      </c>
      <c r="W696" t="s">
        <v>13570</v>
      </c>
      <c r="X696" t="s">
        <v>13571</v>
      </c>
      <c r="Y696" t="s">
        <v>74</v>
      </c>
      <c r="Z696" t="s">
        <v>13572</v>
      </c>
      <c r="AA696" t="s">
        <v>13573</v>
      </c>
      <c r="AB696" t="s">
        <v>74</v>
      </c>
      <c r="AC696" t="s">
        <v>74</v>
      </c>
      <c r="AD696" t="s">
        <v>74</v>
      </c>
      <c r="AE696" t="s">
        <v>74</v>
      </c>
      <c r="AF696" t="s">
        <v>74</v>
      </c>
      <c r="AG696">
        <v>0</v>
      </c>
      <c r="AH696">
        <v>0</v>
      </c>
      <c r="AI696">
        <v>0</v>
      </c>
      <c r="AJ696">
        <v>0</v>
      </c>
      <c r="AK696">
        <v>8</v>
      </c>
      <c r="AL696" t="s">
        <v>914</v>
      </c>
      <c r="AM696" t="s">
        <v>452</v>
      </c>
      <c r="AN696" t="s">
        <v>915</v>
      </c>
      <c r="AO696" t="s">
        <v>13574</v>
      </c>
      <c r="AP696" t="s">
        <v>13575</v>
      </c>
      <c r="AQ696" t="s">
        <v>74</v>
      </c>
      <c r="AR696" t="s">
        <v>13576</v>
      </c>
      <c r="AS696" t="s">
        <v>13577</v>
      </c>
      <c r="AT696" t="s">
        <v>11811</v>
      </c>
      <c r="AU696">
        <v>2018</v>
      </c>
      <c r="AV696">
        <v>115</v>
      </c>
      <c r="AW696" t="s">
        <v>74</v>
      </c>
      <c r="AX696" t="s">
        <v>74</v>
      </c>
      <c r="AY696" t="s">
        <v>74</v>
      </c>
      <c r="AZ696" t="s">
        <v>74</v>
      </c>
      <c r="BA696" t="s">
        <v>74</v>
      </c>
      <c r="BB696">
        <v>287</v>
      </c>
      <c r="BC696">
        <v>287</v>
      </c>
      <c r="BD696" t="s">
        <v>74</v>
      </c>
      <c r="BE696" t="s">
        <v>13578</v>
      </c>
      <c r="BF696" t="str">
        <f>HYPERLINK("http://dx.doi.org/10.1016/j.sajb.2018.02.044","http://dx.doi.org/10.1016/j.sajb.2018.02.044")</f>
        <v>http://dx.doi.org/10.1016/j.sajb.2018.02.044</v>
      </c>
      <c r="BG696" t="s">
        <v>74</v>
      </c>
      <c r="BH696" t="s">
        <v>74</v>
      </c>
      <c r="BI696">
        <v>1</v>
      </c>
      <c r="BJ696" t="s">
        <v>2542</v>
      </c>
      <c r="BK696" t="s">
        <v>101</v>
      </c>
      <c r="BL696" t="s">
        <v>2542</v>
      </c>
      <c r="BM696" t="s">
        <v>13579</v>
      </c>
      <c r="BN696" t="s">
        <v>74</v>
      </c>
      <c r="BO696" t="s">
        <v>341</v>
      </c>
      <c r="BP696" t="s">
        <v>74</v>
      </c>
      <c r="BQ696" t="s">
        <v>74</v>
      </c>
      <c r="BR696" t="s">
        <v>105</v>
      </c>
      <c r="BS696" t="s">
        <v>13580</v>
      </c>
      <c r="BT696" t="str">
        <f>HYPERLINK("https%3A%2F%2Fwww.webofscience.com%2Fwos%2Fwoscc%2Ffull-record%2FWOS:000429451700079","View Full Record in Web of Science")</f>
        <v>View Full Record in Web of Science</v>
      </c>
    </row>
    <row r="697" spans="1:72" x14ac:dyDescent="0.15">
      <c r="A697" t="s">
        <v>72</v>
      </c>
      <c r="B697" t="s">
        <v>13581</v>
      </c>
      <c r="C697" t="s">
        <v>74</v>
      </c>
      <c r="D697" t="s">
        <v>74</v>
      </c>
      <c r="E697" t="s">
        <v>74</v>
      </c>
      <c r="F697" t="s">
        <v>13582</v>
      </c>
      <c r="G697" t="s">
        <v>74</v>
      </c>
      <c r="H697" t="s">
        <v>74</v>
      </c>
      <c r="I697" t="s">
        <v>13583</v>
      </c>
      <c r="J697" t="s">
        <v>13569</v>
      </c>
      <c r="K697" t="s">
        <v>74</v>
      </c>
      <c r="L697" t="s">
        <v>74</v>
      </c>
      <c r="M697" t="s">
        <v>78</v>
      </c>
      <c r="N697" t="s">
        <v>52</v>
      </c>
      <c r="O697" t="s">
        <v>74</v>
      </c>
      <c r="P697" t="s">
        <v>74</v>
      </c>
      <c r="Q697" t="s">
        <v>74</v>
      </c>
      <c r="R697" t="s">
        <v>74</v>
      </c>
      <c r="S697" t="s">
        <v>74</v>
      </c>
      <c r="T697" t="s">
        <v>74</v>
      </c>
      <c r="U697" t="s">
        <v>74</v>
      </c>
      <c r="V697" t="s">
        <v>74</v>
      </c>
      <c r="W697" t="s">
        <v>13584</v>
      </c>
      <c r="X697" t="s">
        <v>13585</v>
      </c>
      <c r="Y697" t="s">
        <v>74</v>
      </c>
      <c r="Z697" t="s">
        <v>13586</v>
      </c>
      <c r="AA697" t="s">
        <v>74</v>
      </c>
      <c r="AB697" t="s">
        <v>74</v>
      </c>
      <c r="AC697" t="s">
        <v>74</v>
      </c>
      <c r="AD697" t="s">
        <v>74</v>
      </c>
      <c r="AE697" t="s">
        <v>74</v>
      </c>
      <c r="AF697" t="s">
        <v>74</v>
      </c>
      <c r="AG697">
        <v>0</v>
      </c>
      <c r="AH697">
        <v>0</v>
      </c>
      <c r="AI697">
        <v>0</v>
      </c>
      <c r="AJ697">
        <v>5</v>
      </c>
      <c r="AK697">
        <v>28</v>
      </c>
      <c r="AL697" t="s">
        <v>914</v>
      </c>
      <c r="AM697" t="s">
        <v>452</v>
      </c>
      <c r="AN697" t="s">
        <v>915</v>
      </c>
      <c r="AO697" t="s">
        <v>13574</v>
      </c>
      <c r="AP697" t="s">
        <v>13575</v>
      </c>
      <c r="AQ697" t="s">
        <v>74</v>
      </c>
      <c r="AR697" t="s">
        <v>13576</v>
      </c>
      <c r="AS697" t="s">
        <v>13577</v>
      </c>
      <c r="AT697" t="s">
        <v>11811</v>
      </c>
      <c r="AU697">
        <v>2018</v>
      </c>
      <c r="AV697">
        <v>115</v>
      </c>
      <c r="AW697" t="s">
        <v>74</v>
      </c>
      <c r="AX697" t="s">
        <v>74</v>
      </c>
      <c r="AY697" t="s">
        <v>74</v>
      </c>
      <c r="AZ697" t="s">
        <v>74</v>
      </c>
      <c r="BA697" t="s">
        <v>74</v>
      </c>
      <c r="BB697">
        <v>312</v>
      </c>
      <c r="BC697">
        <v>313</v>
      </c>
      <c r="BD697" t="s">
        <v>74</v>
      </c>
      <c r="BE697" t="s">
        <v>13587</v>
      </c>
      <c r="BF697" t="str">
        <f>HYPERLINK("http://dx.doi.org/10.1016/j.sajb.2018.02.134","http://dx.doi.org/10.1016/j.sajb.2018.02.134")</f>
        <v>http://dx.doi.org/10.1016/j.sajb.2018.02.134</v>
      </c>
      <c r="BG697" t="s">
        <v>74</v>
      </c>
      <c r="BH697" t="s">
        <v>74</v>
      </c>
      <c r="BI697">
        <v>6</v>
      </c>
      <c r="BJ697" t="s">
        <v>2542</v>
      </c>
      <c r="BK697" t="s">
        <v>101</v>
      </c>
      <c r="BL697" t="s">
        <v>2542</v>
      </c>
      <c r="BM697" t="s">
        <v>13579</v>
      </c>
      <c r="BN697" t="s">
        <v>74</v>
      </c>
      <c r="BO697" t="s">
        <v>341</v>
      </c>
      <c r="BP697" t="s">
        <v>74</v>
      </c>
      <c r="BQ697" t="s">
        <v>74</v>
      </c>
      <c r="BR697" t="s">
        <v>105</v>
      </c>
      <c r="BS697" t="s">
        <v>13588</v>
      </c>
      <c r="BT697" t="str">
        <f>HYPERLINK("https%3A%2F%2Fwww.webofscience.com%2Fwos%2Fwoscc%2Ffull-record%2FWOS:000429451700169","View Full Record in Web of Science")</f>
        <v>View Full Record in Web of Science</v>
      </c>
    </row>
    <row r="698" spans="1:72" x14ac:dyDescent="0.15">
      <c r="A698" t="s">
        <v>72</v>
      </c>
      <c r="B698" t="s">
        <v>13589</v>
      </c>
      <c r="C698" t="s">
        <v>74</v>
      </c>
      <c r="D698" t="s">
        <v>74</v>
      </c>
      <c r="E698" t="s">
        <v>74</v>
      </c>
      <c r="F698" t="s">
        <v>13590</v>
      </c>
      <c r="G698" t="s">
        <v>74</v>
      </c>
      <c r="H698" t="s">
        <v>74</v>
      </c>
      <c r="I698" t="s">
        <v>13591</v>
      </c>
      <c r="J698" t="s">
        <v>8165</v>
      </c>
      <c r="K698" t="s">
        <v>74</v>
      </c>
      <c r="L698" t="s">
        <v>74</v>
      </c>
      <c r="M698" t="s">
        <v>78</v>
      </c>
      <c r="N698" t="s">
        <v>79</v>
      </c>
      <c r="O698" t="s">
        <v>74</v>
      </c>
      <c r="P698" t="s">
        <v>74</v>
      </c>
      <c r="Q698" t="s">
        <v>74</v>
      </c>
      <c r="R698" t="s">
        <v>74</v>
      </c>
      <c r="S698" t="s">
        <v>74</v>
      </c>
      <c r="T698" t="s">
        <v>13592</v>
      </c>
      <c r="U698" t="s">
        <v>13593</v>
      </c>
      <c r="V698" t="s">
        <v>13594</v>
      </c>
      <c r="W698" t="s">
        <v>13595</v>
      </c>
      <c r="X698" t="s">
        <v>13596</v>
      </c>
      <c r="Y698" t="s">
        <v>13597</v>
      </c>
      <c r="Z698" t="s">
        <v>13598</v>
      </c>
      <c r="AA698" t="s">
        <v>13599</v>
      </c>
      <c r="AB698" t="s">
        <v>13600</v>
      </c>
      <c r="AC698" t="s">
        <v>13601</v>
      </c>
      <c r="AD698" t="s">
        <v>13602</v>
      </c>
      <c r="AE698" t="s">
        <v>13603</v>
      </c>
      <c r="AF698" t="s">
        <v>74</v>
      </c>
      <c r="AG698">
        <v>110</v>
      </c>
      <c r="AH698">
        <v>12</v>
      </c>
      <c r="AI698">
        <v>12</v>
      </c>
      <c r="AJ698">
        <v>0</v>
      </c>
      <c r="AK698">
        <v>13</v>
      </c>
      <c r="AL698" t="s">
        <v>277</v>
      </c>
      <c r="AM698" t="s">
        <v>278</v>
      </c>
      <c r="AN698" t="s">
        <v>279</v>
      </c>
      <c r="AO698" t="s">
        <v>8172</v>
      </c>
      <c r="AP698" t="s">
        <v>8173</v>
      </c>
      <c r="AQ698" t="s">
        <v>74</v>
      </c>
      <c r="AR698" t="s">
        <v>8174</v>
      </c>
      <c r="AS698" t="s">
        <v>8175</v>
      </c>
      <c r="AT698" t="s">
        <v>11811</v>
      </c>
      <c r="AU698">
        <v>2018</v>
      </c>
      <c r="AV698">
        <v>133</v>
      </c>
      <c r="AW698" t="s">
        <v>74</v>
      </c>
      <c r="AX698" t="s">
        <v>74</v>
      </c>
      <c r="AY698" t="s">
        <v>74</v>
      </c>
      <c r="AZ698" t="s">
        <v>74</v>
      </c>
      <c r="BA698" t="s">
        <v>74</v>
      </c>
      <c r="BB698">
        <v>39</v>
      </c>
      <c r="BC698">
        <v>48</v>
      </c>
      <c r="BD698" t="s">
        <v>74</v>
      </c>
      <c r="BE698" t="s">
        <v>13604</v>
      </c>
      <c r="BF698" t="str">
        <f>HYPERLINK("http://dx.doi.org/10.1016/j.dsr.2018.01.008","http://dx.doi.org/10.1016/j.dsr.2018.01.008")</f>
        <v>http://dx.doi.org/10.1016/j.dsr.2018.01.008</v>
      </c>
      <c r="BG698" t="s">
        <v>74</v>
      </c>
      <c r="BH698" t="s">
        <v>74</v>
      </c>
      <c r="BI698">
        <v>10</v>
      </c>
      <c r="BJ698" t="s">
        <v>364</v>
      </c>
      <c r="BK698" t="s">
        <v>101</v>
      </c>
      <c r="BL698" t="s">
        <v>364</v>
      </c>
      <c r="BM698" t="s">
        <v>11997</v>
      </c>
      <c r="BN698" t="s">
        <v>74</v>
      </c>
      <c r="BO698" t="s">
        <v>74</v>
      </c>
      <c r="BP698" t="s">
        <v>74</v>
      </c>
      <c r="BQ698" t="s">
        <v>74</v>
      </c>
      <c r="BR698" t="s">
        <v>105</v>
      </c>
      <c r="BS698" t="s">
        <v>13605</v>
      </c>
      <c r="BT698" t="str">
        <f>HYPERLINK("https%3A%2F%2Fwww.webofscience.com%2Fwos%2Fwoscc%2Ffull-record%2FWOS:000429293400004","View Full Record in Web of Science")</f>
        <v>View Full Record in Web of Science</v>
      </c>
    </row>
    <row r="699" spans="1:72" x14ac:dyDescent="0.15">
      <c r="A699" t="s">
        <v>72</v>
      </c>
      <c r="B699" t="s">
        <v>13606</v>
      </c>
      <c r="C699" t="s">
        <v>74</v>
      </c>
      <c r="D699" t="s">
        <v>74</v>
      </c>
      <c r="E699" t="s">
        <v>74</v>
      </c>
      <c r="F699" t="s">
        <v>13607</v>
      </c>
      <c r="G699" t="s">
        <v>74</v>
      </c>
      <c r="H699" t="s">
        <v>74</v>
      </c>
      <c r="I699" t="s">
        <v>13608</v>
      </c>
      <c r="J699" t="s">
        <v>12612</v>
      </c>
      <c r="K699" t="s">
        <v>74</v>
      </c>
      <c r="L699" t="s">
        <v>74</v>
      </c>
      <c r="M699" t="s">
        <v>78</v>
      </c>
      <c r="N699" t="s">
        <v>79</v>
      </c>
      <c r="O699" t="s">
        <v>74</v>
      </c>
      <c r="P699" t="s">
        <v>74</v>
      </c>
      <c r="Q699" t="s">
        <v>74</v>
      </c>
      <c r="R699" t="s">
        <v>74</v>
      </c>
      <c r="S699" t="s">
        <v>74</v>
      </c>
      <c r="T699" t="s">
        <v>13609</v>
      </c>
      <c r="U699" t="s">
        <v>13610</v>
      </c>
      <c r="V699" t="s">
        <v>13611</v>
      </c>
      <c r="W699" t="s">
        <v>13612</v>
      </c>
      <c r="X699" t="s">
        <v>4029</v>
      </c>
      <c r="Y699" t="s">
        <v>13613</v>
      </c>
      <c r="Z699" t="s">
        <v>13614</v>
      </c>
      <c r="AA699" t="s">
        <v>74</v>
      </c>
      <c r="AB699" t="s">
        <v>74</v>
      </c>
      <c r="AC699" t="s">
        <v>74</v>
      </c>
      <c r="AD699" t="s">
        <v>74</v>
      </c>
      <c r="AE699" t="s">
        <v>74</v>
      </c>
      <c r="AF699" t="s">
        <v>74</v>
      </c>
      <c r="AG699">
        <v>49</v>
      </c>
      <c r="AH699">
        <v>1</v>
      </c>
      <c r="AI699">
        <v>1</v>
      </c>
      <c r="AJ699">
        <v>1</v>
      </c>
      <c r="AK699">
        <v>7</v>
      </c>
      <c r="AL699" t="s">
        <v>12621</v>
      </c>
      <c r="AM699" t="s">
        <v>12622</v>
      </c>
      <c r="AN699" t="s">
        <v>12623</v>
      </c>
      <c r="AO699" t="s">
        <v>12624</v>
      </c>
      <c r="AP699" t="s">
        <v>12625</v>
      </c>
      <c r="AQ699" t="s">
        <v>74</v>
      </c>
      <c r="AR699" t="s">
        <v>12626</v>
      </c>
      <c r="AS699" t="s">
        <v>12627</v>
      </c>
      <c r="AT699" t="s">
        <v>11811</v>
      </c>
      <c r="AU699">
        <v>2018</v>
      </c>
      <c r="AV699">
        <v>43</v>
      </c>
      <c r="AW699">
        <v>3</v>
      </c>
      <c r="AX699" t="s">
        <v>74</v>
      </c>
      <c r="AY699" t="s">
        <v>74</v>
      </c>
      <c r="AZ699" t="s">
        <v>74</v>
      </c>
      <c r="BA699" t="s">
        <v>74</v>
      </c>
      <c r="BB699">
        <v>178</v>
      </c>
      <c r="BC699">
        <v>187</v>
      </c>
      <c r="BD699" t="s">
        <v>74</v>
      </c>
      <c r="BE699" t="s">
        <v>13615</v>
      </c>
      <c r="BF699" t="str">
        <f>HYPERLINK("http://dx.doi.org/10.3103/S1068373918030068","http://dx.doi.org/10.3103/S1068373918030068")</f>
        <v>http://dx.doi.org/10.3103/S1068373918030068</v>
      </c>
      <c r="BG699" t="s">
        <v>74</v>
      </c>
      <c r="BH699" t="s">
        <v>74</v>
      </c>
      <c r="BI699">
        <v>10</v>
      </c>
      <c r="BJ699" t="s">
        <v>131</v>
      </c>
      <c r="BK699" t="s">
        <v>101</v>
      </c>
      <c r="BL699" t="s">
        <v>131</v>
      </c>
      <c r="BM699" t="s">
        <v>12629</v>
      </c>
      <c r="BN699" t="s">
        <v>74</v>
      </c>
      <c r="BO699" t="s">
        <v>74</v>
      </c>
      <c r="BP699" t="s">
        <v>74</v>
      </c>
      <c r="BQ699" t="s">
        <v>74</v>
      </c>
      <c r="BR699" t="s">
        <v>105</v>
      </c>
      <c r="BS699" t="s">
        <v>13616</v>
      </c>
      <c r="BT699" t="str">
        <f>HYPERLINK("https%3A%2F%2Fwww.webofscience.com%2Fwos%2Fwoscc%2Ffull-record%2FWOS:000429365200006","View Full Record in Web of Science")</f>
        <v>View Full Record in Web of Science</v>
      </c>
    </row>
    <row r="700" spans="1:72" x14ac:dyDescent="0.15">
      <c r="A700" t="s">
        <v>72</v>
      </c>
      <c r="B700" t="s">
        <v>13617</v>
      </c>
      <c r="C700" t="s">
        <v>74</v>
      </c>
      <c r="D700" t="s">
        <v>74</v>
      </c>
      <c r="E700" t="s">
        <v>74</v>
      </c>
      <c r="F700" t="s">
        <v>13618</v>
      </c>
      <c r="G700" t="s">
        <v>74</v>
      </c>
      <c r="H700" t="s">
        <v>74</v>
      </c>
      <c r="I700" t="s">
        <v>13619</v>
      </c>
      <c r="J700" t="s">
        <v>13620</v>
      </c>
      <c r="K700" t="s">
        <v>74</v>
      </c>
      <c r="L700" t="s">
        <v>74</v>
      </c>
      <c r="M700" t="s">
        <v>78</v>
      </c>
      <c r="N700" t="s">
        <v>79</v>
      </c>
      <c r="O700" t="s">
        <v>74</v>
      </c>
      <c r="P700" t="s">
        <v>74</v>
      </c>
      <c r="Q700" t="s">
        <v>74</v>
      </c>
      <c r="R700" t="s">
        <v>74</v>
      </c>
      <c r="S700" t="s">
        <v>74</v>
      </c>
      <c r="T700" t="s">
        <v>13621</v>
      </c>
      <c r="U700" t="s">
        <v>13622</v>
      </c>
      <c r="V700" t="s">
        <v>13623</v>
      </c>
      <c r="W700" t="s">
        <v>13624</v>
      </c>
      <c r="X700" t="s">
        <v>13625</v>
      </c>
      <c r="Y700" t="s">
        <v>13626</v>
      </c>
      <c r="Z700" t="s">
        <v>13627</v>
      </c>
      <c r="AA700" t="s">
        <v>13628</v>
      </c>
      <c r="AB700" t="s">
        <v>13629</v>
      </c>
      <c r="AC700" t="s">
        <v>13630</v>
      </c>
      <c r="AD700" t="s">
        <v>13631</v>
      </c>
      <c r="AE700" t="s">
        <v>13632</v>
      </c>
      <c r="AF700" t="s">
        <v>74</v>
      </c>
      <c r="AG700">
        <v>103</v>
      </c>
      <c r="AH700">
        <v>16</v>
      </c>
      <c r="AI700">
        <v>17</v>
      </c>
      <c r="AJ700">
        <v>2</v>
      </c>
      <c r="AK700">
        <v>18</v>
      </c>
      <c r="AL700" t="s">
        <v>914</v>
      </c>
      <c r="AM700" t="s">
        <v>452</v>
      </c>
      <c r="AN700" t="s">
        <v>915</v>
      </c>
      <c r="AO700" t="s">
        <v>13633</v>
      </c>
      <c r="AP700" t="s">
        <v>13634</v>
      </c>
      <c r="AQ700" t="s">
        <v>74</v>
      </c>
      <c r="AR700" t="s">
        <v>13635</v>
      </c>
      <c r="AS700" t="s">
        <v>13636</v>
      </c>
      <c r="AT700" t="s">
        <v>11811</v>
      </c>
      <c r="AU700">
        <v>2018</v>
      </c>
      <c r="AV700">
        <v>558</v>
      </c>
      <c r="AW700" t="s">
        <v>74</v>
      </c>
      <c r="AX700" t="s">
        <v>74</v>
      </c>
      <c r="AY700" t="s">
        <v>74</v>
      </c>
      <c r="AZ700" t="s">
        <v>74</v>
      </c>
      <c r="BA700" t="s">
        <v>74</v>
      </c>
      <c r="BB700">
        <v>632</v>
      </c>
      <c r="BC700">
        <v>646</v>
      </c>
      <c r="BD700" t="s">
        <v>74</v>
      </c>
      <c r="BE700" t="s">
        <v>13637</v>
      </c>
      <c r="BF700" t="str">
        <f>HYPERLINK("http://dx.doi.org/10.1016/j.jhydrol.2018.01.064","http://dx.doi.org/10.1016/j.jhydrol.2018.01.064")</f>
        <v>http://dx.doi.org/10.1016/j.jhydrol.2018.01.064</v>
      </c>
      <c r="BG700" t="s">
        <v>74</v>
      </c>
      <c r="BH700" t="s">
        <v>74</v>
      </c>
      <c r="BI700">
        <v>15</v>
      </c>
      <c r="BJ700" t="s">
        <v>13638</v>
      </c>
      <c r="BK700" t="s">
        <v>101</v>
      </c>
      <c r="BL700" t="s">
        <v>13639</v>
      </c>
      <c r="BM700" t="s">
        <v>13640</v>
      </c>
      <c r="BN700" t="s">
        <v>74</v>
      </c>
      <c r="BO700" t="s">
        <v>74</v>
      </c>
      <c r="BP700" t="s">
        <v>74</v>
      </c>
      <c r="BQ700" t="s">
        <v>74</v>
      </c>
      <c r="BR700" t="s">
        <v>105</v>
      </c>
      <c r="BS700" t="s">
        <v>13641</v>
      </c>
      <c r="BT700" t="str">
        <f>HYPERLINK("https%3A%2F%2Fwww.webofscience.com%2Fwos%2Fwoscc%2Ffull-record%2FWOS:000427338900050","View Full Record in Web of Science")</f>
        <v>View Full Record in Web of Science</v>
      </c>
    </row>
    <row r="701" spans="1:72" x14ac:dyDescent="0.15">
      <c r="A701" t="s">
        <v>72</v>
      </c>
      <c r="B701" t="s">
        <v>13642</v>
      </c>
      <c r="C701" t="s">
        <v>74</v>
      </c>
      <c r="D701" t="s">
        <v>74</v>
      </c>
      <c r="E701" t="s">
        <v>74</v>
      </c>
      <c r="F701" t="s">
        <v>13643</v>
      </c>
      <c r="G701" t="s">
        <v>74</v>
      </c>
      <c r="H701" t="s">
        <v>74</v>
      </c>
      <c r="I701" t="s">
        <v>13644</v>
      </c>
      <c r="J701" t="s">
        <v>13645</v>
      </c>
      <c r="K701" t="s">
        <v>74</v>
      </c>
      <c r="L701" t="s">
        <v>74</v>
      </c>
      <c r="M701" t="s">
        <v>78</v>
      </c>
      <c r="N701" t="s">
        <v>79</v>
      </c>
      <c r="O701" t="s">
        <v>74</v>
      </c>
      <c r="P701" t="s">
        <v>74</v>
      </c>
      <c r="Q701" t="s">
        <v>74</v>
      </c>
      <c r="R701" t="s">
        <v>74</v>
      </c>
      <c r="S701" t="s">
        <v>74</v>
      </c>
      <c r="T701" t="s">
        <v>13646</v>
      </c>
      <c r="U701" t="s">
        <v>13647</v>
      </c>
      <c r="V701" t="s">
        <v>13648</v>
      </c>
      <c r="W701" t="s">
        <v>13649</v>
      </c>
      <c r="X701" t="s">
        <v>13650</v>
      </c>
      <c r="Y701" t="s">
        <v>13651</v>
      </c>
      <c r="Z701" t="s">
        <v>13652</v>
      </c>
      <c r="AA701" t="s">
        <v>13653</v>
      </c>
      <c r="AB701" t="s">
        <v>13654</v>
      </c>
      <c r="AC701" t="s">
        <v>13655</v>
      </c>
      <c r="AD701" t="s">
        <v>13655</v>
      </c>
      <c r="AE701" t="s">
        <v>13656</v>
      </c>
      <c r="AF701" t="s">
        <v>74</v>
      </c>
      <c r="AG701">
        <v>34</v>
      </c>
      <c r="AH701">
        <v>20</v>
      </c>
      <c r="AI701">
        <v>20</v>
      </c>
      <c r="AJ701">
        <v>0</v>
      </c>
      <c r="AK701">
        <v>13</v>
      </c>
      <c r="AL701" t="s">
        <v>5498</v>
      </c>
      <c r="AM701" t="s">
        <v>1540</v>
      </c>
      <c r="AN701" t="s">
        <v>5499</v>
      </c>
      <c r="AO701" t="s">
        <v>13657</v>
      </c>
      <c r="AP701" t="s">
        <v>13658</v>
      </c>
      <c r="AQ701" t="s">
        <v>74</v>
      </c>
      <c r="AR701" t="s">
        <v>13659</v>
      </c>
      <c r="AS701" t="s">
        <v>13660</v>
      </c>
      <c r="AT701" t="s">
        <v>11811</v>
      </c>
      <c r="AU701">
        <v>2018</v>
      </c>
      <c r="AV701">
        <v>15</v>
      </c>
      <c r="AW701">
        <v>140</v>
      </c>
      <c r="AX701" t="s">
        <v>74</v>
      </c>
      <c r="AY701" t="s">
        <v>74</v>
      </c>
      <c r="AZ701" t="s">
        <v>74</v>
      </c>
      <c r="BA701" t="s">
        <v>74</v>
      </c>
      <c r="BB701" t="s">
        <v>74</v>
      </c>
      <c r="BC701" t="s">
        <v>74</v>
      </c>
      <c r="BD701">
        <v>20180046</v>
      </c>
      <c r="BE701" t="s">
        <v>13661</v>
      </c>
      <c r="BF701" t="str">
        <f>HYPERLINK("http://dx.doi.org/10.1098/rsif.2018.0046","http://dx.doi.org/10.1098/rsif.2018.0046")</f>
        <v>http://dx.doi.org/10.1098/rsif.2018.0046</v>
      </c>
      <c r="BG701" t="s">
        <v>74</v>
      </c>
      <c r="BH701" t="s">
        <v>74</v>
      </c>
      <c r="BI701">
        <v>8</v>
      </c>
      <c r="BJ701" t="s">
        <v>1670</v>
      </c>
      <c r="BK701" t="s">
        <v>101</v>
      </c>
      <c r="BL701" t="s">
        <v>1671</v>
      </c>
      <c r="BM701" t="s">
        <v>13662</v>
      </c>
      <c r="BN701">
        <v>29563248</v>
      </c>
      <c r="BO701" t="s">
        <v>1802</v>
      </c>
      <c r="BP701" t="s">
        <v>74</v>
      </c>
      <c r="BQ701" t="s">
        <v>74</v>
      </c>
      <c r="BR701" t="s">
        <v>105</v>
      </c>
      <c r="BS701" t="s">
        <v>13663</v>
      </c>
      <c r="BT701" t="str">
        <f>HYPERLINK("https%3A%2F%2Fwww.webofscience.com%2Fwos%2Fwoscc%2Ffull-record%2FWOS:000428576200021","View Full Record in Web of Science")</f>
        <v>View Full Record in Web of Science</v>
      </c>
    </row>
    <row r="702" spans="1:72" x14ac:dyDescent="0.15">
      <c r="A702" t="s">
        <v>72</v>
      </c>
      <c r="B702" t="s">
        <v>13664</v>
      </c>
      <c r="C702" t="s">
        <v>74</v>
      </c>
      <c r="D702" t="s">
        <v>74</v>
      </c>
      <c r="E702" t="s">
        <v>74</v>
      </c>
      <c r="F702" t="s">
        <v>13665</v>
      </c>
      <c r="G702" t="s">
        <v>74</v>
      </c>
      <c r="H702" t="s">
        <v>74</v>
      </c>
      <c r="I702" t="s">
        <v>13666</v>
      </c>
      <c r="J702" t="s">
        <v>13667</v>
      </c>
      <c r="K702" t="s">
        <v>74</v>
      </c>
      <c r="L702" t="s">
        <v>74</v>
      </c>
      <c r="M702" t="s">
        <v>78</v>
      </c>
      <c r="N702" t="s">
        <v>79</v>
      </c>
      <c r="O702" t="s">
        <v>74</v>
      </c>
      <c r="P702" t="s">
        <v>74</v>
      </c>
      <c r="Q702" t="s">
        <v>74</v>
      </c>
      <c r="R702" t="s">
        <v>74</v>
      </c>
      <c r="S702" t="s">
        <v>74</v>
      </c>
      <c r="T702" t="s">
        <v>74</v>
      </c>
      <c r="U702" t="s">
        <v>13668</v>
      </c>
      <c r="V702" t="s">
        <v>13669</v>
      </c>
      <c r="W702" t="s">
        <v>13670</v>
      </c>
      <c r="X702" t="s">
        <v>13671</v>
      </c>
      <c r="Y702" t="s">
        <v>13672</v>
      </c>
      <c r="Z702" t="s">
        <v>13673</v>
      </c>
      <c r="AA702" t="s">
        <v>13674</v>
      </c>
      <c r="AB702" t="s">
        <v>13675</v>
      </c>
      <c r="AC702" t="s">
        <v>13676</v>
      </c>
      <c r="AD702" t="s">
        <v>13677</v>
      </c>
      <c r="AE702" t="s">
        <v>13678</v>
      </c>
      <c r="AF702" t="s">
        <v>74</v>
      </c>
      <c r="AG702">
        <v>45</v>
      </c>
      <c r="AH702">
        <v>9</v>
      </c>
      <c r="AI702">
        <v>9</v>
      </c>
      <c r="AJ702">
        <v>3</v>
      </c>
      <c r="AK702">
        <v>35</v>
      </c>
      <c r="AL702" t="s">
        <v>13679</v>
      </c>
      <c r="AM702" t="s">
        <v>13680</v>
      </c>
      <c r="AN702" t="s">
        <v>13681</v>
      </c>
      <c r="AO702" t="s">
        <v>13682</v>
      </c>
      <c r="AP702" t="s">
        <v>13683</v>
      </c>
      <c r="AQ702" t="s">
        <v>74</v>
      </c>
      <c r="AR702" t="s">
        <v>13684</v>
      </c>
      <c r="AS702" t="s">
        <v>13685</v>
      </c>
      <c r="AT702" t="s">
        <v>13019</v>
      </c>
      <c r="AU702">
        <v>2018</v>
      </c>
      <c r="AV702">
        <v>101</v>
      </c>
      <c r="AW702">
        <v>2</v>
      </c>
      <c r="AX702" t="s">
        <v>74</v>
      </c>
      <c r="AY702" t="s">
        <v>74</v>
      </c>
      <c r="AZ702" t="s">
        <v>74</v>
      </c>
      <c r="BA702" t="s">
        <v>74</v>
      </c>
      <c r="BB702">
        <v>468</v>
      </c>
      <c r="BC702">
        <v>479</v>
      </c>
      <c r="BD702" t="s">
        <v>74</v>
      </c>
      <c r="BE702" t="s">
        <v>13686</v>
      </c>
      <c r="BF702" t="str">
        <f>HYPERLINK("http://dx.doi.org/10.5740/jaoacint.17-0221","http://dx.doi.org/10.5740/jaoacint.17-0221")</f>
        <v>http://dx.doi.org/10.5740/jaoacint.17-0221</v>
      </c>
      <c r="BG702" t="s">
        <v>74</v>
      </c>
      <c r="BH702" t="s">
        <v>74</v>
      </c>
      <c r="BI702">
        <v>12</v>
      </c>
      <c r="BJ702" t="s">
        <v>13687</v>
      </c>
      <c r="BK702" t="s">
        <v>101</v>
      </c>
      <c r="BL702" t="s">
        <v>13688</v>
      </c>
      <c r="BM702" t="s">
        <v>13689</v>
      </c>
      <c r="BN702">
        <v>28851479</v>
      </c>
      <c r="BO702" t="s">
        <v>1292</v>
      </c>
      <c r="BP702" t="s">
        <v>74</v>
      </c>
      <c r="BQ702" t="s">
        <v>74</v>
      </c>
      <c r="BR702" t="s">
        <v>105</v>
      </c>
      <c r="BS702" t="s">
        <v>13690</v>
      </c>
      <c r="BT702" t="str">
        <f>HYPERLINK("https%3A%2F%2Fwww.webofscience.com%2Fwos%2Fwoscc%2Ffull-record%2FWOS:000427806400018","View Full Record in Web of Science")</f>
        <v>View Full Record in Web of Science</v>
      </c>
    </row>
    <row r="703" spans="1:72" x14ac:dyDescent="0.15">
      <c r="A703" t="s">
        <v>72</v>
      </c>
      <c r="B703" t="s">
        <v>13691</v>
      </c>
      <c r="C703" t="s">
        <v>74</v>
      </c>
      <c r="D703" t="s">
        <v>74</v>
      </c>
      <c r="E703" t="s">
        <v>74</v>
      </c>
      <c r="F703" t="s">
        <v>13692</v>
      </c>
      <c r="G703" t="s">
        <v>74</v>
      </c>
      <c r="H703" t="s">
        <v>74</v>
      </c>
      <c r="I703" t="s">
        <v>13693</v>
      </c>
      <c r="J703" t="s">
        <v>13667</v>
      </c>
      <c r="K703" t="s">
        <v>74</v>
      </c>
      <c r="L703" t="s">
        <v>74</v>
      </c>
      <c r="M703" t="s">
        <v>78</v>
      </c>
      <c r="N703" t="s">
        <v>79</v>
      </c>
      <c r="O703" t="s">
        <v>74</v>
      </c>
      <c r="P703" t="s">
        <v>74</v>
      </c>
      <c r="Q703" t="s">
        <v>74</v>
      </c>
      <c r="R703" t="s">
        <v>74</v>
      </c>
      <c r="S703" t="s">
        <v>74</v>
      </c>
      <c r="T703" t="s">
        <v>74</v>
      </c>
      <c r="U703" t="s">
        <v>13694</v>
      </c>
      <c r="V703" t="s">
        <v>13695</v>
      </c>
      <c r="W703" t="s">
        <v>13696</v>
      </c>
      <c r="X703" t="s">
        <v>13697</v>
      </c>
      <c r="Y703" t="s">
        <v>13698</v>
      </c>
      <c r="Z703" t="s">
        <v>13699</v>
      </c>
      <c r="AA703" t="s">
        <v>13700</v>
      </c>
      <c r="AB703" t="s">
        <v>13701</v>
      </c>
      <c r="AC703" t="s">
        <v>13702</v>
      </c>
      <c r="AD703" t="s">
        <v>13703</v>
      </c>
      <c r="AE703" t="s">
        <v>13704</v>
      </c>
      <c r="AF703" t="s">
        <v>74</v>
      </c>
      <c r="AG703">
        <v>39</v>
      </c>
      <c r="AH703">
        <v>7</v>
      </c>
      <c r="AI703">
        <v>7</v>
      </c>
      <c r="AJ703">
        <v>0</v>
      </c>
      <c r="AK703">
        <v>17</v>
      </c>
      <c r="AL703" t="s">
        <v>13679</v>
      </c>
      <c r="AM703" t="s">
        <v>13680</v>
      </c>
      <c r="AN703" t="s">
        <v>13681</v>
      </c>
      <c r="AO703" t="s">
        <v>13682</v>
      </c>
      <c r="AP703" t="s">
        <v>13683</v>
      </c>
      <c r="AQ703" t="s">
        <v>74</v>
      </c>
      <c r="AR703" t="s">
        <v>13684</v>
      </c>
      <c r="AS703" t="s">
        <v>13685</v>
      </c>
      <c r="AT703" t="s">
        <v>13019</v>
      </c>
      <c r="AU703">
        <v>2018</v>
      </c>
      <c r="AV703">
        <v>101</v>
      </c>
      <c r="AW703">
        <v>2</v>
      </c>
      <c r="AX703" t="s">
        <v>74</v>
      </c>
      <c r="AY703" t="s">
        <v>74</v>
      </c>
      <c r="AZ703" t="s">
        <v>74</v>
      </c>
      <c r="BA703" t="s">
        <v>74</v>
      </c>
      <c r="BB703">
        <v>480</v>
      </c>
      <c r="BC703">
        <v>489</v>
      </c>
      <c r="BD703" t="s">
        <v>74</v>
      </c>
      <c r="BE703" t="s">
        <v>13705</v>
      </c>
      <c r="BF703" t="str">
        <f>HYPERLINK("http://dx.doi.org/10.5740/jaoacint.17-0135","http://dx.doi.org/10.5740/jaoacint.17-0135")</f>
        <v>http://dx.doi.org/10.5740/jaoacint.17-0135</v>
      </c>
      <c r="BG703" t="s">
        <v>74</v>
      </c>
      <c r="BH703" t="s">
        <v>74</v>
      </c>
      <c r="BI703">
        <v>10</v>
      </c>
      <c r="BJ703" t="s">
        <v>13687</v>
      </c>
      <c r="BK703" t="s">
        <v>101</v>
      </c>
      <c r="BL703" t="s">
        <v>13688</v>
      </c>
      <c r="BM703" t="s">
        <v>13689</v>
      </c>
      <c r="BN703">
        <v>28797318</v>
      </c>
      <c r="BO703" t="s">
        <v>74</v>
      </c>
      <c r="BP703" t="s">
        <v>74</v>
      </c>
      <c r="BQ703" t="s">
        <v>74</v>
      </c>
      <c r="BR703" t="s">
        <v>105</v>
      </c>
      <c r="BS703" t="s">
        <v>13706</v>
      </c>
      <c r="BT703" t="str">
        <f>HYPERLINK("https%3A%2F%2Fwww.webofscience.com%2Fwos%2Fwoscc%2Ffull-record%2FWOS:000427806400019","View Full Record in Web of Science")</f>
        <v>View Full Record in Web of Science</v>
      </c>
    </row>
    <row r="704" spans="1:72" x14ac:dyDescent="0.15">
      <c r="A704" t="s">
        <v>72</v>
      </c>
      <c r="B704" t="s">
        <v>13707</v>
      </c>
      <c r="C704" t="s">
        <v>74</v>
      </c>
      <c r="D704" t="s">
        <v>74</v>
      </c>
      <c r="E704" t="s">
        <v>74</v>
      </c>
      <c r="F704" t="s">
        <v>13708</v>
      </c>
      <c r="G704" t="s">
        <v>74</v>
      </c>
      <c r="H704" t="s">
        <v>74</v>
      </c>
      <c r="I704" t="s">
        <v>13709</v>
      </c>
      <c r="J704" t="s">
        <v>138</v>
      </c>
      <c r="K704" t="s">
        <v>74</v>
      </c>
      <c r="L704" t="s">
        <v>74</v>
      </c>
      <c r="M704" t="s">
        <v>78</v>
      </c>
      <c r="N704" t="s">
        <v>79</v>
      </c>
      <c r="O704" t="s">
        <v>74</v>
      </c>
      <c r="P704" t="s">
        <v>74</v>
      </c>
      <c r="Q704" t="s">
        <v>74</v>
      </c>
      <c r="R704" t="s">
        <v>74</v>
      </c>
      <c r="S704" t="s">
        <v>74</v>
      </c>
      <c r="T704" t="s">
        <v>13710</v>
      </c>
      <c r="U704" t="s">
        <v>13711</v>
      </c>
      <c r="V704" t="s">
        <v>13712</v>
      </c>
      <c r="W704" t="s">
        <v>13713</v>
      </c>
      <c r="X704" t="s">
        <v>13714</v>
      </c>
      <c r="Y704" t="s">
        <v>13715</v>
      </c>
      <c r="Z704" t="s">
        <v>13716</v>
      </c>
      <c r="AA704" t="s">
        <v>74</v>
      </c>
      <c r="AB704" t="s">
        <v>74</v>
      </c>
      <c r="AC704" t="s">
        <v>13717</v>
      </c>
      <c r="AD704" t="s">
        <v>13718</v>
      </c>
      <c r="AE704" t="s">
        <v>13719</v>
      </c>
      <c r="AF704" t="s">
        <v>74</v>
      </c>
      <c r="AG704">
        <v>87</v>
      </c>
      <c r="AH704">
        <v>15</v>
      </c>
      <c r="AI704">
        <v>15</v>
      </c>
      <c r="AJ704">
        <v>0</v>
      </c>
      <c r="AK704">
        <v>4</v>
      </c>
      <c r="AL704" t="s">
        <v>151</v>
      </c>
      <c r="AM704" t="s">
        <v>152</v>
      </c>
      <c r="AN704" t="s">
        <v>153</v>
      </c>
      <c r="AO704" t="s">
        <v>12278</v>
      </c>
      <c r="AP704" t="s">
        <v>155</v>
      </c>
      <c r="AQ704" t="s">
        <v>74</v>
      </c>
      <c r="AR704" t="s">
        <v>156</v>
      </c>
      <c r="AS704" t="s">
        <v>157</v>
      </c>
      <c r="AT704" t="s">
        <v>11811</v>
      </c>
      <c r="AU704">
        <v>2018</v>
      </c>
      <c r="AV704">
        <v>127</v>
      </c>
      <c r="AW704">
        <v>2</v>
      </c>
      <c r="AX704" t="s">
        <v>74</v>
      </c>
      <c r="AY704" t="s">
        <v>74</v>
      </c>
      <c r="AZ704" t="s">
        <v>74</v>
      </c>
      <c r="BA704" t="s">
        <v>74</v>
      </c>
      <c r="BB704" t="s">
        <v>74</v>
      </c>
      <c r="BC704" t="s">
        <v>74</v>
      </c>
      <c r="BD704">
        <v>21</v>
      </c>
      <c r="BE704" t="s">
        <v>13720</v>
      </c>
      <c r="BF704" t="str">
        <f>HYPERLINK("http://dx.doi.org/10.1007/s12040-018-0920-9","http://dx.doi.org/10.1007/s12040-018-0920-9")</f>
        <v>http://dx.doi.org/10.1007/s12040-018-0920-9</v>
      </c>
      <c r="BG704" t="s">
        <v>74</v>
      </c>
      <c r="BH704" t="s">
        <v>74</v>
      </c>
      <c r="BI704">
        <v>15</v>
      </c>
      <c r="BJ704" t="s">
        <v>159</v>
      </c>
      <c r="BK704" t="s">
        <v>101</v>
      </c>
      <c r="BL704" t="s">
        <v>160</v>
      </c>
      <c r="BM704" t="s">
        <v>12280</v>
      </c>
      <c r="BN704" t="s">
        <v>74</v>
      </c>
      <c r="BO704" t="s">
        <v>162</v>
      </c>
      <c r="BP704" t="s">
        <v>74</v>
      </c>
      <c r="BQ704" t="s">
        <v>74</v>
      </c>
      <c r="BR704" t="s">
        <v>105</v>
      </c>
      <c r="BS704" t="s">
        <v>13721</v>
      </c>
      <c r="BT704" t="str">
        <f>HYPERLINK("https%3A%2F%2Fwww.webofscience.com%2Fwos%2Fwoscc%2Ffull-record%2FWOS:000428310600006","View Full Record in Web of Science")</f>
        <v>View Full Record in Web of Science</v>
      </c>
    </row>
    <row r="705" spans="1:72" x14ac:dyDescent="0.15">
      <c r="A705" t="s">
        <v>72</v>
      </c>
      <c r="B705" t="s">
        <v>13722</v>
      </c>
      <c r="C705" t="s">
        <v>74</v>
      </c>
      <c r="D705" t="s">
        <v>74</v>
      </c>
      <c r="E705" t="s">
        <v>74</v>
      </c>
      <c r="F705" t="s">
        <v>13723</v>
      </c>
      <c r="G705" t="s">
        <v>74</v>
      </c>
      <c r="H705" t="s">
        <v>74</v>
      </c>
      <c r="I705" t="s">
        <v>13724</v>
      </c>
      <c r="J705" t="s">
        <v>4306</v>
      </c>
      <c r="K705" t="s">
        <v>74</v>
      </c>
      <c r="L705" t="s">
        <v>74</v>
      </c>
      <c r="M705" t="s">
        <v>78</v>
      </c>
      <c r="N705" t="s">
        <v>79</v>
      </c>
      <c r="O705" t="s">
        <v>74</v>
      </c>
      <c r="P705" t="s">
        <v>74</v>
      </c>
      <c r="Q705" t="s">
        <v>74</v>
      </c>
      <c r="R705" t="s">
        <v>74</v>
      </c>
      <c r="S705" t="s">
        <v>74</v>
      </c>
      <c r="T705" t="s">
        <v>13725</v>
      </c>
      <c r="U705" t="s">
        <v>13726</v>
      </c>
      <c r="V705" t="s">
        <v>13727</v>
      </c>
      <c r="W705" t="s">
        <v>13728</v>
      </c>
      <c r="X705" t="s">
        <v>13729</v>
      </c>
      <c r="Y705" t="s">
        <v>13730</v>
      </c>
      <c r="Z705" t="s">
        <v>13731</v>
      </c>
      <c r="AA705" t="s">
        <v>13732</v>
      </c>
      <c r="AB705" t="s">
        <v>13733</v>
      </c>
      <c r="AC705" t="s">
        <v>13734</v>
      </c>
      <c r="AD705" t="s">
        <v>13735</v>
      </c>
      <c r="AE705" t="s">
        <v>13736</v>
      </c>
      <c r="AF705" t="s">
        <v>74</v>
      </c>
      <c r="AG705">
        <v>76</v>
      </c>
      <c r="AH705">
        <v>14</v>
      </c>
      <c r="AI705">
        <v>14</v>
      </c>
      <c r="AJ705">
        <v>0</v>
      </c>
      <c r="AK705">
        <v>21</v>
      </c>
      <c r="AL705" t="s">
        <v>914</v>
      </c>
      <c r="AM705" t="s">
        <v>452</v>
      </c>
      <c r="AN705" t="s">
        <v>915</v>
      </c>
      <c r="AO705" t="s">
        <v>4318</v>
      </c>
      <c r="AP705" t="s">
        <v>4319</v>
      </c>
      <c r="AQ705" t="s">
        <v>74</v>
      </c>
      <c r="AR705" t="s">
        <v>4320</v>
      </c>
      <c r="AS705" t="s">
        <v>4321</v>
      </c>
      <c r="AT705" t="s">
        <v>11811</v>
      </c>
      <c r="AU705">
        <v>2018</v>
      </c>
      <c r="AV705">
        <v>139</v>
      </c>
      <c r="AW705" t="s">
        <v>74</v>
      </c>
      <c r="AX705" t="s">
        <v>74</v>
      </c>
      <c r="AY705" t="s">
        <v>74</v>
      </c>
      <c r="AZ705" t="s">
        <v>74</v>
      </c>
      <c r="BA705" t="s">
        <v>74</v>
      </c>
      <c r="BB705">
        <v>57</v>
      </c>
      <c r="BC705">
        <v>71</v>
      </c>
      <c r="BD705" t="s">
        <v>74</v>
      </c>
      <c r="BE705" t="s">
        <v>13737</v>
      </c>
      <c r="BF705" t="str">
        <f>HYPERLINK("http://dx.doi.org/10.1016/j.marmicro.2017.11.003","http://dx.doi.org/10.1016/j.marmicro.2017.11.003")</f>
        <v>http://dx.doi.org/10.1016/j.marmicro.2017.11.003</v>
      </c>
      <c r="BG705" t="s">
        <v>74</v>
      </c>
      <c r="BH705" t="s">
        <v>74</v>
      </c>
      <c r="BI705">
        <v>15</v>
      </c>
      <c r="BJ705" t="s">
        <v>4323</v>
      </c>
      <c r="BK705" t="s">
        <v>101</v>
      </c>
      <c r="BL705" t="s">
        <v>4323</v>
      </c>
      <c r="BM705" t="s">
        <v>12438</v>
      </c>
      <c r="BN705" t="s">
        <v>74</v>
      </c>
      <c r="BO705" t="s">
        <v>104</v>
      </c>
      <c r="BP705" t="s">
        <v>74</v>
      </c>
      <c r="BQ705" t="s">
        <v>74</v>
      </c>
      <c r="BR705" t="s">
        <v>105</v>
      </c>
      <c r="BS705" t="s">
        <v>13738</v>
      </c>
      <c r="BT705" t="str">
        <f>HYPERLINK("https%3A%2F%2Fwww.webofscience.com%2Fwos%2Fwoscc%2Ffull-record%2FWOS:000428101000004","View Full Record in Web of Science")</f>
        <v>View Full Record in Web of Science</v>
      </c>
    </row>
    <row r="706" spans="1:72" x14ac:dyDescent="0.15">
      <c r="A706" t="s">
        <v>72</v>
      </c>
      <c r="B706" t="s">
        <v>13739</v>
      </c>
      <c r="C706" t="s">
        <v>74</v>
      </c>
      <c r="D706" t="s">
        <v>74</v>
      </c>
      <c r="E706" t="s">
        <v>74</v>
      </c>
      <c r="F706" t="s">
        <v>13740</v>
      </c>
      <c r="G706" t="s">
        <v>74</v>
      </c>
      <c r="H706" t="s">
        <v>74</v>
      </c>
      <c r="I706" t="s">
        <v>13741</v>
      </c>
      <c r="J706" t="s">
        <v>8513</v>
      </c>
      <c r="K706" t="s">
        <v>74</v>
      </c>
      <c r="L706" t="s">
        <v>74</v>
      </c>
      <c r="M706" t="s">
        <v>78</v>
      </c>
      <c r="N706" t="s">
        <v>79</v>
      </c>
      <c r="O706" t="s">
        <v>74</v>
      </c>
      <c r="P706" t="s">
        <v>74</v>
      </c>
      <c r="Q706" t="s">
        <v>74</v>
      </c>
      <c r="R706" t="s">
        <v>74</v>
      </c>
      <c r="S706" t="s">
        <v>74</v>
      </c>
      <c r="T706" t="s">
        <v>13742</v>
      </c>
      <c r="U706" t="s">
        <v>13743</v>
      </c>
      <c r="V706" t="s">
        <v>13744</v>
      </c>
      <c r="W706" t="s">
        <v>13745</v>
      </c>
      <c r="X706" t="s">
        <v>13746</v>
      </c>
      <c r="Y706" t="s">
        <v>13747</v>
      </c>
      <c r="Z706" t="s">
        <v>13748</v>
      </c>
      <c r="AA706" t="s">
        <v>13749</v>
      </c>
      <c r="AB706" t="s">
        <v>13750</v>
      </c>
      <c r="AC706" t="s">
        <v>13751</v>
      </c>
      <c r="AD706" t="s">
        <v>13752</v>
      </c>
      <c r="AE706" t="s">
        <v>13753</v>
      </c>
      <c r="AF706" t="s">
        <v>74</v>
      </c>
      <c r="AG706">
        <v>55</v>
      </c>
      <c r="AH706">
        <v>58</v>
      </c>
      <c r="AI706">
        <v>60</v>
      </c>
      <c r="AJ706">
        <v>1</v>
      </c>
      <c r="AK706">
        <v>15</v>
      </c>
      <c r="AL706" t="s">
        <v>451</v>
      </c>
      <c r="AM706" t="s">
        <v>452</v>
      </c>
      <c r="AN706" t="s">
        <v>453</v>
      </c>
      <c r="AO706" t="s">
        <v>8525</v>
      </c>
      <c r="AP706" t="s">
        <v>8526</v>
      </c>
      <c r="AQ706" t="s">
        <v>74</v>
      </c>
      <c r="AR706" t="s">
        <v>8527</v>
      </c>
      <c r="AS706" t="s">
        <v>8528</v>
      </c>
      <c r="AT706" t="s">
        <v>11811</v>
      </c>
      <c r="AU706">
        <v>2018</v>
      </c>
      <c r="AV706">
        <v>162</v>
      </c>
      <c r="AW706" t="s">
        <v>74</v>
      </c>
      <c r="AX706" t="s">
        <v>74</v>
      </c>
      <c r="AY706" t="s">
        <v>74</v>
      </c>
      <c r="AZ706" t="s">
        <v>74</v>
      </c>
      <c r="BA706" t="s">
        <v>74</v>
      </c>
      <c r="BB706">
        <v>136</v>
      </c>
      <c r="BC706">
        <v>147</v>
      </c>
      <c r="BD706" t="s">
        <v>74</v>
      </c>
      <c r="BE706" t="s">
        <v>13754</v>
      </c>
      <c r="BF706" t="str">
        <f>HYPERLINK("http://dx.doi.org/10.1016/j.gloplacha.2018.01.005","http://dx.doi.org/10.1016/j.gloplacha.2018.01.005")</f>
        <v>http://dx.doi.org/10.1016/j.gloplacha.2018.01.005</v>
      </c>
      <c r="BG706" t="s">
        <v>74</v>
      </c>
      <c r="BH706" t="s">
        <v>74</v>
      </c>
      <c r="BI706">
        <v>12</v>
      </c>
      <c r="BJ706" t="s">
        <v>338</v>
      </c>
      <c r="BK706" t="s">
        <v>101</v>
      </c>
      <c r="BL706" t="s">
        <v>339</v>
      </c>
      <c r="BM706" t="s">
        <v>13755</v>
      </c>
      <c r="BN706" t="s">
        <v>74</v>
      </c>
      <c r="BO706" t="s">
        <v>5745</v>
      </c>
      <c r="BP706" t="s">
        <v>74</v>
      </c>
      <c r="BQ706" t="s">
        <v>74</v>
      </c>
      <c r="BR706" t="s">
        <v>105</v>
      </c>
      <c r="BS706" t="s">
        <v>13756</v>
      </c>
      <c r="BT706" t="str">
        <f>HYPERLINK("https%3A%2F%2Fwww.webofscience.com%2Fwos%2Fwoscc%2Ffull-record%2FWOS:000427999900011","View Full Record in Web of Science")</f>
        <v>View Full Record in Web of Science</v>
      </c>
    </row>
    <row r="707" spans="1:72" x14ac:dyDescent="0.15">
      <c r="A707" t="s">
        <v>72</v>
      </c>
      <c r="B707" t="s">
        <v>13757</v>
      </c>
      <c r="C707" t="s">
        <v>74</v>
      </c>
      <c r="D707" t="s">
        <v>74</v>
      </c>
      <c r="E707" t="s">
        <v>74</v>
      </c>
      <c r="F707" t="s">
        <v>13758</v>
      </c>
      <c r="G707" t="s">
        <v>74</v>
      </c>
      <c r="H707" t="s">
        <v>74</v>
      </c>
      <c r="I707" t="s">
        <v>13759</v>
      </c>
      <c r="J707" t="s">
        <v>13760</v>
      </c>
      <c r="K707" t="s">
        <v>74</v>
      </c>
      <c r="L707" t="s">
        <v>74</v>
      </c>
      <c r="M707" t="s">
        <v>78</v>
      </c>
      <c r="N707" t="s">
        <v>79</v>
      </c>
      <c r="O707" t="s">
        <v>74</v>
      </c>
      <c r="P707" t="s">
        <v>74</v>
      </c>
      <c r="Q707" t="s">
        <v>74</v>
      </c>
      <c r="R707" t="s">
        <v>74</v>
      </c>
      <c r="S707" t="s">
        <v>74</v>
      </c>
      <c r="T707" t="s">
        <v>13761</v>
      </c>
      <c r="U707" t="s">
        <v>13762</v>
      </c>
      <c r="V707" t="s">
        <v>13763</v>
      </c>
      <c r="W707" t="s">
        <v>13764</v>
      </c>
      <c r="X707" t="s">
        <v>13765</v>
      </c>
      <c r="Y707" t="s">
        <v>13766</v>
      </c>
      <c r="Z707" t="s">
        <v>13767</v>
      </c>
      <c r="AA707" t="s">
        <v>13768</v>
      </c>
      <c r="AB707" t="s">
        <v>13769</v>
      </c>
      <c r="AC707" t="s">
        <v>13770</v>
      </c>
      <c r="AD707" t="s">
        <v>13771</v>
      </c>
      <c r="AE707" t="s">
        <v>13772</v>
      </c>
      <c r="AF707" t="s">
        <v>74</v>
      </c>
      <c r="AG707">
        <v>75</v>
      </c>
      <c r="AH707">
        <v>32</v>
      </c>
      <c r="AI707">
        <v>32</v>
      </c>
      <c r="AJ707">
        <v>1</v>
      </c>
      <c r="AK707">
        <v>33</v>
      </c>
      <c r="AL707" t="s">
        <v>11897</v>
      </c>
      <c r="AM707" t="s">
        <v>11898</v>
      </c>
      <c r="AN707" t="s">
        <v>11899</v>
      </c>
      <c r="AO707" t="s">
        <v>13773</v>
      </c>
      <c r="AP707" t="s">
        <v>13774</v>
      </c>
      <c r="AQ707" t="s">
        <v>74</v>
      </c>
      <c r="AR707" t="s">
        <v>13775</v>
      </c>
      <c r="AS707" t="s">
        <v>13776</v>
      </c>
      <c r="AT707" t="s">
        <v>13019</v>
      </c>
      <c r="AU707">
        <v>2018</v>
      </c>
      <c r="AV707">
        <v>30</v>
      </c>
      <c r="AW707" t="s">
        <v>74</v>
      </c>
      <c r="AX707" t="s">
        <v>74</v>
      </c>
      <c r="AY707" t="s">
        <v>74</v>
      </c>
      <c r="AZ707" t="s">
        <v>74</v>
      </c>
      <c r="BA707" t="s">
        <v>74</v>
      </c>
      <c r="BB707">
        <v>100</v>
      </c>
      <c r="BC707">
        <v>109</v>
      </c>
      <c r="BD707" t="s">
        <v>74</v>
      </c>
      <c r="BE707" t="s">
        <v>13777</v>
      </c>
      <c r="BF707" t="str">
        <f>HYPERLINK("http://dx.doi.org/10.1016/j.culher.2017.09.004","http://dx.doi.org/10.1016/j.culher.2017.09.004")</f>
        <v>http://dx.doi.org/10.1016/j.culher.2017.09.004</v>
      </c>
      <c r="BG707" t="s">
        <v>74</v>
      </c>
      <c r="BH707" t="s">
        <v>74</v>
      </c>
      <c r="BI707">
        <v>10</v>
      </c>
      <c r="BJ707" t="s">
        <v>13778</v>
      </c>
      <c r="BK707" t="s">
        <v>13779</v>
      </c>
      <c r="BL707" t="s">
        <v>13780</v>
      </c>
      <c r="BM707" t="s">
        <v>13781</v>
      </c>
      <c r="BN707" t="s">
        <v>74</v>
      </c>
      <c r="BO707" t="s">
        <v>74</v>
      </c>
      <c r="BP707" t="s">
        <v>74</v>
      </c>
      <c r="BQ707" t="s">
        <v>74</v>
      </c>
      <c r="BR707" t="s">
        <v>105</v>
      </c>
      <c r="BS707" t="s">
        <v>13782</v>
      </c>
      <c r="BT707" t="str">
        <f>HYPERLINK("https%3A%2F%2Fwww.webofscience.com%2Fwos%2Fwoscc%2Ffull-record%2FWOS:000427580300012","View Full Record in Web of Science")</f>
        <v>View Full Record in Web of Science</v>
      </c>
    </row>
    <row r="708" spans="1:72" x14ac:dyDescent="0.15">
      <c r="A708" t="s">
        <v>72</v>
      </c>
      <c r="B708" t="s">
        <v>13783</v>
      </c>
      <c r="C708" t="s">
        <v>74</v>
      </c>
      <c r="D708" t="s">
        <v>74</v>
      </c>
      <c r="E708" t="s">
        <v>74</v>
      </c>
      <c r="F708" t="s">
        <v>13784</v>
      </c>
      <c r="G708" t="s">
        <v>74</v>
      </c>
      <c r="H708" t="s">
        <v>74</v>
      </c>
      <c r="I708" t="s">
        <v>13785</v>
      </c>
      <c r="J708" t="s">
        <v>13786</v>
      </c>
      <c r="K708" t="s">
        <v>74</v>
      </c>
      <c r="L708" t="s">
        <v>74</v>
      </c>
      <c r="M708" t="s">
        <v>78</v>
      </c>
      <c r="N708" t="s">
        <v>79</v>
      </c>
      <c r="O708" t="s">
        <v>74</v>
      </c>
      <c r="P708" t="s">
        <v>74</v>
      </c>
      <c r="Q708" t="s">
        <v>74</v>
      </c>
      <c r="R708" t="s">
        <v>74</v>
      </c>
      <c r="S708" t="s">
        <v>74</v>
      </c>
      <c r="T708" t="s">
        <v>13787</v>
      </c>
      <c r="U708" t="s">
        <v>13788</v>
      </c>
      <c r="V708" t="s">
        <v>13789</v>
      </c>
      <c r="W708" t="s">
        <v>13790</v>
      </c>
      <c r="X708" t="s">
        <v>4029</v>
      </c>
      <c r="Y708" t="s">
        <v>13791</v>
      </c>
      <c r="Z708" t="s">
        <v>13792</v>
      </c>
      <c r="AA708" t="s">
        <v>13793</v>
      </c>
      <c r="AB708" t="s">
        <v>13794</v>
      </c>
      <c r="AC708" t="s">
        <v>13795</v>
      </c>
      <c r="AD708" t="s">
        <v>4058</v>
      </c>
      <c r="AE708" t="s">
        <v>13796</v>
      </c>
      <c r="AF708" t="s">
        <v>74</v>
      </c>
      <c r="AG708">
        <v>30</v>
      </c>
      <c r="AH708">
        <v>0</v>
      </c>
      <c r="AI708">
        <v>0</v>
      </c>
      <c r="AJ708">
        <v>0</v>
      </c>
      <c r="AK708">
        <v>3</v>
      </c>
      <c r="AL708" t="s">
        <v>914</v>
      </c>
      <c r="AM708" t="s">
        <v>452</v>
      </c>
      <c r="AN708" t="s">
        <v>915</v>
      </c>
      <c r="AO708" t="s">
        <v>13797</v>
      </c>
      <c r="AP708" t="s">
        <v>13798</v>
      </c>
      <c r="AQ708" t="s">
        <v>74</v>
      </c>
      <c r="AR708" t="s">
        <v>13799</v>
      </c>
      <c r="AS708" t="s">
        <v>13800</v>
      </c>
      <c r="AT708" t="s">
        <v>11811</v>
      </c>
      <c r="AU708">
        <v>2018</v>
      </c>
      <c r="AV708">
        <v>59</v>
      </c>
      <c r="AW708">
        <v>3</v>
      </c>
      <c r="AX708" t="s">
        <v>74</v>
      </c>
      <c r="AY708" t="s">
        <v>74</v>
      </c>
      <c r="AZ708" t="s">
        <v>74</v>
      </c>
      <c r="BA708" t="s">
        <v>74</v>
      </c>
      <c r="BB708">
        <v>268</v>
      </c>
      <c r="BC708">
        <v>275</v>
      </c>
      <c r="BD708" t="s">
        <v>74</v>
      </c>
      <c r="BE708" t="s">
        <v>13801</v>
      </c>
      <c r="BF708" t="str">
        <f>HYPERLINK("http://dx.doi.org/10.1016/j.rgg.2018.03.005","http://dx.doi.org/10.1016/j.rgg.2018.03.005")</f>
        <v>http://dx.doi.org/10.1016/j.rgg.2018.03.005</v>
      </c>
      <c r="BG708" t="s">
        <v>74</v>
      </c>
      <c r="BH708" t="s">
        <v>74</v>
      </c>
      <c r="BI708">
        <v>8</v>
      </c>
      <c r="BJ708" t="s">
        <v>1243</v>
      </c>
      <c r="BK708" t="s">
        <v>101</v>
      </c>
      <c r="BL708" t="s">
        <v>1181</v>
      </c>
      <c r="BM708" t="s">
        <v>13802</v>
      </c>
      <c r="BN708" t="s">
        <v>74</v>
      </c>
      <c r="BO708" t="s">
        <v>74</v>
      </c>
      <c r="BP708" t="s">
        <v>74</v>
      </c>
      <c r="BQ708" t="s">
        <v>74</v>
      </c>
      <c r="BR708" t="s">
        <v>105</v>
      </c>
      <c r="BS708" t="s">
        <v>13803</v>
      </c>
      <c r="BT708" t="str">
        <f>HYPERLINK("https%3A%2F%2Fwww.webofscience.com%2Fwos%2Fwoscc%2Ffull-record%2FWOS:000427812600005","View Full Record in Web of Science")</f>
        <v>View Full Record in Web of Science</v>
      </c>
    </row>
    <row r="709" spans="1:72" x14ac:dyDescent="0.15">
      <c r="A709" t="s">
        <v>72</v>
      </c>
      <c r="B709" t="s">
        <v>13804</v>
      </c>
      <c r="C709" t="s">
        <v>74</v>
      </c>
      <c r="D709" t="s">
        <v>74</v>
      </c>
      <c r="E709" t="s">
        <v>74</v>
      </c>
      <c r="F709" t="s">
        <v>13805</v>
      </c>
      <c r="G709" t="s">
        <v>74</v>
      </c>
      <c r="H709" t="s">
        <v>74</v>
      </c>
      <c r="I709" t="s">
        <v>13806</v>
      </c>
      <c r="J709" t="s">
        <v>13807</v>
      </c>
      <c r="K709" t="s">
        <v>74</v>
      </c>
      <c r="L709" t="s">
        <v>74</v>
      </c>
      <c r="M709" t="s">
        <v>78</v>
      </c>
      <c r="N709" t="s">
        <v>466</v>
      </c>
      <c r="O709" t="s">
        <v>74</v>
      </c>
      <c r="P709" t="s">
        <v>74</v>
      </c>
      <c r="Q709" t="s">
        <v>74</v>
      </c>
      <c r="R709" t="s">
        <v>74</v>
      </c>
      <c r="S709" t="s">
        <v>74</v>
      </c>
      <c r="T709" t="s">
        <v>13808</v>
      </c>
      <c r="U709" t="s">
        <v>13809</v>
      </c>
      <c r="V709" t="s">
        <v>13810</v>
      </c>
      <c r="W709" t="s">
        <v>13811</v>
      </c>
      <c r="X709" t="s">
        <v>74</v>
      </c>
      <c r="Y709" t="s">
        <v>13812</v>
      </c>
      <c r="Z709" t="s">
        <v>13813</v>
      </c>
      <c r="AA709" t="s">
        <v>74</v>
      </c>
      <c r="AB709" t="s">
        <v>74</v>
      </c>
      <c r="AC709" t="s">
        <v>13814</v>
      </c>
      <c r="AD709" t="s">
        <v>9617</v>
      </c>
      <c r="AE709" t="s">
        <v>74</v>
      </c>
      <c r="AF709" t="s">
        <v>74</v>
      </c>
      <c r="AG709">
        <v>37</v>
      </c>
      <c r="AH709">
        <v>2</v>
      </c>
      <c r="AI709">
        <v>2</v>
      </c>
      <c r="AJ709">
        <v>0</v>
      </c>
      <c r="AK709">
        <v>6</v>
      </c>
      <c r="AL709" t="s">
        <v>865</v>
      </c>
      <c r="AM709" t="s">
        <v>92</v>
      </c>
      <c r="AN709" t="s">
        <v>3907</v>
      </c>
      <c r="AO709" t="s">
        <v>13815</v>
      </c>
      <c r="AP709" t="s">
        <v>13816</v>
      </c>
      <c r="AQ709" t="s">
        <v>74</v>
      </c>
      <c r="AR709" t="s">
        <v>13817</v>
      </c>
      <c r="AS709" t="s">
        <v>13818</v>
      </c>
      <c r="AT709" t="s">
        <v>11811</v>
      </c>
      <c r="AU709">
        <v>2018</v>
      </c>
      <c r="AV709">
        <v>29</v>
      </c>
      <c r="AW709">
        <v>1</v>
      </c>
      <c r="AX709" t="s">
        <v>74</v>
      </c>
      <c r="AY709" t="s">
        <v>74</v>
      </c>
      <c r="AZ709" t="s">
        <v>74</v>
      </c>
      <c r="BA709" t="s">
        <v>74</v>
      </c>
      <c r="BB709">
        <v>102</v>
      </c>
      <c r="BC709">
        <v>110</v>
      </c>
      <c r="BD709" t="s">
        <v>74</v>
      </c>
      <c r="BE709" t="s">
        <v>13819</v>
      </c>
      <c r="BF709" t="str">
        <f>HYPERLINK("http://dx.doi.org/10.1016/j.wem.2017.09.013","http://dx.doi.org/10.1016/j.wem.2017.09.013")</f>
        <v>http://dx.doi.org/10.1016/j.wem.2017.09.013</v>
      </c>
      <c r="BG709" t="s">
        <v>74</v>
      </c>
      <c r="BH709" t="s">
        <v>74</v>
      </c>
      <c r="BI709">
        <v>9</v>
      </c>
      <c r="BJ709" t="s">
        <v>13820</v>
      </c>
      <c r="BK709" t="s">
        <v>101</v>
      </c>
      <c r="BL709" t="s">
        <v>13820</v>
      </c>
      <c r="BM709" t="s">
        <v>13821</v>
      </c>
      <c r="BN709">
        <v>29373217</v>
      </c>
      <c r="BO709" t="s">
        <v>162</v>
      </c>
      <c r="BP709" t="s">
        <v>74</v>
      </c>
      <c r="BQ709" t="s">
        <v>74</v>
      </c>
      <c r="BR709" t="s">
        <v>105</v>
      </c>
      <c r="BS709" t="s">
        <v>13822</v>
      </c>
      <c r="BT709" t="str">
        <f>HYPERLINK("https%3A%2F%2Fwww.webofscience.com%2Fwos%2Fwoscc%2Ffull-record%2FWOS:000427807200016","View Full Record in Web of Science")</f>
        <v>View Full Record in Web of Science</v>
      </c>
    </row>
    <row r="710" spans="1:72" x14ac:dyDescent="0.15">
      <c r="A710" t="s">
        <v>72</v>
      </c>
      <c r="B710" t="s">
        <v>13823</v>
      </c>
      <c r="C710" t="s">
        <v>74</v>
      </c>
      <c r="D710" t="s">
        <v>74</v>
      </c>
      <c r="E710" t="s">
        <v>74</v>
      </c>
      <c r="F710" t="s">
        <v>13824</v>
      </c>
      <c r="G710" t="s">
        <v>74</v>
      </c>
      <c r="H710" t="s">
        <v>74</v>
      </c>
      <c r="I710" t="s">
        <v>13825</v>
      </c>
      <c r="J710" t="s">
        <v>13826</v>
      </c>
      <c r="K710" t="s">
        <v>74</v>
      </c>
      <c r="L710" t="s">
        <v>74</v>
      </c>
      <c r="M710" t="s">
        <v>78</v>
      </c>
      <c r="N710" t="s">
        <v>79</v>
      </c>
      <c r="O710" t="s">
        <v>74</v>
      </c>
      <c r="P710" t="s">
        <v>74</v>
      </c>
      <c r="Q710" t="s">
        <v>74</v>
      </c>
      <c r="R710" t="s">
        <v>74</v>
      </c>
      <c r="S710" t="s">
        <v>74</v>
      </c>
      <c r="T710" t="s">
        <v>13827</v>
      </c>
      <c r="U710" t="s">
        <v>13828</v>
      </c>
      <c r="V710" t="s">
        <v>13829</v>
      </c>
      <c r="W710" t="s">
        <v>13830</v>
      </c>
      <c r="X710" t="s">
        <v>4948</v>
      </c>
      <c r="Y710" t="s">
        <v>13831</v>
      </c>
      <c r="Z710" t="s">
        <v>13832</v>
      </c>
      <c r="AA710" t="s">
        <v>74</v>
      </c>
      <c r="AB710" t="s">
        <v>74</v>
      </c>
      <c r="AC710" t="s">
        <v>13833</v>
      </c>
      <c r="AD710" t="s">
        <v>9617</v>
      </c>
      <c r="AE710" t="s">
        <v>74</v>
      </c>
      <c r="AF710" t="s">
        <v>74</v>
      </c>
      <c r="AG710">
        <v>64</v>
      </c>
      <c r="AH710">
        <v>35</v>
      </c>
      <c r="AI710">
        <v>36</v>
      </c>
      <c r="AJ710">
        <v>3</v>
      </c>
      <c r="AK710">
        <v>50</v>
      </c>
      <c r="AL710" t="s">
        <v>5341</v>
      </c>
      <c r="AM710" t="s">
        <v>5342</v>
      </c>
      <c r="AN710" t="s">
        <v>5343</v>
      </c>
      <c r="AO710" t="s">
        <v>13834</v>
      </c>
      <c r="AP710" t="s">
        <v>13835</v>
      </c>
      <c r="AQ710" t="s">
        <v>74</v>
      </c>
      <c r="AR710" t="s">
        <v>13836</v>
      </c>
      <c r="AS710" t="s">
        <v>13837</v>
      </c>
      <c r="AT710" t="s">
        <v>11811</v>
      </c>
      <c r="AU710">
        <v>2018</v>
      </c>
      <c r="AV710">
        <v>191</v>
      </c>
      <c r="AW710">
        <v>3</v>
      </c>
      <c r="AX710" t="s">
        <v>74</v>
      </c>
      <c r="AY710" t="s">
        <v>74</v>
      </c>
      <c r="AZ710" t="s">
        <v>74</v>
      </c>
      <c r="BA710" t="s">
        <v>74</v>
      </c>
      <c r="BB710">
        <v>343</v>
      </c>
      <c r="BC710">
        <v>351</v>
      </c>
      <c r="BD710" t="s">
        <v>74</v>
      </c>
      <c r="BE710" t="s">
        <v>13838</v>
      </c>
      <c r="BF710" t="str">
        <f>HYPERLINK("http://dx.doi.org/10.1086/695767","http://dx.doi.org/10.1086/695767")</f>
        <v>http://dx.doi.org/10.1086/695767</v>
      </c>
      <c r="BG710" t="s">
        <v>74</v>
      </c>
      <c r="BH710" t="s">
        <v>74</v>
      </c>
      <c r="BI710">
        <v>9</v>
      </c>
      <c r="BJ710" t="s">
        <v>483</v>
      </c>
      <c r="BK710" t="s">
        <v>101</v>
      </c>
      <c r="BL710" t="s">
        <v>485</v>
      </c>
      <c r="BM710" t="s">
        <v>13839</v>
      </c>
      <c r="BN710" t="s">
        <v>74</v>
      </c>
      <c r="BO710" t="s">
        <v>1085</v>
      </c>
      <c r="BP710" t="s">
        <v>74</v>
      </c>
      <c r="BQ710" t="s">
        <v>74</v>
      </c>
      <c r="BR710" t="s">
        <v>105</v>
      </c>
      <c r="BS710" t="s">
        <v>13840</v>
      </c>
      <c r="BT710" t="str">
        <f>HYPERLINK("https%3A%2F%2Fwww.webofscience.com%2Fwos%2Fwoscc%2Ffull-record%2FWOS:000427588400008","View Full Record in Web of Science")</f>
        <v>View Full Record in Web of Science</v>
      </c>
    </row>
    <row r="711" spans="1:72" x14ac:dyDescent="0.15">
      <c r="A711" t="s">
        <v>72</v>
      </c>
      <c r="B711" t="s">
        <v>13841</v>
      </c>
      <c r="C711" t="s">
        <v>74</v>
      </c>
      <c r="D711" t="s">
        <v>74</v>
      </c>
      <c r="E711" t="s">
        <v>74</v>
      </c>
      <c r="F711" t="s">
        <v>13842</v>
      </c>
      <c r="G711" t="s">
        <v>74</v>
      </c>
      <c r="H711" t="s">
        <v>74</v>
      </c>
      <c r="I711" t="s">
        <v>13843</v>
      </c>
      <c r="J711" t="s">
        <v>13844</v>
      </c>
      <c r="K711" t="s">
        <v>74</v>
      </c>
      <c r="L711" t="s">
        <v>74</v>
      </c>
      <c r="M711" t="s">
        <v>78</v>
      </c>
      <c r="N711" t="s">
        <v>79</v>
      </c>
      <c r="O711" t="s">
        <v>74</v>
      </c>
      <c r="P711" t="s">
        <v>74</v>
      </c>
      <c r="Q711" t="s">
        <v>74</v>
      </c>
      <c r="R711" t="s">
        <v>74</v>
      </c>
      <c r="S711" t="s">
        <v>74</v>
      </c>
      <c r="T711" t="s">
        <v>74</v>
      </c>
      <c r="U711" t="s">
        <v>13845</v>
      </c>
      <c r="V711" t="s">
        <v>13846</v>
      </c>
      <c r="W711" t="s">
        <v>13847</v>
      </c>
      <c r="X711" t="s">
        <v>13848</v>
      </c>
      <c r="Y711" t="s">
        <v>13849</v>
      </c>
      <c r="Z711" t="s">
        <v>13850</v>
      </c>
      <c r="AA711" t="s">
        <v>13851</v>
      </c>
      <c r="AB711" t="s">
        <v>13852</v>
      </c>
      <c r="AC711" t="s">
        <v>13853</v>
      </c>
      <c r="AD711" t="s">
        <v>13854</v>
      </c>
      <c r="AE711" t="s">
        <v>13855</v>
      </c>
      <c r="AF711" t="s">
        <v>74</v>
      </c>
      <c r="AG711">
        <v>32</v>
      </c>
      <c r="AH711">
        <v>20</v>
      </c>
      <c r="AI711">
        <v>27</v>
      </c>
      <c r="AJ711">
        <v>3</v>
      </c>
      <c r="AK711">
        <v>25</v>
      </c>
      <c r="AL711" t="s">
        <v>13856</v>
      </c>
      <c r="AM711" t="s">
        <v>13857</v>
      </c>
      <c r="AN711" t="s">
        <v>13858</v>
      </c>
      <c r="AO711" t="s">
        <v>13859</v>
      </c>
      <c r="AP711" t="s">
        <v>74</v>
      </c>
      <c r="AQ711" t="s">
        <v>74</v>
      </c>
      <c r="AR711" t="s">
        <v>13860</v>
      </c>
      <c r="AS711" t="s">
        <v>13861</v>
      </c>
      <c r="AT711" t="s">
        <v>11811</v>
      </c>
      <c r="AU711">
        <v>2018</v>
      </c>
      <c r="AV711">
        <v>23</v>
      </c>
      <c r="AW711">
        <v>1</v>
      </c>
      <c r="AX711" t="s">
        <v>74</v>
      </c>
      <c r="AY711" t="s">
        <v>74</v>
      </c>
      <c r="AZ711" t="s">
        <v>508</v>
      </c>
      <c r="BA711" t="s">
        <v>74</v>
      </c>
      <c r="BB711">
        <v>1</v>
      </c>
      <c r="BC711">
        <v>13</v>
      </c>
      <c r="BD711" t="s">
        <v>74</v>
      </c>
      <c r="BE711" t="s">
        <v>13862</v>
      </c>
      <c r="BF711" t="str">
        <f>HYPERLINK("http://dx.doi.org/10.2113/JEEG23.1.1","http://dx.doi.org/10.2113/JEEG23.1.1")</f>
        <v>http://dx.doi.org/10.2113/JEEG23.1.1</v>
      </c>
      <c r="BG711" t="s">
        <v>74</v>
      </c>
      <c r="BH711" t="s">
        <v>74</v>
      </c>
      <c r="BI711">
        <v>13</v>
      </c>
      <c r="BJ711" t="s">
        <v>13863</v>
      </c>
      <c r="BK711" t="s">
        <v>101</v>
      </c>
      <c r="BL711" t="s">
        <v>13864</v>
      </c>
      <c r="BM711" t="s">
        <v>13865</v>
      </c>
      <c r="BN711" t="s">
        <v>74</v>
      </c>
      <c r="BO711" t="s">
        <v>74</v>
      </c>
      <c r="BP711" t="s">
        <v>74</v>
      </c>
      <c r="BQ711" t="s">
        <v>74</v>
      </c>
      <c r="BR711" t="s">
        <v>105</v>
      </c>
      <c r="BS711" t="s">
        <v>13866</v>
      </c>
      <c r="BT711" t="str">
        <f>HYPERLINK("https%3A%2F%2Fwww.webofscience.com%2Fwos%2Fwoscc%2Ffull-record%2FWOS:000427796100003","View Full Record in Web of Science")</f>
        <v>View Full Record in Web of Science</v>
      </c>
    </row>
    <row r="712" spans="1:72" x14ac:dyDescent="0.15">
      <c r="A712" t="s">
        <v>72</v>
      </c>
      <c r="B712" t="s">
        <v>13867</v>
      </c>
      <c r="C712" t="s">
        <v>74</v>
      </c>
      <c r="D712" t="s">
        <v>74</v>
      </c>
      <c r="E712" t="s">
        <v>74</v>
      </c>
      <c r="F712" t="s">
        <v>13868</v>
      </c>
      <c r="G712" t="s">
        <v>74</v>
      </c>
      <c r="H712" t="s">
        <v>74</v>
      </c>
      <c r="I712" t="s">
        <v>13869</v>
      </c>
      <c r="J712" t="s">
        <v>786</v>
      </c>
      <c r="K712" t="s">
        <v>74</v>
      </c>
      <c r="L712" t="s">
        <v>74</v>
      </c>
      <c r="M712" t="s">
        <v>78</v>
      </c>
      <c r="N712" t="s">
        <v>79</v>
      </c>
      <c r="O712" t="s">
        <v>74</v>
      </c>
      <c r="P712" t="s">
        <v>74</v>
      </c>
      <c r="Q712" t="s">
        <v>74</v>
      </c>
      <c r="R712" t="s">
        <v>74</v>
      </c>
      <c r="S712" t="s">
        <v>74</v>
      </c>
      <c r="T712" t="s">
        <v>13870</v>
      </c>
      <c r="U712" t="s">
        <v>13871</v>
      </c>
      <c r="V712" t="s">
        <v>13872</v>
      </c>
      <c r="W712" t="s">
        <v>13873</v>
      </c>
      <c r="X712" t="s">
        <v>13874</v>
      </c>
      <c r="Y712" t="s">
        <v>13875</v>
      </c>
      <c r="Z712" t="s">
        <v>13876</v>
      </c>
      <c r="AA712" t="s">
        <v>74</v>
      </c>
      <c r="AB712" t="s">
        <v>74</v>
      </c>
      <c r="AC712" t="s">
        <v>13877</v>
      </c>
      <c r="AD712" t="s">
        <v>13878</v>
      </c>
      <c r="AE712" t="s">
        <v>13879</v>
      </c>
      <c r="AF712" t="s">
        <v>74</v>
      </c>
      <c r="AG712">
        <v>28</v>
      </c>
      <c r="AH712">
        <v>8</v>
      </c>
      <c r="AI712">
        <v>9</v>
      </c>
      <c r="AJ712">
        <v>0</v>
      </c>
      <c r="AK712">
        <v>5</v>
      </c>
      <c r="AL712" t="s">
        <v>914</v>
      </c>
      <c r="AM712" t="s">
        <v>452</v>
      </c>
      <c r="AN712" t="s">
        <v>915</v>
      </c>
      <c r="AO712" t="s">
        <v>798</v>
      </c>
      <c r="AP712" t="s">
        <v>799</v>
      </c>
      <c r="AQ712" t="s">
        <v>74</v>
      </c>
      <c r="AR712" t="s">
        <v>800</v>
      </c>
      <c r="AS712" t="s">
        <v>801</v>
      </c>
      <c r="AT712" t="s">
        <v>11811</v>
      </c>
      <c r="AU712">
        <v>2018</v>
      </c>
      <c r="AV712">
        <v>15</v>
      </c>
      <c r="AW712" t="s">
        <v>74</v>
      </c>
      <c r="AX712" t="s">
        <v>74</v>
      </c>
      <c r="AY712" t="s">
        <v>74</v>
      </c>
      <c r="AZ712" t="s">
        <v>74</v>
      </c>
      <c r="BA712" t="s">
        <v>74</v>
      </c>
      <c r="BB712">
        <v>24</v>
      </c>
      <c r="BC712">
        <v>28</v>
      </c>
      <c r="BD712" t="s">
        <v>74</v>
      </c>
      <c r="BE712" t="s">
        <v>13880</v>
      </c>
      <c r="BF712" t="str">
        <f>HYPERLINK("http://dx.doi.org/10.1016/j.polar.2017.12.001","http://dx.doi.org/10.1016/j.polar.2017.12.001")</f>
        <v>http://dx.doi.org/10.1016/j.polar.2017.12.001</v>
      </c>
      <c r="BG712" t="s">
        <v>74</v>
      </c>
      <c r="BH712" t="s">
        <v>74</v>
      </c>
      <c r="BI712">
        <v>5</v>
      </c>
      <c r="BJ712" t="s">
        <v>803</v>
      </c>
      <c r="BK712" t="s">
        <v>101</v>
      </c>
      <c r="BL712" t="s">
        <v>804</v>
      </c>
      <c r="BM712" t="s">
        <v>12553</v>
      </c>
      <c r="BN712" t="s">
        <v>74</v>
      </c>
      <c r="BO712" t="s">
        <v>74</v>
      </c>
      <c r="BP712" t="s">
        <v>74</v>
      </c>
      <c r="BQ712" t="s">
        <v>74</v>
      </c>
      <c r="BR712" t="s">
        <v>105</v>
      </c>
      <c r="BS712" t="s">
        <v>13881</v>
      </c>
      <c r="BT712" t="str">
        <f>HYPERLINK("https%3A%2F%2Fwww.webofscience.com%2Fwos%2Fwoscc%2Ffull-record%2FWOS:000427579100003","View Full Record in Web of Science")</f>
        <v>View Full Record in Web of Science</v>
      </c>
    </row>
    <row r="713" spans="1:72" x14ac:dyDescent="0.15">
      <c r="A713" t="s">
        <v>72</v>
      </c>
      <c r="B713" t="s">
        <v>13882</v>
      </c>
      <c r="C713" t="s">
        <v>74</v>
      </c>
      <c r="D713" t="s">
        <v>74</v>
      </c>
      <c r="E713" t="s">
        <v>74</v>
      </c>
      <c r="F713" t="s">
        <v>13883</v>
      </c>
      <c r="G713" t="s">
        <v>74</v>
      </c>
      <c r="H713" t="s">
        <v>74</v>
      </c>
      <c r="I713" t="s">
        <v>13884</v>
      </c>
      <c r="J713" t="s">
        <v>786</v>
      </c>
      <c r="K713" t="s">
        <v>74</v>
      </c>
      <c r="L713" t="s">
        <v>74</v>
      </c>
      <c r="M713" t="s">
        <v>78</v>
      </c>
      <c r="N713" t="s">
        <v>79</v>
      </c>
      <c r="O713" t="s">
        <v>74</v>
      </c>
      <c r="P713" t="s">
        <v>74</v>
      </c>
      <c r="Q713" t="s">
        <v>74</v>
      </c>
      <c r="R713" t="s">
        <v>74</v>
      </c>
      <c r="S713" t="s">
        <v>74</v>
      </c>
      <c r="T713" t="s">
        <v>13885</v>
      </c>
      <c r="U713" t="s">
        <v>13886</v>
      </c>
      <c r="V713" t="s">
        <v>13887</v>
      </c>
      <c r="W713" t="s">
        <v>13888</v>
      </c>
      <c r="X713" t="s">
        <v>13889</v>
      </c>
      <c r="Y713" t="s">
        <v>13890</v>
      </c>
      <c r="Z713" t="s">
        <v>13891</v>
      </c>
      <c r="AA713" t="s">
        <v>13892</v>
      </c>
      <c r="AB713" t="s">
        <v>13893</v>
      </c>
      <c r="AC713" t="s">
        <v>13894</v>
      </c>
      <c r="AD713" t="s">
        <v>13895</v>
      </c>
      <c r="AE713" t="s">
        <v>13896</v>
      </c>
      <c r="AF713" t="s">
        <v>74</v>
      </c>
      <c r="AG713">
        <v>58</v>
      </c>
      <c r="AH713">
        <v>21</v>
      </c>
      <c r="AI713">
        <v>21</v>
      </c>
      <c r="AJ713">
        <v>2</v>
      </c>
      <c r="AK713">
        <v>24</v>
      </c>
      <c r="AL713" t="s">
        <v>451</v>
      </c>
      <c r="AM713" t="s">
        <v>452</v>
      </c>
      <c r="AN713" t="s">
        <v>453</v>
      </c>
      <c r="AO713" t="s">
        <v>798</v>
      </c>
      <c r="AP713" t="s">
        <v>799</v>
      </c>
      <c r="AQ713" t="s">
        <v>74</v>
      </c>
      <c r="AR713" t="s">
        <v>800</v>
      </c>
      <c r="AS713" t="s">
        <v>801</v>
      </c>
      <c r="AT713" t="s">
        <v>11811</v>
      </c>
      <c r="AU713">
        <v>2018</v>
      </c>
      <c r="AV713">
        <v>15</v>
      </c>
      <c r="AW713" t="s">
        <v>74</v>
      </c>
      <c r="AX713" t="s">
        <v>74</v>
      </c>
      <c r="AY713" t="s">
        <v>74</v>
      </c>
      <c r="AZ713" t="s">
        <v>74</v>
      </c>
      <c r="BA713" t="s">
        <v>74</v>
      </c>
      <c r="BB713">
        <v>49</v>
      </c>
      <c r="BC713">
        <v>54</v>
      </c>
      <c r="BD713" t="s">
        <v>74</v>
      </c>
      <c r="BE713" t="s">
        <v>13897</v>
      </c>
      <c r="BF713" t="str">
        <f>HYPERLINK("http://dx.doi.org/10.1016/j.polar.2017.10.004","http://dx.doi.org/10.1016/j.polar.2017.10.004")</f>
        <v>http://dx.doi.org/10.1016/j.polar.2017.10.004</v>
      </c>
      <c r="BG713" t="s">
        <v>74</v>
      </c>
      <c r="BH713" t="s">
        <v>74</v>
      </c>
      <c r="BI713">
        <v>6</v>
      </c>
      <c r="BJ713" t="s">
        <v>803</v>
      </c>
      <c r="BK713" t="s">
        <v>101</v>
      </c>
      <c r="BL713" t="s">
        <v>804</v>
      </c>
      <c r="BM713" t="s">
        <v>12553</v>
      </c>
      <c r="BN713" t="s">
        <v>74</v>
      </c>
      <c r="BO713" t="s">
        <v>74</v>
      </c>
      <c r="BP713" t="s">
        <v>74</v>
      </c>
      <c r="BQ713" t="s">
        <v>74</v>
      </c>
      <c r="BR713" t="s">
        <v>105</v>
      </c>
      <c r="BS713" t="s">
        <v>13898</v>
      </c>
      <c r="BT713" t="str">
        <f>HYPERLINK("https%3A%2F%2Fwww.webofscience.com%2Fwos%2Fwoscc%2Ffull-record%2FWOS:000427579100006","View Full Record in Web of Science")</f>
        <v>View Full Record in Web of Science</v>
      </c>
    </row>
    <row r="714" spans="1:72" x14ac:dyDescent="0.15">
      <c r="A714" t="s">
        <v>72</v>
      </c>
      <c r="B714" t="s">
        <v>13899</v>
      </c>
      <c r="C714" t="s">
        <v>74</v>
      </c>
      <c r="D714" t="s">
        <v>74</v>
      </c>
      <c r="E714" t="s">
        <v>74</v>
      </c>
      <c r="F714" t="s">
        <v>13900</v>
      </c>
      <c r="G714" t="s">
        <v>74</v>
      </c>
      <c r="H714" t="s">
        <v>74</v>
      </c>
      <c r="I714" t="s">
        <v>13901</v>
      </c>
      <c r="J714" t="s">
        <v>13902</v>
      </c>
      <c r="K714" t="s">
        <v>74</v>
      </c>
      <c r="L714" t="s">
        <v>74</v>
      </c>
      <c r="M714" t="s">
        <v>78</v>
      </c>
      <c r="N714" t="s">
        <v>79</v>
      </c>
      <c r="O714" t="s">
        <v>74</v>
      </c>
      <c r="P714" t="s">
        <v>74</v>
      </c>
      <c r="Q714" t="s">
        <v>74</v>
      </c>
      <c r="R714" t="s">
        <v>74</v>
      </c>
      <c r="S714" t="s">
        <v>74</v>
      </c>
      <c r="T714" t="s">
        <v>13903</v>
      </c>
      <c r="U714" t="s">
        <v>13904</v>
      </c>
      <c r="V714" t="s">
        <v>13905</v>
      </c>
      <c r="W714" t="s">
        <v>13906</v>
      </c>
      <c r="X714" t="s">
        <v>13907</v>
      </c>
      <c r="Y714" t="s">
        <v>13908</v>
      </c>
      <c r="Z714" t="s">
        <v>13909</v>
      </c>
      <c r="AA714" t="s">
        <v>13910</v>
      </c>
      <c r="AB714" t="s">
        <v>13911</v>
      </c>
      <c r="AC714" t="s">
        <v>74</v>
      </c>
      <c r="AD714" t="s">
        <v>74</v>
      </c>
      <c r="AE714" t="s">
        <v>74</v>
      </c>
      <c r="AF714" t="s">
        <v>74</v>
      </c>
      <c r="AG714">
        <v>48</v>
      </c>
      <c r="AH714">
        <v>28</v>
      </c>
      <c r="AI714">
        <v>28</v>
      </c>
      <c r="AJ714">
        <v>2</v>
      </c>
      <c r="AK714">
        <v>13</v>
      </c>
      <c r="AL714" t="s">
        <v>91</v>
      </c>
      <c r="AM714" t="s">
        <v>92</v>
      </c>
      <c r="AN714" t="s">
        <v>93</v>
      </c>
      <c r="AO714" t="s">
        <v>13912</v>
      </c>
      <c r="AP714" t="s">
        <v>13913</v>
      </c>
      <c r="AQ714" t="s">
        <v>74</v>
      </c>
      <c r="AR714" t="s">
        <v>13914</v>
      </c>
      <c r="AS714" t="s">
        <v>13915</v>
      </c>
      <c r="AT714" t="s">
        <v>11811</v>
      </c>
      <c r="AU714">
        <v>2018</v>
      </c>
      <c r="AV714">
        <v>77</v>
      </c>
      <c r="AW714">
        <v>5</v>
      </c>
      <c r="AX714" t="s">
        <v>74</v>
      </c>
      <c r="AY714" t="s">
        <v>74</v>
      </c>
      <c r="AZ714" t="s">
        <v>74</v>
      </c>
      <c r="BA714" t="s">
        <v>74</v>
      </c>
      <c r="BB714" t="s">
        <v>74</v>
      </c>
      <c r="BC714" t="s">
        <v>74</v>
      </c>
      <c r="BD714">
        <v>190</v>
      </c>
      <c r="BE714" t="s">
        <v>13916</v>
      </c>
      <c r="BF714" t="str">
        <f>HYPERLINK("http://dx.doi.org/10.1007/s12665-018-7379-5","http://dx.doi.org/10.1007/s12665-018-7379-5")</f>
        <v>http://dx.doi.org/10.1007/s12665-018-7379-5</v>
      </c>
      <c r="BG714" t="s">
        <v>74</v>
      </c>
      <c r="BH714" t="s">
        <v>74</v>
      </c>
      <c r="BI714">
        <v>12</v>
      </c>
      <c r="BJ714" t="s">
        <v>13917</v>
      </c>
      <c r="BK714" t="s">
        <v>101</v>
      </c>
      <c r="BL714" t="s">
        <v>13918</v>
      </c>
      <c r="BM714" t="s">
        <v>13919</v>
      </c>
      <c r="BN714" t="s">
        <v>74</v>
      </c>
      <c r="BO714" t="s">
        <v>74</v>
      </c>
      <c r="BP714" t="s">
        <v>74</v>
      </c>
      <c r="BQ714" t="s">
        <v>74</v>
      </c>
      <c r="BR714" t="s">
        <v>105</v>
      </c>
      <c r="BS714" t="s">
        <v>13920</v>
      </c>
      <c r="BT714" t="str">
        <f>HYPERLINK("https%3A%2F%2Fwww.webofscience.com%2Fwos%2Fwoscc%2Ffull-record%2FWOS:000427354000046","View Full Record in Web of Science")</f>
        <v>View Full Record in Web of Science</v>
      </c>
    </row>
    <row r="715" spans="1:72" x14ac:dyDescent="0.15">
      <c r="A715" t="s">
        <v>72</v>
      </c>
      <c r="B715" t="s">
        <v>13921</v>
      </c>
      <c r="C715" t="s">
        <v>74</v>
      </c>
      <c r="D715" t="s">
        <v>74</v>
      </c>
      <c r="E715" t="s">
        <v>74</v>
      </c>
      <c r="F715" t="s">
        <v>13922</v>
      </c>
      <c r="G715" t="s">
        <v>74</v>
      </c>
      <c r="H715" t="s">
        <v>74</v>
      </c>
      <c r="I715" t="s">
        <v>13923</v>
      </c>
      <c r="J715" t="s">
        <v>4090</v>
      </c>
      <c r="K715" t="s">
        <v>74</v>
      </c>
      <c r="L715" t="s">
        <v>74</v>
      </c>
      <c r="M715" t="s">
        <v>78</v>
      </c>
      <c r="N715" t="s">
        <v>79</v>
      </c>
      <c r="O715" t="s">
        <v>74</v>
      </c>
      <c r="P715" t="s">
        <v>74</v>
      </c>
      <c r="Q715" t="s">
        <v>74</v>
      </c>
      <c r="R715" t="s">
        <v>74</v>
      </c>
      <c r="S715" t="s">
        <v>74</v>
      </c>
      <c r="T715" t="s">
        <v>13924</v>
      </c>
      <c r="U715" t="s">
        <v>13925</v>
      </c>
      <c r="V715" t="s">
        <v>13926</v>
      </c>
      <c r="W715" t="s">
        <v>13927</v>
      </c>
      <c r="X715" t="s">
        <v>13928</v>
      </c>
      <c r="Y715" t="s">
        <v>13929</v>
      </c>
      <c r="Z715" t="s">
        <v>13930</v>
      </c>
      <c r="AA715" t="s">
        <v>13931</v>
      </c>
      <c r="AB715" t="s">
        <v>13932</v>
      </c>
      <c r="AC715" t="s">
        <v>13933</v>
      </c>
      <c r="AD715" t="s">
        <v>13934</v>
      </c>
      <c r="AE715" t="s">
        <v>13935</v>
      </c>
      <c r="AF715" t="s">
        <v>74</v>
      </c>
      <c r="AG715">
        <v>68</v>
      </c>
      <c r="AH715">
        <v>30</v>
      </c>
      <c r="AI715">
        <v>32</v>
      </c>
      <c r="AJ715">
        <v>0</v>
      </c>
      <c r="AK715">
        <v>25</v>
      </c>
      <c r="AL715" t="s">
        <v>4099</v>
      </c>
      <c r="AM715" t="s">
        <v>4100</v>
      </c>
      <c r="AN715" t="s">
        <v>4101</v>
      </c>
      <c r="AO715" t="s">
        <v>4102</v>
      </c>
      <c r="AP715" t="s">
        <v>4103</v>
      </c>
      <c r="AQ715" t="s">
        <v>74</v>
      </c>
      <c r="AR715" t="s">
        <v>4104</v>
      </c>
      <c r="AS715" t="s">
        <v>4105</v>
      </c>
      <c r="AT715" t="s">
        <v>11811</v>
      </c>
      <c r="AU715">
        <v>2018</v>
      </c>
      <c r="AV715">
        <v>221</v>
      </c>
      <c r="AW715">
        <v>5</v>
      </c>
      <c r="AX715" t="s">
        <v>74</v>
      </c>
      <c r="AY715" t="s">
        <v>74</v>
      </c>
      <c r="AZ715" t="s">
        <v>74</v>
      </c>
      <c r="BA715" t="s">
        <v>74</v>
      </c>
      <c r="BB715" t="s">
        <v>74</v>
      </c>
      <c r="BC715" t="s">
        <v>74</v>
      </c>
      <c r="BD715" t="s">
        <v>13936</v>
      </c>
      <c r="BE715" t="s">
        <v>13937</v>
      </c>
      <c r="BF715" t="str">
        <f>HYPERLINK("http://dx.doi.org/10.1242/jeb.166975","http://dx.doi.org/10.1242/jeb.166975")</f>
        <v>http://dx.doi.org/10.1242/jeb.166975</v>
      </c>
      <c r="BG715" t="s">
        <v>74</v>
      </c>
      <c r="BH715" t="s">
        <v>74</v>
      </c>
      <c r="BI715">
        <v>9</v>
      </c>
      <c r="BJ715" t="s">
        <v>4108</v>
      </c>
      <c r="BK715" t="s">
        <v>101</v>
      </c>
      <c r="BL715" t="s">
        <v>4109</v>
      </c>
      <c r="BM715" t="s">
        <v>13938</v>
      </c>
      <c r="BN715">
        <v>29361579</v>
      </c>
      <c r="BO715" t="s">
        <v>341</v>
      </c>
      <c r="BP715" t="s">
        <v>74</v>
      </c>
      <c r="BQ715" t="s">
        <v>74</v>
      </c>
      <c r="BR715" t="s">
        <v>105</v>
      </c>
      <c r="BS715" t="s">
        <v>13939</v>
      </c>
      <c r="BT715" t="str">
        <f>HYPERLINK("https%3A%2F%2Fwww.webofscience.com%2Fwos%2Fwoscc%2Ffull-record%2FWOS:000427353100004","View Full Record in Web of Science")</f>
        <v>View Full Record in Web of Science</v>
      </c>
    </row>
    <row r="716" spans="1:72" x14ac:dyDescent="0.15">
      <c r="A716" t="s">
        <v>72</v>
      </c>
      <c r="B716" t="s">
        <v>13940</v>
      </c>
      <c r="C716" t="s">
        <v>74</v>
      </c>
      <c r="D716" t="s">
        <v>74</v>
      </c>
      <c r="E716" t="s">
        <v>74</v>
      </c>
      <c r="F716" t="s">
        <v>13941</v>
      </c>
      <c r="G716" t="s">
        <v>74</v>
      </c>
      <c r="H716" t="s">
        <v>74</v>
      </c>
      <c r="I716" t="s">
        <v>13942</v>
      </c>
      <c r="J716" t="s">
        <v>4090</v>
      </c>
      <c r="K716" t="s">
        <v>74</v>
      </c>
      <c r="L716" t="s">
        <v>74</v>
      </c>
      <c r="M716" t="s">
        <v>78</v>
      </c>
      <c r="N716" t="s">
        <v>79</v>
      </c>
      <c r="O716" t="s">
        <v>74</v>
      </c>
      <c r="P716" t="s">
        <v>74</v>
      </c>
      <c r="Q716" t="s">
        <v>74</v>
      </c>
      <c r="R716" t="s">
        <v>74</v>
      </c>
      <c r="S716" t="s">
        <v>74</v>
      </c>
      <c r="T716" t="s">
        <v>13943</v>
      </c>
      <c r="U716" t="s">
        <v>13944</v>
      </c>
      <c r="V716" t="s">
        <v>13945</v>
      </c>
      <c r="W716" t="s">
        <v>13946</v>
      </c>
      <c r="X716" t="s">
        <v>13947</v>
      </c>
      <c r="Y716" t="s">
        <v>13948</v>
      </c>
      <c r="Z716" t="s">
        <v>13949</v>
      </c>
      <c r="AA716" t="s">
        <v>74</v>
      </c>
      <c r="AB716" t="s">
        <v>13950</v>
      </c>
      <c r="AC716" t="s">
        <v>13951</v>
      </c>
      <c r="AD716" t="s">
        <v>13952</v>
      </c>
      <c r="AE716" t="s">
        <v>13953</v>
      </c>
      <c r="AF716" t="s">
        <v>74</v>
      </c>
      <c r="AG716">
        <v>94</v>
      </c>
      <c r="AH716">
        <v>5</v>
      </c>
      <c r="AI716">
        <v>5</v>
      </c>
      <c r="AJ716">
        <v>0</v>
      </c>
      <c r="AK716">
        <v>13</v>
      </c>
      <c r="AL716" t="s">
        <v>4099</v>
      </c>
      <c r="AM716" t="s">
        <v>4100</v>
      </c>
      <c r="AN716" t="s">
        <v>4101</v>
      </c>
      <c r="AO716" t="s">
        <v>4102</v>
      </c>
      <c r="AP716" t="s">
        <v>4103</v>
      </c>
      <c r="AQ716" t="s">
        <v>74</v>
      </c>
      <c r="AR716" t="s">
        <v>4104</v>
      </c>
      <c r="AS716" t="s">
        <v>4105</v>
      </c>
      <c r="AT716" t="s">
        <v>11811</v>
      </c>
      <c r="AU716">
        <v>2018</v>
      </c>
      <c r="AV716">
        <v>221</v>
      </c>
      <c r="AW716">
        <v>5</v>
      </c>
      <c r="AX716" t="s">
        <v>74</v>
      </c>
      <c r="AY716" t="s">
        <v>74</v>
      </c>
      <c r="AZ716" t="s">
        <v>74</v>
      </c>
      <c r="BA716" t="s">
        <v>74</v>
      </c>
      <c r="BB716" t="s">
        <v>74</v>
      </c>
      <c r="BC716" t="s">
        <v>74</v>
      </c>
      <c r="BD716" t="s">
        <v>13954</v>
      </c>
      <c r="BE716" t="s">
        <v>13955</v>
      </c>
      <c r="BF716" t="str">
        <f>HYPERLINK("http://dx.doi.org/10.1242/jeb.162503","http://dx.doi.org/10.1242/jeb.162503")</f>
        <v>http://dx.doi.org/10.1242/jeb.162503</v>
      </c>
      <c r="BG716" t="s">
        <v>74</v>
      </c>
      <c r="BH716" t="s">
        <v>74</v>
      </c>
      <c r="BI716">
        <v>13</v>
      </c>
      <c r="BJ716" t="s">
        <v>4108</v>
      </c>
      <c r="BK716" t="s">
        <v>101</v>
      </c>
      <c r="BL716" t="s">
        <v>4109</v>
      </c>
      <c r="BM716" t="s">
        <v>13938</v>
      </c>
      <c r="BN716">
        <v>29361578</v>
      </c>
      <c r="BO716" t="s">
        <v>2416</v>
      </c>
      <c r="BP716" t="s">
        <v>74</v>
      </c>
      <c r="BQ716" t="s">
        <v>74</v>
      </c>
      <c r="BR716" t="s">
        <v>105</v>
      </c>
      <c r="BS716" t="s">
        <v>13956</v>
      </c>
      <c r="BT716" t="str">
        <f>HYPERLINK("https%3A%2F%2Fwww.webofscience.com%2Fwos%2Fwoscc%2Ffull-record%2FWOS:000427353100002","View Full Record in Web of Science")</f>
        <v>View Full Record in Web of Science</v>
      </c>
    </row>
    <row r="717" spans="1:72" x14ac:dyDescent="0.15">
      <c r="A717" t="s">
        <v>72</v>
      </c>
      <c r="B717" t="s">
        <v>13957</v>
      </c>
      <c r="C717" t="s">
        <v>74</v>
      </c>
      <c r="D717" t="s">
        <v>74</v>
      </c>
      <c r="E717" t="s">
        <v>74</v>
      </c>
      <c r="F717" t="s">
        <v>13958</v>
      </c>
      <c r="G717" t="s">
        <v>74</v>
      </c>
      <c r="H717" t="s">
        <v>74</v>
      </c>
      <c r="I717" t="s">
        <v>13959</v>
      </c>
      <c r="J717" t="s">
        <v>13960</v>
      </c>
      <c r="K717" t="s">
        <v>74</v>
      </c>
      <c r="L717" t="s">
        <v>74</v>
      </c>
      <c r="M717" t="s">
        <v>78</v>
      </c>
      <c r="N717" t="s">
        <v>52</v>
      </c>
      <c r="O717" t="s">
        <v>74</v>
      </c>
      <c r="P717" t="s">
        <v>74</v>
      </c>
      <c r="Q717" t="s">
        <v>74</v>
      </c>
      <c r="R717" t="s">
        <v>74</v>
      </c>
      <c r="S717" t="s">
        <v>74</v>
      </c>
      <c r="T717" t="s">
        <v>74</v>
      </c>
      <c r="U717" t="s">
        <v>74</v>
      </c>
      <c r="V717" t="s">
        <v>74</v>
      </c>
      <c r="W717" t="s">
        <v>13961</v>
      </c>
      <c r="X717" t="s">
        <v>13962</v>
      </c>
      <c r="Y717" t="s">
        <v>74</v>
      </c>
      <c r="Z717" t="s">
        <v>74</v>
      </c>
      <c r="AA717" t="s">
        <v>74</v>
      </c>
      <c r="AB717" t="s">
        <v>74</v>
      </c>
      <c r="AC717" t="s">
        <v>13963</v>
      </c>
      <c r="AD717" t="s">
        <v>13964</v>
      </c>
      <c r="AE717" t="s">
        <v>13965</v>
      </c>
      <c r="AF717" t="s">
        <v>74</v>
      </c>
      <c r="AG717">
        <v>0</v>
      </c>
      <c r="AH717">
        <v>0</v>
      </c>
      <c r="AI717">
        <v>0</v>
      </c>
      <c r="AJ717">
        <v>0</v>
      </c>
      <c r="AK717">
        <v>0</v>
      </c>
      <c r="AL717" t="s">
        <v>179</v>
      </c>
      <c r="AM717" t="s">
        <v>180</v>
      </c>
      <c r="AN717" t="s">
        <v>181</v>
      </c>
      <c r="AO717" t="s">
        <v>13966</v>
      </c>
      <c r="AP717" t="s">
        <v>13967</v>
      </c>
      <c r="AQ717" t="s">
        <v>74</v>
      </c>
      <c r="AR717" t="s">
        <v>13968</v>
      </c>
      <c r="AS717" t="s">
        <v>13969</v>
      </c>
      <c r="AT717" t="s">
        <v>11811</v>
      </c>
      <c r="AU717">
        <v>2018</v>
      </c>
      <c r="AV717">
        <v>122</v>
      </c>
      <c r="AW717" t="s">
        <v>74</v>
      </c>
      <c r="AX717" t="s">
        <v>74</v>
      </c>
      <c r="AY717">
        <v>2</v>
      </c>
      <c r="AZ717" t="s">
        <v>508</v>
      </c>
      <c r="BA717" t="s">
        <v>13970</v>
      </c>
      <c r="BB717">
        <v>46</v>
      </c>
      <c r="BC717">
        <v>46</v>
      </c>
      <c r="BD717" t="s">
        <v>74</v>
      </c>
      <c r="BE717" t="s">
        <v>74</v>
      </c>
      <c r="BF717" t="s">
        <v>74</v>
      </c>
      <c r="BG717" t="s">
        <v>74</v>
      </c>
      <c r="BH717" t="s">
        <v>74</v>
      </c>
      <c r="BI717">
        <v>1</v>
      </c>
      <c r="BJ717" t="s">
        <v>13971</v>
      </c>
      <c r="BK717" t="s">
        <v>101</v>
      </c>
      <c r="BL717" t="s">
        <v>13971</v>
      </c>
      <c r="BM717" t="s">
        <v>13972</v>
      </c>
      <c r="BN717" t="s">
        <v>74</v>
      </c>
      <c r="BO717" t="s">
        <v>74</v>
      </c>
      <c r="BP717" t="s">
        <v>74</v>
      </c>
      <c r="BQ717" t="s">
        <v>74</v>
      </c>
      <c r="BR717" t="s">
        <v>105</v>
      </c>
      <c r="BS717" t="s">
        <v>13973</v>
      </c>
      <c r="BT717" t="str">
        <f>HYPERLINK("https%3A%2F%2Fwww.webofscience.com%2Fwos%2Fwoscc%2Ffull-record%2FWOS:000427562000166","View Full Record in Web of Science")</f>
        <v>View Full Record in Web of Science</v>
      </c>
    </row>
    <row r="718" spans="1:72" x14ac:dyDescent="0.15">
      <c r="A718" t="s">
        <v>72</v>
      </c>
      <c r="B718" t="s">
        <v>13974</v>
      </c>
      <c r="C718" t="s">
        <v>74</v>
      </c>
      <c r="D718" t="s">
        <v>74</v>
      </c>
      <c r="E718" t="s">
        <v>74</v>
      </c>
      <c r="F718" t="s">
        <v>13975</v>
      </c>
      <c r="G718" t="s">
        <v>74</v>
      </c>
      <c r="H718" t="s">
        <v>74</v>
      </c>
      <c r="I718" t="s">
        <v>13976</v>
      </c>
      <c r="J718" t="s">
        <v>4994</v>
      </c>
      <c r="K718" t="s">
        <v>74</v>
      </c>
      <c r="L718" t="s">
        <v>74</v>
      </c>
      <c r="M718" t="s">
        <v>78</v>
      </c>
      <c r="N718" t="s">
        <v>79</v>
      </c>
      <c r="O718" t="s">
        <v>74</v>
      </c>
      <c r="P718" t="s">
        <v>74</v>
      </c>
      <c r="Q718" t="s">
        <v>74</v>
      </c>
      <c r="R718" t="s">
        <v>74</v>
      </c>
      <c r="S718" t="s">
        <v>74</v>
      </c>
      <c r="T718" t="s">
        <v>13977</v>
      </c>
      <c r="U718" t="s">
        <v>13978</v>
      </c>
      <c r="V718" t="s">
        <v>13979</v>
      </c>
      <c r="W718" t="s">
        <v>13980</v>
      </c>
      <c r="X718" t="s">
        <v>13981</v>
      </c>
      <c r="Y718" t="s">
        <v>13982</v>
      </c>
      <c r="Z718" t="s">
        <v>13983</v>
      </c>
      <c r="AA718" t="s">
        <v>13984</v>
      </c>
      <c r="AB718" t="s">
        <v>13985</v>
      </c>
      <c r="AC718" t="s">
        <v>13986</v>
      </c>
      <c r="AD718" t="s">
        <v>13987</v>
      </c>
      <c r="AE718" t="s">
        <v>13988</v>
      </c>
      <c r="AF718" t="s">
        <v>74</v>
      </c>
      <c r="AG718">
        <v>100</v>
      </c>
      <c r="AH718">
        <v>22</v>
      </c>
      <c r="AI718">
        <v>22</v>
      </c>
      <c r="AJ718">
        <v>0</v>
      </c>
      <c r="AK718">
        <v>12</v>
      </c>
      <c r="AL718" t="s">
        <v>91</v>
      </c>
      <c r="AM718" t="s">
        <v>92</v>
      </c>
      <c r="AN718" t="s">
        <v>93</v>
      </c>
      <c r="AO718" t="s">
        <v>5006</v>
      </c>
      <c r="AP718" t="s">
        <v>5007</v>
      </c>
      <c r="AQ718" t="s">
        <v>74</v>
      </c>
      <c r="AR718" t="s">
        <v>5008</v>
      </c>
      <c r="AS718" t="s">
        <v>5009</v>
      </c>
      <c r="AT718" t="s">
        <v>11811</v>
      </c>
      <c r="AU718">
        <v>2018</v>
      </c>
      <c r="AV718">
        <v>173</v>
      </c>
      <c r="AW718">
        <v>3</v>
      </c>
      <c r="AX718" t="s">
        <v>74</v>
      </c>
      <c r="AY718" t="s">
        <v>74</v>
      </c>
      <c r="AZ718" t="s">
        <v>74</v>
      </c>
      <c r="BA718" t="s">
        <v>74</v>
      </c>
      <c r="BB718" t="s">
        <v>74</v>
      </c>
      <c r="BC718" t="s">
        <v>74</v>
      </c>
      <c r="BD718">
        <v>21</v>
      </c>
      <c r="BE718" t="s">
        <v>13989</v>
      </c>
      <c r="BF718" t="str">
        <f>HYPERLINK("http://dx.doi.org/10.1007/s00410-018-1447-4","http://dx.doi.org/10.1007/s00410-018-1447-4")</f>
        <v>http://dx.doi.org/10.1007/s00410-018-1447-4</v>
      </c>
      <c r="BG718" t="s">
        <v>74</v>
      </c>
      <c r="BH718" t="s">
        <v>74</v>
      </c>
      <c r="BI718">
        <v>21</v>
      </c>
      <c r="BJ718" t="s">
        <v>5011</v>
      </c>
      <c r="BK718" t="s">
        <v>101</v>
      </c>
      <c r="BL718" t="s">
        <v>5011</v>
      </c>
      <c r="BM718" t="s">
        <v>13990</v>
      </c>
      <c r="BN718" t="s">
        <v>74</v>
      </c>
      <c r="BO718" t="s">
        <v>74</v>
      </c>
      <c r="BP718" t="s">
        <v>74</v>
      </c>
      <c r="BQ718" t="s">
        <v>74</v>
      </c>
      <c r="BR718" t="s">
        <v>105</v>
      </c>
      <c r="BS718" t="s">
        <v>13991</v>
      </c>
      <c r="BT718" t="str">
        <f>HYPERLINK("https%3A%2F%2Fwww.webofscience.com%2Fwos%2Fwoscc%2Ffull-record%2FWOS:000427307200003","View Full Record in Web of Science")</f>
        <v>View Full Record in Web of Science</v>
      </c>
    </row>
    <row r="719" spans="1:72" x14ac:dyDescent="0.15">
      <c r="A719" t="s">
        <v>72</v>
      </c>
      <c r="B719" t="s">
        <v>13992</v>
      </c>
      <c r="C719" t="s">
        <v>74</v>
      </c>
      <c r="D719" t="s">
        <v>74</v>
      </c>
      <c r="E719" t="s">
        <v>74</v>
      </c>
      <c r="F719" t="s">
        <v>13993</v>
      </c>
      <c r="G719" t="s">
        <v>74</v>
      </c>
      <c r="H719" t="s">
        <v>74</v>
      </c>
      <c r="I719" t="s">
        <v>13994</v>
      </c>
      <c r="J719" t="s">
        <v>13995</v>
      </c>
      <c r="K719" t="s">
        <v>74</v>
      </c>
      <c r="L719" t="s">
        <v>74</v>
      </c>
      <c r="M719" t="s">
        <v>78</v>
      </c>
      <c r="N719" t="s">
        <v>79</v>
      </c>
      <c r="O719" t="s">
        <v>74</v>
      </c>
      <c r="P719" t="s">
        <v>74</v>
      </c>
      <c r="Q719" t="s">
        <v>74</v>
      </c>
      <c r="R719" t="s">
        <v>74</v>
      </c>
      <c r="S719" t="s">
        <v>74</v>
      </c>
      <c r="T719" t="s">
        <v>74</v>
      </c>
      <c r="U719" t="s">
        <v>13996</v>
      </c>
      <c r="V719" t="s">
        <v>13997</v>
      </c>
      <c r="W719" t="s">
        <v>13998</v>
      </c>
      <c r="X719" t="s">
        <v>13999</v>
      </c>
      <c r="Y719" t="s">
        <v>14000</v>
      </c>
      <c r="Z719" t="s">
        <v>14001</v>
      </c>
      <c r="AA719" t="s">
        <v>74</v>
      </c>
      <c r="AB719" t="s">
        <v>14002</v>
      </c>
      <c r="AC719" t="s">
        <v>14003</v>
      </c>
      <c r="AD719" t="s">
        <v>14003</v>
      </c>
      <c r="AE719" t="s">
        <v>14004</v>
      </c>
      <c r="AF719" t="s">
        <v>74</v>
      </c>
      <c r="AG719">
        <v>8</v>
      </c>
      <c r="AH719">
        <v>3</v>
      </c>
      <c r="AI719">
        <v>3</v>
      </c>
      <c r="AJ719">
        <v>0</v>
      </c>
      <c r="AK719">
        <v>4</v>
      </c>
      <c r="AL719" t="s">
        <v>179</v>
      </c>
      <c r="AM719" t="s">
        <v>180</v>
      </c>
      <c r="AN719" t="s">
        <v>181</v>
      </c>
      <c r="AO719" t="s">
        <v>14005</v>
      </c>
      <c r="AP719" t="s">
        <v>14006</v>
      </c>
      <c r="AQ719" t="s">
        <v>74</v>
      </c>
      <c r="AR719" t="s">
        <v>14007</v>
      </c>
      <c r="AS719" t="s">
        <v>14008</v>
      </c>
      <c r="AT719" t="s">
        <v>11811</v>
      </c>
      <c r="AU719">
        <v>2018</v>
      </c>
      <c r="AV719">
        <v>32</v>
      </c>
      <c r="AW719">
        <v>3</v>
      </c>
      <c r="AX719" t="s">
        <v>74</v>
      </c>
      <c r="AY719" t="s">
        <v>74</v>
      </c>
      <c r="AZ719" t="s">
        <v>74</v>
      </c>
      <c r="BA719" t="s">
        <v>74</v>
      </c>
      <c r="BB719">
        <v>482</v>
      </c>
      <c r="BC719">
        <v>485</v>
      </c>
      <c r="BD719" t="s">
        <v>74</v>
      </c>
      <c r="BE719" t="s">
        <v>14009</v>
      </c>
      <c r="BF719" t="str">
        <f>HYPERLINK("http://dx.doi.org/10.1111/jdv.14482","http://dx.doi.org/10.1111/jdv.14482")</f>
        <v>http://dx.doi.org/10.1111/jdv.14482</v>
      </c>
      <c r="BG719" t="s">
        <v>74</v>
      </c>
      <c r="BH719" t="s">
        <v>74</v>
      </c>
      <c r="BI719">
        <v>4</v>
      </c>
      <c r="BJ719" t="s">
        <v>14010</v>
      </c>
      <c r="BK719" t="s">
        <v>101</v>
      </c>
      <c r="BL719" t="s">
        <v>14010</v>
      </c>
      <c r="BM719" t="s">
        <v>14011</v>
      </c>
      <c r="BN719">
        <v>28750154</v>
      </c>
      <c r="BO719" t="s">
        <v>74</v>
      </c>
      <c r="BP719" t="s">
        <v>74</v>
      </c>
      <c r="BQ719" t="s">
        <v>74</v>
      </c>
      <c r="BR719" t="s">
        <v>105</v>
      </c>
      <c r="BS719" t="s">
        <v>14012</v>
      </c>
      <c r="BT719" t="str">
        <f>HYPERLINK("https%3A%2F%2Fwww.webofscience.com%2Fwos%2Fwoscc%2Ffull-record%2FWOS:000427481900048","View Full Record in Web of Science")</f>
        <v>View Full Record in Web of Science</v>
      </c>
    </row>
    <row r="720" spans="1:72" x14ac:dyDescent="0.15">
      <c r="A720" t="s">
        <v>72</v>
      </c>
      <c r="B720" t="s">
        <v>14013</v>
      </c>
      <c r="C720" t="s">
        <v>74</v>
      </c>
      <c r="D720" t="s">
        <v>74</v>
      </c>
      <c r="E720" t="s">
        <v>74</v>
      </c>
      <c r="F720" t="s">
        <v>14014</v>
      </c>
      <c r="G720" t="s">
        <v>74</v>
      </c>
      <c r="H720" t="s">
        <v>74</v>
      </c>
      <c r="I720" t="s">
        <v>14015</v>
      </c>
      <c r="J720" t="s">
        <v>346</v>
      </c>
      <c r="K720" t="s">
        <v>74</v>
      </c>
      <c r="L720" t="s">
        <v>74</v>
      </c>
      <c r="M720" t="s">
        <v>78</v>
      </c>
      <c r="N720" t="s">
        <v>79</v>
      </c>
      <c r="O720" t="s">
        <v>74</v>
      </c>
      <c r="P720" t="s">
        <v>74</v>
      </c>
      <c r="Q720" t="s">
        <v>74</v>
      </c>
      <c r="R720" t="s">
        <v>74</v>
      </c>
      <c r="S720" t="s">
        <v>74</v>
      </c>
      <c r="T720" t="s">
        <v>14016</v>
      </c>
      <c r="U720" t="s">
        <v>14017</v>
      </c>
      <c r="V720" t="s">
        <v>14018</v>
      </c>
      <c r="W720" t="s">
        <v>14019</v>
      </c>
      <c r="X720" t="s">
        <v>14020</v>
      </c>
      <c r="Y720" t="s">
        <v>14021</v>
      </c>
      <c r="Z720" t="s">
        <v>14022</v>
      </c>
      <c r="AA720" t="s">
        <v>74</v>
      </c>
      <c r="AB720" t="s">
        <v>74</v>
      </c>
      <c r="AC720" t="s">
        <v>14023</v>
      </c>
      <c r="AD720" t="s">
        <v>14024</v>
      </c>
      <c r="AE720" t="s">
        <v>14025</v>
      </c>
      <c r="AF720" t="s">
        <v>74</v>
      </c>
      <c r="AG720">
        <v>31</v>
      </c>
      <c r="AH720">
        <v>5</v>
      </c>
      <c r="AI720">
        <v>7</v>
      </c>
      <c r="AJ720">
        <v>2</v>
      </c>
      <c r="AK720">
        <v>25</v>
      </c>
      <c r="AL720" t="s">
        <v>91</v>
      </c>
      <c r="AM720" t="s">
        <v>92</v>
      </c>
      <c r="AN720" t="s">
        <v>93</v>
      </c>
      <c r="AO720" t="s">
        <v>359</v>
      </c>
      <c r="AP720" t="s">
        <v>360</v>
      </c>
      <c r="AQ720" t="s">
        <v>74</v>
      </c>
      <c r="AR720" t="s">
        <v>361</v>
      </c>
      <c r="AS720" t="s">
        <v>362</v>
      </c>
      <c r="AT720" t="s">
        <v>11811</v>
      </c>
      <c r="AU720">
        <v>2018</v>
      </c>
      <c r="AV720">
        <v>37</v>
      </c>
      <c r="AW720">
        <v>3</v>
      </c>
      <c r="AX720" t="s">
        <v>74</v>
      </c>
      <c r="AY720" t="s">
        <v>74</v>
      </c>
      <c r="AZ720" t="s">
        <v>74</v>
      </c>
      <c r="BA720" t="s">
        <v>74</v>
      </c>
      <c r="BB720">
        <v>63</v>
      </c>
      <c r="BC720">
        <v>68</v>
      </c>
      <c r="BD720" t="s">
        <v>74</v>
      </c>
      <c r="BE720" t="s">
        <v>14026</v>
      </c>
      <c r="BF720" t="str">
        <f>HYPERLINK("http://dx.doi.org/10.1007/s13131-017-1130-z","http://dx.doi.org/10.1007/s13131-017-1130-z")</f>
        <v>http://dx.doi.org/10.1007/s13131-017-1130-z</v>
      </c>
      <c r="BG720" t="s">
        <v>74</v>
      </c>
      <c r="BH720" t="s">
        <v>74</v>
      </c>
      <c r="BI720">
        <v>6</v>
      </c>
      <c r="BJ720" t="s">
        <v>364</v>
      </c>
      <c r="BK720" t="s">
        <v>101</v>
      </c>
      <c r="BL720" t="s">
        <v>364</v>
      </c>
      <c r="BM720" t="s">
        <v>14027</v>
      </c>
      <c r="BN720" t="s">
        <v>74</v>
      </c>
      <c r="BO720" t="s">
        <v>74</v>
      </c>
      <c r="BP720" t="s">
        <v>74</v>
      </c>
      <c r="BQ720" t="s">
        <v>74</v>
      </c>
      <c r="BR720" t="s">
        <v>105</v>
      </c>
      <c r="BS720" t="s">
        <v>14028</v>
      </c>
      <c r="BT720" t="str">
        <f>HYPERLINK("https%3A%2F%2Fwww.webofscience.com%2Fwos%2Fwoscc%2Ffull-record%2FWOS:000427248000007","View Full Record in Web of Science")</f>
        <v>View Full Record in Web of Science</v>
      </c>
    </row>
    <row r="721" spans="1:72" x14ac:dyDescent="0.15">
      <c r="A721" t="s">
        <v>72</v>
      </c>
      <c r="B721" t="s">
        <v>14029</v>
      </c>
      <c r="C721" t="s">
        <v>74</v>
      </c>
      <c r="D721" t="s">
        <v>74</v>
      </c>
      <c r="E721" t="s">
        <v>74</v>
      </c>
      <c r="F721" t="s">
        <v>14030</v>
      </c>
      <c r="G721" t="s">
        <v>74</v>
      </c>
      <c r="H721" t="s">
        <v>74</v>
      </c>
      <c r="I721" t="s">
        <v>14031</v>
      </c>
      <c r="J721" t="s">
        <v>321</v>
      </c>
      <c r="K721" t="s">
        <v>74</v>
      </c>
      <c r="L721" t="s">
        <v>74</v>
      </c>
      <c r="M721" t="s">
        <v>78</v>
      </c>
      <c r="N721" t="s">
        <v>79</v>
      </c>
      <c r="O721" t="s">
        <v>74</v>
      </c>
      <c r="P721" t="s">
        <v>74</v>
      </c>
      <c r="Q721" t="s">
        <v>74</v>
      </c>
      <c r="R721" t="s">
        <v>74</v>
      </c>
      <c r="S721" t="s">
        <v>74</v>
      </c>
      <c r="T721" t="s">
        <v>14032</v>
      </c>
      <c r="U721" t="s">
        <v>14033</v>
      </c>
      <c r="V721" t="s">
        <v>14034</v>
      </c>
      <c r="W721" t="s">
        <v>14035</v>
      </c>
      <c r="X721" t="s">
        <v>14036</v>
      </c>
      <c r="Y721" t="s">
        <v>14037</v>
      </c>
      <c r="Z721" t="s">
        <v>14038</v>
      </c>
      <c r="AA721" t="s">
        <v>14039</v>
      </c>
      <c r="AB721" t="s">
        <v>14040</v>
      </c>
      <c r="AC721" t="s">
        <v>14041</v>
      </c>
      <c r="AD721" t="s">
        <v>14042</v>
      </c>
      <c r="AE721" t="s">
        <v>14043</v>
      </c>
      <c r="AF721" t="s">
        <v>74</v>
      </c>
      <c r="AG721">
        <v>47</v>
      </c>
      <c r="AH721">
        <v>16</v>
      </c>
      <c r="AI721">
        <v>16</v>
      </c>
      <c r="AJ721">
        <v>0</v>
      </c>
      <c r="AK721">
        <v>11</v>
      </c>
      <c r="AL721" t="s">
        <v>277</v>
      </c>
      <c r="AM721" t="s">
        <v>278</v>
      </c>
      <c r="AN721" t="s">
        <v>279</v>
      </c>
      <c r="AO721" t="s">
        <v>333</v>
      </c>
      <c r="AP721" t="s">
        <v>74</v>
      </c>
      <c r="AQ721" t="s">
        <v>74</v>
      </c>
      <c r="AR721" t="s">
        <v>335</v>
      </c>
      <c r="AS721" t="s">
        <v>336</v>
      </c>
      <c r="AT721" t="s">
        <v>11841</v>
      </c>
      <c r="AU721">
        <v>2018</v>
      </c>
      <c r="AV721">
        <v>183</v>
      </c>
      <c r="AW721" t="s">
        <v>74</v>
      </c>
      <c r="AX721" t="s">
        <v>74</v>
      </c>
      <c r="AY721" t="s">
        <v>74</v>
      </c>
      <c r="AZ721" t="s">
        <v>74</v>
      </c>
      <c r="BA721" t="s">
        <v>74</v>
      </c>
      <c r="BB721">
        <v>110</v>
      </c>
      <c r="BC721">
        <v>123</v>
      </c>
      <c r="BD721" t="s">
        <v>74</v>
      </c>
      <c r="BE721" t="s">
        <v>14044</v>
      </c>
      <c r="BF721" t="str">
        <f>HYPERLINK("http://dx.doi.org/10.1016/j.quascirev.2018.01.008","http://dx.doi.org/10.1016/j.quascirev.2018.01.008")</f>
        <v>http://dx.doi.org/10.1016/j.quascirev.2018.01.008</v>
      </c>
      <c r="BG721" t="s">
        <v>74</v>
      </c>
      <c r="BH721" t="s">
        <v>74</v>
      </c>
      <c r="BI721">
        <v>14</v>
      </c>
      <c r="BJ721" t="s">
        <v>338</v>
      </c>
      <c r="BK721" t="s">
        <v>101</v>
      </c>
      <c r="BL721" t="s">
        <v>339</v>
      </c>
      <c r="BM721" t="s">
        <v>12589</v>
      </c>
      <c r="BN721" t="s">
        <v>74</v>
      </c>
      <c r="BO721" t="s">
        <v>288</v>
      </c>
      <c r="BP721" t="s">
        <v>74</v>
      </c>
      <c r="BQ721" t="s">
        <v>74</v>
      </c>
      <c r="BR721" t="s">
        <v>105</v>
      </c>
      <c r="BS721" t="s">
        <v>14045</v>
      </c>
      <c r="BT721" t="str">
        <f>HYPERLINK("https%3A%2F%2Fwww.webofscience.com%2Fwos%2Fwoscc%2Ffull-record%2FWOS:000427101000007","View Full Record in Web of Science")</f>
        <v>View Full Record in Web of Science</v>
      </c>
    </row>
    <row r="722" spans="1:72" x14ac:dyDescent="0.15">
      <c r="A722" t="s">
        <v>72</v>
      </c>
      <c r="B722" t="s">
        <v>14046</v>
      </c>
      <c r="C722" t="s">
        <v>74</v>
      </c>
      <c r="D722" t="s">
        <v>74</v>
      </c>
      <c r="E722" t="s">
        <v>74</v>
      </c>
      <c r="F722" t="s">
        <v>14047</v>
      </c>
      <c r="G722" t="s">
        <v>74</v>
      </c>
      <c r="H722" t="s">
        <v>74</v>
      </c>
      <c r="I722" t="s">
        <v>14048</v>
      </c>
      <c r="J722" t="s">
        <v>321</v>
      </c>
      <c r="K722" t="s">
        <v>74</v>
      </c>
      <c r="L722" t="s">
        <v>74</v>
      </c>
      <c r="M722" t="s">
        <v>78</v>
      </c>
      <c r="N722" t="s">
        <v>79</v>
      </c>
      <c r="O722" t="s">
        <v>74</v>
      </c>
      <c r="P722" t="s">
        <v>74</v>
      </c>
      <c r="Q722" t="s">
        <v>74</v>
      </c>
      <c r="R722" t="s">
        <v>74</v>
      </c>
      <c r="S722" t="s">
        <v>74</v>
      </c>
      <c r="T722" t="s">
        <v>14049</v>
      </c>
      <c r="U722" t="s">
        <v>14050</v>
      </c>
      <c r="V722" t="s">
        <v>14051</v>
      </c>
      <c r="W722" t="s">
        <v>14052</v>
      </c>
      <c r="X722" t="s">
        <v>14053</v>
      </c>
      <c r="Y722" t="s">
        <v>14054</v>
      </c>
      <c r="Z722" t="s">
        <v>14055</v>
      </c>
      <c r="AA722" t="s">
        <v>14056</v>
      </c>
      <c r="AB722" t="s">
        <v>14057</v>
      </c>
      <c r="AC722" t="s">
        <v>14058</v>
      </c>
      <c r="AD722" t="s">
        <v>14059</v>
      </c>
      <c r="AE722" t="s">
        <v>14060</v>
      </c>
      <c r="AF722" t="s">
        <v>74</v>
      </c>
      <c r="AG722">
        <v>63</v>
      </c>
      <c r="AH722">
        <v>13</v>
      </c>
      <c r="AI722">
        <v>14</v>
      </c>
      <c r="AJ722">
        <v>1</v>
      </c>
      <c r="AK722">
        <v>22</v>
      </c>
      <c r="AL722" t="s">
        <v>277</v>
      </c>
      <c r="AM722" t="s">
        <v>278</v>
      </c>
      <c r="AN722" t="s">
        <v>279</v>
      </c>
      <c r="AO722" t="s">
        <v>333</v>
      </c>
      <c r="AP722" t="s">
        <v>334</v>
      </c>
      <c r="AQ722" t="s">
        <v>74</v>
      </c>
      <c r="AR722" t="s">
        <v>335</v>
      </c>
      <c r="AS722" t="s">
        <v>336</v>
      </c>
      <c r="AT722" t="s">
        <v>11841</v>
      </c>
      <c r="AU722">
        <v>2018</v>
      </c>
      <c r="AV722">
        <v>183</v>
      </c>
      <c r="AW722" t="s">
        <v>74</v>
      </c>
      <c r="AX722" t="s">
        <v>74</v>
      </c>
      <c r="AY722" t="s">
        <v>74</v>
      </c>
      <c r="AZ722" t="s">
        <v>74</v>
      </c>
      <c r="BA722" t="s">
        <v>74</v>
      </c>
      <c r="BB722">
        <v>164</v>
      </c>
      <c r="BC722">
        <v>176</v>
      </c>
      <c r="BD722" t="s">
        <v>74</v>
      </c>
      <c r="BE722" t="s">
        <v>14061</v>
      </c>
      <c r="BF722" t="str">
        <f>HYPERLINK("http://dx.doi.org/10.1016/j.quascirev.2017.02.017","http://dx.doi.org/10.1016/j.quascirev.2017.02.017")</f>
        <v>http://dx.doi.org/10.1016/j.quascirev.2017.02.017</v>
      </c>
      <c r="BG722" t="s">
        <v>74</v>
      </c>
      <c r="BH722" t="s">
        <v>74</v>
      </c>
      <c r="BI722">
        <v>13</v>
      </c>
      <c r="BJ722" t="s">
        <v>338</v>
      </c>
      <c r="BK722" t="s">
        <v>101</v>
      </c>
      <c r="BL722" t="s">
        <v>339</v>
      </c>
      <c r="BM722" t="s">
        <v>12589</v>
      </c>
      <c r="BN722" t="s">
        <v>74</v>
      </c>
      <c r="BO722" t="s">
        <v>1085</v>
      </c>
      <c r="BP722" t="s">
        <v>74</v>
      </c>
      <c r="BQ722" t="s">
        <v>74</v>
      </c>
      <c r="BR722" t="s">
        <v>105</v>
      </c>
      <c r="BS722" t="s">
        <v>14062</v>
      </c>
      <c r="BT722" t="str">
        <f>HYPERLINK("https%3A%2F%2Fwww.webofscience.com%2Fwos%2Fwoscc%2Ffull-record%2FWOS:000427101000011","View Full Record in Web of Science")</f>
        <v>View Full Record in Web of Science</v>
      </c>
    </row>
    <row r="723" spans="1:72" x14ac:dyDescent="0.15">
      <c r="A723" t="s">
        <v>72</v>
      </c>
      <c r="B723" t="s">
        <v>14063</v>
      </c>
      <c r="C723" t="s">
        <v>74</v>
      </c>
      <c r="D723" t="s">
        <v>74</v>
      </c>
      <c r="E723" t="s">
        <v>74</v>
      </c>
      <c r="F723" t="s">
        <v>14064</v>
      </c>
      <c r="G723" t="s">
        <v>74</v>
      </c>
      <c r="H723" t="s">
        <v>74</v>
      </c>
      <c r="I723" t="s">
        <v>14065</v>
      </c>
      <c r="J723" t="s">
        <v>11909</v>
      </c>
      <c r="K723" t="s">
        <v>74</v>
      </c>
      <c r="L723" t="s">
        <v>74</v>
      </c>
      <c r="M723" t="s">
        <v>78</v>
      </c>
      <c r="N723" t="s">
        <v>79</v>
      </c>
      <c r="O723" t="s">
        <v>74</v>
      </c>
      <c r="P723" t="s">
        <v>74</v>
      </c>
      <c r="Q723" t="s">
        <v>74</v>
      </c>
      <c r="R723" t="s">
        <v>74</v>
      </c>
      <c r="S723" t="s">
        <v>74</v>
      </c>
      <c r="T723" t="s">
        <v>14066</v>
      </c>
      <c r="U723" t="s">
        <v>14067</v>
      </c>
      <c r="V723" t="s">
        <v>14068</v>
      </c>
      <c r="W723" t="s">
        <v>14069</v>
      </c>
      <c r="X723" t="s">
        <v>14070</v>
      </c>
      <c r="Y723" t="s">
        <v>14071</v>
      </c>
      <c r="Z723" t="s">
        <v>14072</v>
      </c>
      <c r="AA723" t="s">
        <v>14073</v>
      </c>
      <c r="AB723" t="s">
        <v>14074</v>
      </c>
      <c r="AC723" t="s">
        <v>14075</v>
      </c>
      <c r="AD723" t="s">
        <v>14076</v>
      </c>
      <c r="AE723" t="s">
        <v>14077</v>
      </c>
      <c r="AF723" t="s">
        <v>74</v>
      </c>
      <c r="AG723">
        <v>84</v>
      </c>
      <c r="AH723">
        <v>25</v>
      </c>
      <c r="AI723">
        <v>27</v>
      </c>
      <c r="AJ723">
        <v>5</v>
      </c>
      <c r="AK723">
        <v>52</v>
      </c>
      <c r="AL723" t="s">
        <v>91</v>
      </c>
      <c r="AM723" t="s">
        <v>1468</v>
      </c>
      <c r="AN723" t="s">
        <v>1469</v>
      </c>
      <c r="AO723" t="s">
        <v>11919</v>
      </c>
      <c r="AP723" t="s">
        <v>11920</v>
      </c>
      <c r="AQ723" t="s">
        <v>74</v>
      </c>
      <c r="AR723" t="s">
        <v>11909</v>
      </c>
      <c r="AS723" t="s">
        <v>11921</v>
      </c>
      <c r="AT723" t="s">
        <v>11811</v>
      </c>
      <c r="AU723">
        <v>2018</v>
      </c>
      <c r="AV723">
        <v>138</v>
      </c>
      <c r="AW723">
        <v>1</v>
      </c>
      <c r="AX723" t="s">
        <v>74</v>
      </c>
      <c r="AY723" t="s">
        <v>74</v>
      </c>
      <c r="AZ723" t="s">
        <v>74</v>
      </c>
      <c r="BA723" t="s">
        <v>74</v>
      </c>
      <c r="BB723">
        <v>49</v>
      </c>
      <c r="BC723">
        <v>68</v>
      </c>
      <c r="BD723" t="s">
        <v>74</v>
      </c>
      <c r="BE723" t="s">
        <v>14078</v>
      </c>
      <c r="BF723" t="str">
        <f>HYPERLINK("http://dx.doi.org/10.1007/s10533-018-0430-5","http://dx.doi.org/10.1007/s10533-018-0430-5")</f>
        <v>http://dx.doi.org/10.1007/s10533-018-0430-5</v>
      </c>
      <c r="BG723" t="s">
        <v>74</v>
      </c>
      <c r="BH723" t="s">
        <v>74</v>
      </c>
      <c r="BI723">
        <v>20</v>
      </c>
      <c r="BJ723" t="s">
        <v>11923</v>
      </c>
      <c r="BK723" t="s">
        <v>101</v>
      </c>
      <c r="BL723" t="s">
        <v>804</v>
      </c>
      <c r="BM723" t="s">
        <v>11924</v>
      </c>
      <c r="BN723" t="s">
        <v>74</v>
      </c>
      <c r="BO723" t="s">
        <v>341</v>
      </c>
      <c r="BP723" t="s">
        <v>74</v>
      </c>
      <c r="BQ723" t="s">
        <v>74</v>
      </c>
      <c r="BR723" t="s">
        <v>105</v>
      </c>
      <c r="BS723" t="s">
        <v>14079</v>
      </c>
      <c r="BT723" t="str">
        <f>HYPERLINK("https%3A%2F%2Fwww.webofscience.com%2Fwos%2Fwoscc%2Ffull-record%2FWOS:000427059700003","View Full Record in Web of Science")</f>
        <v>View Full Record in Web of Science</v>
      </c>
    </row>
    <row r="724" spans="1:72" x14ac:dyDescent="0.15">
      <c r="A724" t="s">
        <v>72</v>
      </c>
      <c r="B724" t="s">
        <v>14080</v>
      </c>
      <c r="C724" t="s">
        <v>74</v>
      </c>
      <c r="D724" t="s">
        <v>74</v>
      </c>
      <c r="E724" t="s">
        <v>74</v>
      </c>
      <c r="F724" t="s">
        <v>14081</v>
      </c>
      <c r="G724" t="s">
        <v>74</v>
      </c>
      <c r="H724" t="s">
        <v>74</v>
      </c>
      <c r="I724" t="s">
        <v>14082</v>
      </c>
      <c r="J724" t="s">
        <v>14083</v>
      </c>
      <c r="K724" t="s">
        <v>74</v>
      </c>
      <c r="L724" t="s">
        <v>74</v>
      </c>
      <c r="M724" t="s">
        <v>78</v>
      </c>
      <c r="N724" t="s">
        <v>79</v>
      </c>
      <c r="O724" t="s">
        <v>74</v>
      </c>
      <c r="P724" t="s">
        <v>74</v>
      </c>
      <c r="Q724" t="s">
        <v>74</v>
      </c>
      <c r="R724" t="s">
        <v>74</v>
      </c>
      <c r="S724" t="s">
        <v>74</v>
      </c>
      <c r="T724" t="s">
        <v>14084</v>
      </c>
      <c r="U724" t="s">
        <v>74</v>
      </c>
      <c r="V724" t="s">
        <v>14085</v>
      </c>
      <c r="W724" t="s">
        <v>14086</v>
      </c>
      <c r="X724" t="s">
        <v>14087</v>
      </c>
      <c r="Y724" t="s">
        <v>14088</v>
      </c>
      <c r="Z724" t="s">
        <v>14089</v>
      </c>
      <c r="AA724" t="s">
        <v>14090</v>
      </c>
      <c r="AB724" t="s">
        <v>14091</v>
      </c>
      <c r="AC724" t="s">
        <v>14092</v>
      </c>
      <c r="AD724" t="s">
        <v>14093</v>
      </c>
      <c r="AE724" t="s">
        <v>74</v>
      </c>
      <c r="AF724" t="s">
        <v>74</v>
      </c>
      <c r="AG724">
        <v>16</v>
      </c>
      <c r="AH724">
        <v>2</v>
      </c>
      <c r="AI724">
        <v>2</v>
      </c>
      <c r="AJ724">
        <v>0</v>
      </c>
      <c r="AK724">
        <v>16</v>
      </c>
      <c r="AL724" t="s">
        <v>14094</v>
      </c>
      <c r="AM724" t="s">
        <v>14095</v>
      </c>
      <c r="AN724" t="s">
        <v>14096</v>
      </c>
      <c r="AO724" t="s">
        <v>14097</v>
      </c>
      <c r="AP724" t="s">
        <v>14098</v>
      </c>
      <c r="AQ724" t="s">
        <v>74</v>
      </c>
      <c r="AR724" t="s">
        <v>14099</v>
      </c>
      <c r="AS724" t="s">
        <v>14100</v>
      </c>
      <c r="AT724" t="s">
        <v>11811</v>
      </c>
      <c r="AU724">
        <v>2018</v>
      </c>
      <c r="AV724">
        <v>56</v>
      </c>
      <c r="AW724">
        <v>3</v>
      </c>
      <c r="AX724" t="s">
        <v>74</v>
      </c>
      <c r="AY724" t="s">
        <v>74</v>
      </c>
      <c r="AZ724" t="s">
        <v>74</v>
      </c>
      <c r="BA724" t="s">
        <v>74</v>
      </c>
      <c r="BB724">
        <v>1695</v>
      </c>
      <c r="BC724">
        <v>1703</v>
      </c>
      <c r="BD724" t="s">
        <v>74</v>
      </c>
      <c r="BE724" t="s">
        <v>14101</v>
      </c>
      <c r="BF724" t="str">
        <f>HYPERLINK("http://dx.doi.org/10.1109/TGRS.2017.2766186","http://dx.doi.org/10.1109/TGRS.2017.2766186")</f>
        <v>http://dx.doi.org/10.1109/TGRS.2017.2766186</v>
      </c>
      <c r="BG724" t="s">
        <v>74</v>
      </c>
      <c r="BH724" t="s">
        <v>74</v>
      </c>
      <c r="BI724">
        <v>9</v>
      </c>
      <c r="BJ724" t="s">
        <v>14102</v>
      </c>
      <c r="BK724" t="s">
        <v>101</v>
      </c>
      <c r="BL724" t="s">
        <v>14103</v>
      </c>
      <c r="BM724" t="s">
        <v>14104</v>
      </c>
      <c r="BN724" t="s">
        <v>74</v>
      </c>
      <c r="BO724" t="s">
        <v>1085</v>
      </c>
      <c r="BP724" t="s">
        <v>74</v>
      </c>
      <c r="BQ724" t="s">
        <v>74</v>
      </c>
      <c r="BR724" t="s">
        <v>105</v>
      </c>
      <c r="BS724" t="s">
        <v>14105</v>
      </c>
      <c r="BT724" t="str">
        <f>HYPERLINK("https%3A%2F%2Fwww.webofscience.com%2Fwos%2Fwoscc%2Ffull-record%2FWOS:000426789800037","View Full Record in Web of Science")</f>
        <v>View Full Record in Web of Science</v>
      </c>
    </row>
    <row r="725" spans="1:72" x14ac:dyDescent="0.15">
      <c r="A725" t="s">
        <v>72</v>
      </c>
      <c r="B725" t="s">
        <v>14106</v>
      </c>
      <c r="C725" t="s">
        <v>74</v>
      </c>
      <c r="D725" t="s">
        <v>74</v>
      </c>
      <c r="E725" t="s">
        <v>74</v>
      </c>
      <c r="F725" t="s">
        <v>14107</v>
      </c>
      <c r="G725" t="s">
        <v>74</v>
      </c>
      <c r="H725" t="s">
        <v>74</v>
      </c>
      <c r="I725" t="s">
        <v>14108</v>
      </c>
      <c r="J725" t="s">
        <v>5142</v>
      </c>
      <c r="K725" t="s">
        <v>74</v>
      </c>
      <c r="L725" t="s">
        <v>74</v>
      </c>
      <c r="M725" t="s">
        <v>78</v>
      </c>
      <c r="N725" t="s">
        <v>79</v>
      </c>
      <c r="O725" t="s">
        <v>74</v>
      </c>
      <c r="P725" t="s">
        <v>74</v>
      </c>
      <c r="Q725" t="s">
        <v>74</v>
      </c>
      <c r="R725" t="s">
        <v>74</v>
      </c>
      <c r="S725" t="s">
        <v>74</v>
      </c>
      <c r="T725" t="s">
        <v>14109</v>
      </c>
      <c r="U725" t="s">
        <v>14110</v>
      </c>
      <c r="V725" t="s">
        <v>14111</v>
      </c>
      <c r="W725" t="s">
        <v>14112</v>
      </c>
      <c r="X725" t="s">
        <v>14113</v>
      </c>
      <c r="Y725" t="s">
        <v>14114</v>
      </c>
      <c r="Z725" t="s">
        <v>14115</v>
      </c>
      <c r="AA725" t="s">
        <v>14116</v>
      </c>
      <c r="AB725" t="s">
        <v>14117</v>
      </c>
      <c r="AC725" t="s">
        <v>14118</v>
      </c>
      <c r="AD725" t="s">
        <v>14119</v>
      </c>
      <c r="AE725" t="s">
        <v>14120</v>
      </c>
      <c r="AF725" t="s">
        <v>74</v>
      </c>
      <c r="AG725">
        <v>64</v>
      </c>
      <c r="AH725">
        <v>3</v>
      </c>
      <c r="AI725">
        <v>3</v>
      </c>
      <c r="AJ725">
        <v>2</v>
      </c>
      <c r="AK725">
        <v>20</v>
      </c>
      <c r="AL725" t="s">
        <v>91</v>
      </c>
      <c r="AM725" t="s">
        <v>92</v>
      </c>
      <c r="AN725" t="s">
        <v>93</v>
      </c>
      <c r="AO725" t="s">
        <v>5155</v>
      </c>
      <c r="AP725" t="s">
        <v>5156</v>
      </c>
      <c r="AQ725" t="s">
        <v>74</v>
      </c>
      <c r="AR725" t="s">
        <v>5157</v>
      </c>
      <c r="AS725" t="s">
        <v>5158</v>
      </c>
      <c r="AT725" t="s">
        <v>11811</v>
      </c>
      <c r="AU725">
        <v>2018</v>
      </c>
      <c r="AV725">
        <v>50</v>
      </c>
      <c r="AW725" t="s">
        <v>3965</v>
      </c>
      <c r="AX725" t="s">
        <v>74</v>
      </c>
      <c r="AY725" t="s">
        <v>74</v>
      </c>
      <c r="AZ725" t="s">
        <v>74</v>
      </c>
      <c r="BA725" t="s">
        <v>74</v>
      </c>
      <c r="BB725">
        <v>2239</v>
      </c>
      <c r="BC725">
        <v>2255</v>
      </c>
      <c r="BD725" t="s">
        <v>74</v>
      </c>
      <c r="BE725" t="s">
        <v>14121</v>
      </c>
      <c r="BF725" t="str">
        <f>HYPERLINK("http://dx.doi.org/10.1007/s00382-017-3746-2","http://dx.doi.org/10.1007/s00382-017-3746-2")</f>
        <v>http://dx.doi.org/10.1007/s00382-017-3746-2</v>
      </c>
      <c r="BG725" t="s">
        <v>74</v>
      </c>
      <c r="BH725" t="s">
        <v>74</v>
      </c>
      <c r="BI725">
        <v>17</v>
      </c>
      <c r="BJ725" t="s">
        <v>131</v>
      </c>
      <c r="BK725" t="s">
        <v>101</v>
      </c>
      <c r="BL725" t="s">
        <v>131</v>
      </c>
      <c r="BM725" t="s">
        <v>14122</v>
      </c>
      <c r="BN725" t="s">
        <v>74</v>
      </c>
      <c r="BO725" t="s">
        <v>74</v>
      </c>
      <c r="BP725" t="s">
        <v>74</v>
      </c>
      <c r="BQ725" t="s">
        <v>74</v>
      </c>
      <c r="BR725" t="s">
        <v>105</v>
      </c>
      <c r="BS725" t="s">
        <v>14123</v>
      </c>
      <c r="BT725" t="str">
        <f>HYPERLINK("https%3A%2F%2Fwww.webofscience.com%2Fwos%2Fwoscc%2Ffull-record%2FWOS:000426707100043","View Full Record in Web of Science")</f>
        <v>View Full Record in Web of Science</v>
      </c>
    </row>
    <row r="726" spans="1:72" x14ac:dyDescent="0.15">
      <c r="A726" t="s">
        <v>72</v>
      </c>
      <c r="B726" t="s">
        <v>14124</v>
      </c>
      <c r="C726" t="s">
        <v>74</v>
      </c>
      <c r="D726" t="s">
        <v>74</v>
      </c>
      <c r="E726" t="s">
        <v>74</v>
      </c>
      <c r="F726" t="s">
        <v>14125</v>
      </c>
      <c r="G726" t="s">
        <v>74</v>
      </c>
      <c r="H726" t="s">
        <v>74</v>
      </c>
      <c r="I726" t="s">
        <v>14126</v>
      </c>
      <c r="J726" t="s">
        <v>465</v>
      </c>
      <c r="K726" t="s">
        <v>74</v>
      </c>
      <c r="L726" t="s">
        <v>74</v>
      </c>
      <c r="M726" t="s">
        <v>78</v>
      </c>
      <c r="N726" t="s">
        <v>79</v>
      </c>
      <c r="O726" t="s">
        <v>74</v>
      </c>
      <c r="P726" t="s">
        <v>74</v>
      </c>
      <c r="Q726" t="s">
        <v>74</v>
      </c>
      <c r="R726" t="s">
        <v>74</v>
      </c>
      <c r="S726" t="s">
        <v>74</v>
      </c>
      <c r="T726" t="s">
        <v>14127</v>
      </c>
      <c r="U726" t="s">
        <v>14128</v>
      </c>
      <c r="V726" t="s">
        <v>14129</v>
      </c>
      <c r="W726" t="s">
        <v>14130</v>
      </c>
      <c r="X726" t="s">
        <v>14131</v>
      </c>
      <c r="Y726" t="s">
        <v>14132</v>
      </c>
      <c r="Z726" t="s">
        <v>14133</v>
      </c>
      <c r="AA726" t="s">
        <v>14134</v>
      </c>
      <c r="AB726" t="s">
        <v>14135</v>
      </c>
      <c r="AC726" t="s">
        <v>14136</v>
      </c>
      <c r="AD726" t="s">
        <v>14136</v>
      </c>
      <c r="AE726" t="s">
        <v>14136</v>
      </c>
      <c r="AF726" t="s">
        <v>74</v>
      </c>
      <c r="AG726">
        <v>116</v>
      </c>
      <c r="AH726">
        <v>9</v>
      </c>
      <c r="AI726">
        <v>9</v>
      </c>
      <c r="AJ726">
        <v>1</v>
      </c>
      <c r="AK726">
        <v>23</v>
      </c>
      <c r="AL726" t="s">
        <v>179</v>
      </c>
      <c r="AM726" t="s">
        <v>180</v>
      </c>
      <c r="AN726" t="s">
        <v>181</v>
      </c>
      <c r="AO726" t="s">
        <v>479</v>
      </c>
      <c r="AP726" t="s">
        <v>74</v>
      </c>
      <c r="AQ726" t="s">
        <v>74</v>
      </c>
      <c r="AR726" t="s">
        <v>480</v>
      </c>
      <c r="AS726" t="s">
        <v>481</v>
      </c>
      <c r="AT726" t="s">
        <v>11811</v>
      </c>
      <c r="AU726">
        <v>2018</v>
      </c>
      <c r="AV726">
        <v>8</v>
      </c>
      <c r="AW726">
        <v>5</v>
      </c>
      <c r="AX726" t="s">
        <v>74</v>
      </c>
      <c r="AY726" t="s">
        <v>74</v>
      </c>
      <c r="AZ726" t="s">
        <v>74</v>
      </c>
      <c r="BA726" t="s">
        <v>74</v>
      </c>
      <c r="BB726">
        <v>2752</v>
      </c>
      <c r="BC726">
        <v>2765</v>
      </c>
      <c r="BD726" t="s">
        <v>74</v>
      </c>
      <c r="BE726" t="s">
        <v>14137</v>
      </c>
      <c r="BF726" t="str">
        <f>HYPERLINK("http://dx.doi.org/10.1002/ece3.3883","http://dx.doi.org/10.1002/ece3.3883")</f>
        <v>http://dx.doi.org/10.1002/ece3.3883</v>
      </c>
      <c r="BG726" t="s">
        <v>74</v>
      </c>
      <c r="BH726" t="s">
        <v>74</v>
      </c>
      <c r="BI726">
        <v>14</v>
      </c>
      <c r="BJ726" t="s">
        <v>483</v>
      </c>
      <c r="BK726" t="s">
        <v>101</v>
      </c>
      <c r="BL726" t="s">
        <v>485</v>
      </c>
      <c r="BM726" t="s">
        <v>14138</v>
      </c>
      <c r="BN726">
        <v>29531692</v>
      </c>
      <c r="BO726" t="s">
        <v>764</v>
      </c>
      <c r="BP726" t="s">
        <v>74</v>
      </c>
      <c r="BQ726" t="s">
        <v>74</v>
      </c>
      <c r="BR726" t="s">
        <v>105</v>
      </c>
      <c r="BS726" t="s">
        <v>14139</v>
      </c>
      <c r="BT726" t="str">
        <f>HYPERLINK("https%3A%2F%2Fwww.webofscience.com%2Fwos%2Fwoscc%2Ffull-record%2FWOS:000426725900032","View Full Record in Web of Science")</f>
        <v>View Full Record in Web of Science</v>
      </c>
    </row>
    <row r="727" spans="1:72" x14ac:dyDescent="0.15">
      <c r="A727" t="s">
        <v>72</v>
      </c>
      <c r="B727" t="s">
        <v>14140</v>
      </c>
      <c r="C727" t="s">
        <v>74</v>
      </c>
      <c r="D727" t="s">
        <v>74</v>
      </c>
      <c r="E727" t="s">
        <v>74</v>
      </c>
      <c r="F727" t="s">
        <v>14141</v>
      </c>
      <c r="G727" t="s">
        <v>74</v>
      </c>
      <c r="H727" t="s">
        <v>74</v>
      </c>
      <c r="I727" t="s">
        <v>14142</v>
      </c>
      <c r="J727" t="s">
        <v>14143</v>
      </c>
      <c r="K727" t="s">
        <v>74</v>
      </c>
      <c r="L727" t="s">
        <v>74</v>
      </c>
      <c r="M727" t="s">
        <v>78</v>
      </c>
      <c r="N727" t="s">
        <v>79</v>
      </c>
      <c r="O727" t="s">
        <v>74</v>
      </c>
      <c r="P727" t="s">
        <v>74</v>
      </c>
      <c r="Q727" t="s">
        <v>74</v>
      </c>
      <c r="R727" t="s">
        <v>74</v>
      </c>
      <c r="S727" t="s">
        <v>74</v>
      </c>
      <c r="T727" t="s">
        <v>74</v>
      </c>
      <c r="U727" t="s">
        <v>74</v>
      </c>
      <c r="V727" t="s">
        <v>74</v>
      </c>
      <c r="W727" t="s">
        <v>14144</v>
      </c>
      <c r="X727" t="s">
        <v>74</v>
      </c>
      <c r="Y727" t="s">
        <v>14145</v>
      </c>
      <c r="Z727" t="s">
        <v>14146</v>
      </c>
      <c r="AA727" t="s">
        <v>74</v>
      </c>
      <c r="AB727" t="s">
        <v>74</v>
      </c>
      <c r="AC727" t="s">
        <v>14147</v>
      </c>
      <c r="AD727" t="s">
        <v>14148</v>
      </c>
      <c r="AE727" t="s">
        <v>14149</v>
      </c>
      <c r="AF727" t="s">
        <v>74</v>
      </c>
      <c r="AG727">
        <v>8</v>
      </c>
      <c r="AH727">
        <v>0</v>
      </c>
      <c r="AI727">
        <v>0</v>
      </c>
      <c r="AJ727">
        <v>0</v>
      </c>
      <c r="AK727">
        <v>0</v>
      </c>
      <c r="AL727" t="s">
        <v>5341</v>
      </c>
      <c r="AM727" t="s">
        <v>5342</v>
      </c>
      <c r="AN727" t="s">
        <v>5343</v>
      </c>
      <c r="AO727" t="s">
        <v>14150</v>
      </c>
      <c r="AP727" t="s">
        <v>14151</v>
      </c>
      <c r="AQ727" t="s">
        <v>74</v>
      </c>
      <c r="AR727" t="s">
        <v>14143</v>
      </c>
      <c r="AS727" t="s">
        <v>14152</v>
      </c>
      <c r="AT727" t="s">
        <v>11811</v>
      </c>
      <c r="AU727">
        <v>2018</v>
      </c>
      <c r="AV727">
        <v>109</v>
      </c>
      <c r="AW727">
        <v>1</v>
      </c>
      <c r="AX727" t="s">
        <v>74</v>
      </c>
      <c r="AY727" t="s">
        <v>74</v>
      </c>
      <c r="AZ727" t="s">
        <v>74</v>
      </c>
      <c r="BA727" t="s">
        <v>74</v>
      </c>
      <c r="BB727">
        <v>133</v>
      </c>
      <c r="BC727">
        <v>136</v>
      </c>
      <c r="BD727" t="s">
        <v>74</v>
      </c>
      <c r="BE727" t="s">
        <v>14153</v>
      </c>
      <c r="BF727" t="str">
        <f>HYPERLINK("http://dx.doi.org/10.1086/697186","http://dx.doi.org/10.1086/697186")</f>
        <v>http://dx.doi.org/10.1086/697186</v>
      </c>
      <c r="BG727" t="s">
        <v>74</v>
      </c>
      <c r="BH727" t="s">
        <v>74</v>
      </c>
      <c r="BI727">
        <v>4</v>
      </c>
      <c r="BJ727" t="s">
        <v>9263</v>
      </c>
      <c r="BK727" t="s">
        <v>9264</v>
      </c>
      <c r="BL727" t="s">
        <v>9265</v>
      </c>
      <c r="BM727" t="s">
        <v>14154</v>
      </c>
      <c r="BN727" t="s">
        <v>74</v>
      </c>
      <c r="BO727" t="s">
        <v>74</v>
      </c>
      <c r="BP727" t="s">
        <v>74</v>
      </c>
      <c r="BQ727" t="s">
        <v>74</v>
      </c>
      <c r="BR727" t="s">
        <v>105</v>
      </c>
      <c r="BS727" t="s">
        <v>14155</v>
      </c>
      <c r="BT727" t="str">
        <f>HYPERLINK("https%3A%2F%2Fwww.webofscience.com%2Fwos%2Fwoscc%2Ffull-record%2FWOS:000426757000020","View Full Record in Web of Science")</f>
        <v>View Full Record in Web of Science</v>
      </c>
    </row>
    <row r="728" spans="1:72" x14ac:dyDescent="0.15">
      <c r="A728" t="s">
        <v>72</v>
      </c>
      <c r="B728" t="s">
        <v>14156</v>
      </c>
      <c r="C728" t="s">
        <v>74</v>
      </c>
      <c r="D728" t="s">
        <v>74</v>
      </c>
      <c r="E728" t="s">
        <v>74</v>
      </c>
      <c r="F728" t="s">
        <v>14157</v>
      </c>
      <c r="G728" t="s">
        <v>74</v>
      </c>
      <c r="H728" t="s">
        <v>74</v>
      </c>
      <c r="I728" t="s">
        <v>14158</v>
      </c>
      <c r="J728" t="s">
        <v>14143</v>
      </c>
      <c r="K728" t="s">
        <v>74</v>
      </c>
      <c r="L728" t="s">
        <v>74</v>
      </c>
      <c r="M728" t="s">
        <v>78</v>
      </c>
      <c r="N728" t="s">
        <v>8333</v>
      </c>
      <c r="O728" t="s">
        <v>74</v>
      </c>
      <c r="P728" t="s">
        <v>74</v>
      </c>
      <c r="Q728" t="s">
        <v>74</v>
      </c>
      <c r="R728" t="s">
        <v>74</v>
      </c>
      <c r="S728" t="s">
        <v>74</v>
      </c>
      <c r="T728" t="s">
        <v>74</v>
      </c>
      <c r="U728" t="s">
        <v>74</v>
      </c>
      <c r="V728" t="s">
        <v>74</v>
      </c>
      <c r="W728" t="s">
        <v>14159</v>
      </c>
      <c r="X728" t="s">
        <v>14160</v>
      </c>
      <c r="Y728" t="s">
        <v>14161</v>
      </c>
      <c r="Z728" t="s">
        <v>74</v>
      </c>
      <c r="AA728" t="s">
        <v>74</v>
      </c>
      <c r="AB728" t="s">
        <v>74</v>
      </c>
      <c r="AC728" t="s">
        <v>74</v>
      </c>
      <c r="AD728" t="s">
        <v>74</v>
      </c>
      <c r="AE728" t="s">
        <v>74</v>
      </c>
      <c r="AF728" t="s">
        <v>74</v>
      </c>
      <c r="AG728">
        <v>1</v>
      </c>
      <c r="AH728">
        <v>0</v>
      </c>
      <c r="AI728">
        <v>0</v>
      </c>
      <c r="AJ728">
        <v>1</v>
      </c>
      <c r="AK728">
        <v>2</v>
      </c>
      <c r="AL728" t="s">
        <v>5341</v>
      </c>
      <c r="AM728" t="s">
        <v>5342</v>
      </c>
      <c r="AN728" t="s">
        <v>5343</v>
      </c>
      <c r="AO728" t="s">
        <v>14150</v>
      </c>
      <c r="AP728" t="s">
        <v>14151</v>
      </c>
      <c r="AQ728" t="s">
        <v>74</v>
      </c>
      <c r="AR728" t="s">
        <v>14143</v>
      </c>
      <c r="AS728" t="s">
        <v>14152</v>
      </c>
      <c r="AT728" t="s">
        <v>11811</v>
      </c>
      <c r="AU728">
        <v>2018</v>
      </c>
      <c r="AV728">
        <v>109</v>
      </c>
      <c r="AW728">
        <v>1</v>
      </c>
      <c r="AX728" t="s">
        <v>74</v>
      </c>
      <c r="AY728" t="s">
        <v>74</v>
      </c>
      <c r="AZ728" t="s">
        <v>74</v>
      </c>
      <c r="BA728" t="s">
        <v>74</v>
      </c>
      <c r="BB728">
        <v>229</v>
      </c>
      <c r="BC728">
        <v>230</v>
      </c>
      <c r="BD728" t="s">
        <v>74</v>
      </c>
      <c r="BE728" t="s">
        <v>14162</v>
      </c>
      <c r="BF728" t="str">
        <f>HYPERLINK("http://dx.doi.org/10.1086/696673","http://dx.doi.org/10.1086/696673")</f>
        <v>http://dx.doi.org/10.1086/696673</v>
      </c>
      <c r="BG728" t="s">
        <v>74</v>
      </c>
      <c r="BH728" t="s">
        <v>74</v>
      </c>
      <c r="BI728">
        <v>2</v>
      </c>
      <c r="BJ728" t="s">
        <v>9263</v>
      </c>
      <c r="BK728" t="s">
        <v>9264</v>
      </c>
      <c r="BL728" t="s">
        <v>9265</v>
      </c>
      <c r="BM728" t="s">
        <v>14154</v>
      </c>
      <c r="BN728" t="s">
        <v>74</v>
      </c>
      <c r="BO728" t="s">
        <v>74</v>
      </c>
      <c r="BP728" t="s">
        <v>74</v>
      </c>
      <c r="BQ728" t="s">
        <v>74</v>
      </c>
      <c r="BR728" t="s">
        <v>105</v>
      </c>
      <c r="BS728" t="s">
        <v>14163</v>
      </c>
      <c r="BT728" t="str">
        <f>HYPERLINK("https%3A%2F%2Fwww.webofscience.com%2Fwos%2Fwoscc%2Ffull-record%2FWOS:000426757000086","View Full Record in Web of Science")</f>
        <v>View Full Record in Web of Science</v>
      </c>
    </row>
    <row r="729" spans="1:72" x14ac:dyDescent="0.15">
      <c r="A729" t="s">
        <v>72</v>
      </c>
      <c r="B729" t="s">
        <v>14164</v>
      </c>
      <c r="C729" t="s">
        <v>74</v>
      </c>
      <c r="D729" t="s">
        <v>74</v>
      </c>
      <c r="E729" t="s">
        <v>74</v>
      </c>
      <c r="F729" t="s">
        <v>14165</v>
      </c>
      <c r="G729" t="s">
        <v>74</v>
      </c>
      <c r="H729" t="s">
        <v>74</v>
      </c>
      <c r="I729" t="s">
        <v>14166</v>
      </c>
      <c r="J729" t="s">
        <v>14167</v>
      </c>
      <c r="K729" t="s">
        <v>74</v>
      </c>
      <c r="L729" t="s">
        <v>74</v>
      </c>
      <c r="M729" t="s">
        <v>78</v>
      </c>
      <c r="N729" t="s">
        <v>79</v>
      </c>
      <c r="O729" t="s">
        <v>74</v>
      </c>
      <c r="P729" t="s">
        <v>74</v>
      </c>
      <c r="Q729" t="s">
        <v>74</v>
      </c>
      <c r="R729" t="s">
        <v>74</v>
      </c>
      <c r="S729" t="s">
        <v>74</v>
      </c>
      <c r="T729" t="s">
        <v>14168</v>
      </c>
      <c r="U729" t="s">
        <v>14169</v>
      </c>
      <c r="V729" t="s">
        <v>14170</v>
      </c>
      <c r="W729" t="s">
        <v>14171</v>
      </c>
      <c r="X729" t="s">
        <v>14172</v>
      </c>
      <c r="Y729" t="s">
        <v>14173</v>
      </c>
      <c r="Z729" t="s">
        <v>14174</v>
      </c>
      <c r="AA729" t="s">
        <v>14175</v>
      </c>
      <c r="AB729" t="s">
        <v>14176</v>
      </c>
      <c r="AC729" t="s">
        <v>14177</v>
      </c>
      <c r="AD729" t="s">
        <v>14178</v>
      </c>
      <c r="AE729" t="s">
        <v>14179</v>
      </c>
      <c r="AF729" t="s">
        <v>74</v>
      </c>
      <c r="AG729">
        <v>53</v>
      </c>
      <c r="AH729">
        <v>3</v>
      </c>
      <c r="AI729">
        <v>3</v>
      </c>
      <c r="AJ729">
        <v>0</v>
      </c>
      <c r="AK729">
        <v>20</v>
      </c>
      <c r="AL729" t="s">
        <v>372</v>
      </c>
      <c r="AM729" t="s">
        <v>92</v>
      </c>
      <c r="AN729" t="s">
        <v>373</v>
      </c>
      <c r="AO729" t="s">
        <v>14180</v>
      </c>
      <c r="AP729" t="s">
        <v>14181</v>
      </c>
      <c r="AQ729" t="s">
        <v>74</v>
      </c>
      <c r="AR729" t="s">
        <v>14182</v>
      </c>
      <c r="AS729" t="s">
        <v>14183</v>
      </c>
      <c r="AT729" t="s">
        <v>11811</v>
      </c>
      <c r="AU729">
        <v>2018</v>
      </c>
      <c r="AV729">
        <v>98</v>
      </c>
      <c r="AW729">
        <v>2</v>
      </c>
      <c r="AX729" t="s">
        <v>74</v>
      </c>
      <c r="AY729" t="s">
        <v>74</v>
      </c>
      <c r="AZ729" t="s">
        <v>74</v>
      </c>
      <c r="BA729" t="s">
        <v>74</v>
      </c>
      <c r="BB729">
        <v>245</v>
      </c>
      <c r="BC729">
        <v>259</v>
      </c>
      <c r="BD729" t="s">
        <v>74</v>
      </c>
      <c r="BE729" t="s">
        <v>14184</v>
      </c>
      <c r="BF729" t="str">
        <f>HYPERLINK("http://dx.doi.org/10.1017/S0025315416001302","http://dx.doi.org/10.1017/S0025315416001302")</f>
        <v>http://dx.doi.org/10.1017/S0025315416001302</v>
      </c>
      <c r="BG729" t="s">
        <v>74</v>
      </c>
      <c r="BH729" t="s">
        <v>74</v>
      </c>
      <c r="BI729">
        <v>15</v>
      </c>
      <c r="BJ729" t="s">
        <v>3737</v>
      </c>
      <c r="BK729" t="s">
        <v>101</v>
      </c>
      <c r="BL729" t="s">
        <v>3737</v>
      </c>
      <c r="BM729" t="s">
        <v>14185</v>
      </c>
      <c r="BN729" t="s">
        <v>74</v>
      </c>
      <c r="BO729" t="s">
        <v>74</v>
      </c>
      <c r="BP729" t="s">
        <v>74</v>
      </c>
      <c r="BQ729" t="s">
        <v>74</v>
      </c>
      <c r="BR729" t="s">
        <v>105</v>
      </c>
      <c r="BS729" t="s">
        <v>14186</v>
      </c>
      <c r="BT729" t="str">
        <f>HYPERLINK("https%3A%2F%2Fwww.webofscience.com%2Fwos%2Fwoscc%2Ffull-record%2FWOS:000426876800004","View Full Record in Web of Science")</f>
        <v>View Full Record in Web of Science</v>
      </c>
    </row>
    <row r="730" spans="1:72" x14ac:dyDescent="0.15">
      <c r="A730" t="s">
        <v>72</v>
      </c>
      <c r="B730" t="s">
        <v>14187</v>
      </c>
      <c r="C730" t="s">
        <v>74</v>
      </c>
      <c r="D730" t="s">
        <v>74</v>
      </c>
      <c r="E730" t="s">
        <v>74</v>
      </c>
      <c r="F730" t="s">
        <v>14188</v>
      </c>
      <c r="G730" t="s">
        <v>74</v>
      </c>
      <c r="H730" t="s">
        <v>74</v>
      </c>
      <c r="I730" t="s">
        <v>14189</v>
      </c>
      <c r="J730" t="s">
        <v>14167</v>
      </c>
      <c r="K730" t="s">
        <v>74</v>
      </c>
      <c r="L730" t="s">
        <v>74</v>
      </c>
      <c r="M730" t="s">
        <v>78</v>
      </c>
      <c r="N730" t="s">
        <v>79</v>
      </c>
      <c r="O730" t="s">
        <v>74</v>
      </c>
      <c r="P730" t="s">
        <v>74</v>
      </c>
      <c r="Q730" t="s">
        <v>74</v>
      </c>
      <c r="R730" t="s">
        <v>74</v>
      </c>
      <c r="S730" t="s">
        <v>74</v>
      </c>
      <c r="T730" t="s">
        <v>14190</v>
      </c>
      <c r="U730" t="s">
        <v>14191</v>
      </c>
      <c r="V730" t="s">
        <v>14192</v>
      </c>
      <c r="W730" t="s">
        <v>14193</v>
      </c>
      <c r="X730" t="s">
        <v>14194</v>
      </c>
      <c r="Y730" t="s">
        <v>14195</v>
      </c>
      <c r="Z730" t="s">
        <v>14196</v>
      </c>
      <c r="AA730" t="s">
        <v>74</v>
      </c>
      <c r="AB730" t="s">
        <v>14197</v>
      </c>
      <c r="AC730" t="s">
        <v>14198</v>
      </c>
      <c r="AD730" t="s">
        <v>14199</v>
      </c>
      <c r="AE730" t="s">
        <v>14200</v>
      </c>
      <c r="AF730" t="s">
        <v>74</v>
      </c>
      <c r="AG730">
        <v>71</v>
      </c>
      <c r="AH730">
        <v>3</v>
      </c>
      <c r="AI730">
        <v>5</v>
      </c>
      <c r="AJ730">
        <v>1</v>
      </c>
      <c r="AK730">
        <v>17</v>
      </c>
      <c r="AL730" t="s">
        <v>372</v>
      </c>
      <c r="AM730" t="s">
        <v>92</v>
      </c>
      <c r="AN730" t="s">
        <v>373</v>
      </c>
      <c r="AO730" t="s">
        <v>14180</v>
      </c>
      <c r="AP730" t="s">
        <v>14181</v>
      </c>
      <c r="AQ730" t="s">
        <v>74</v>
      </c>
      <c r="AR730" t="s">
        <v>14182</v>
      </c>
      <c r="AS730" t="s">
        <v>14183</v>
      </c>
      <c r="AT730" t="s">
        <v>11811</v>
      </c>
      <c r="AU730">
        <v>2018</v>
      </c>
      <c r="AV730">
        <v>98</v>
      </c>
      <c r="AW730">
        <v>2</v>
      </c>
      <c r="AX730" t="s">
        <v>74</v>
      </c>
      <c r="AY730" t="s">
        <v>74</v>
      </c>
      <c r="AZ730" t="s">
        <v>74</v>
      </c>
      <c r="BA730" t="s">
        <v>74</v>
      </c>
      <c r="BB730">
        <v>411</v>
      </c>
      <c r="BC730">
        <v>422</v>
      </c>
      <c r="BD730" t="s">
        <v>74</v>
      </c>
      <c r="BE730" t="s">
        <v>14201</v>
      </c>
      <c r="BF730" t="str">
        <f>HYPERLINK("http://dx.doi.org/10.1017/S0025315416001284","http://dx.doi.org/10.1017/S0025315416001284")</f>
        <v>http://dx.doi.org/10.1017/S0025315416001284</v>
      </c>
      <c r="BG730" t="s">
        <v>74</v>
      </c>
      <c r="BH730" t="s">
        <v>74</v>
      </c>
      <c r="BI730">
        <v>12</v>
      </c>
      <c r="BJ730" t="s">
        <v>3737</v>
      </c>
      <c r="BK730" t="s">
        <v>101</v>
      </c>
      <c r="BL730" t="s">
        <v>3737</v>
      </c>
      <c r="BM730" t="s">
        <v>14185</v>
      </c>
      <c r="BN730" t="s">
        <v>74</v>
      </c>
      <c r="BO730" t="s">
        <v>74</v>
      </c>
      <c r="BP730" t="s">
        <v>74</v>
      </c>
      <c r="BQ730" t="s">
        <v>74</v>
      </c>
      <c r="BR730" t="s">
        <v>105</v>
      </c>
      <c r="BS730" t="s">
        <v>14202</v>
      </c>
      <c r="BT730" t="str">
        <f>HYPERLINK("https%3A%2F%2Fwww.webofscience.com%2Fwos%2Fwoscc%2Ffull-record%2FWOS:000426876800018","View Full Record in Web of Science")</f>
        <v>View Full Record in Web of Science</v>
      </c>
    </row>
    <row r="731" spans="1:72" x14ac:dyDescent="0.15">
      <c r="A731" t="s">
        <v>72</v>
      </c>
      <c r="B731" t="s">
        <v>14203</v>
      </c>
      <c r="C731" t="s">
        <v>74</v>
      </c>
      <c r="D731" t="s">
        <v>74</v>
      </c>
      <c r="E731" t="s">
        <v>74</v>
      </c>
      <c r="F731" t="s">
        <v>14204</v>
      </c>
      <c r="G731" t="s">
        <v>74</v>
      </c>
      <c r="H731" t="s">
        <v>74</v>
      </c>
      <c r="I731" t="s">
        <v>14205</v>
      </c>
      <c r="J731" t="s">
        <v>14206</v>
      </c>
      <c r="K731" t="s">
        <v>74</v>
      </c>
      <c r="L731" t="s">
        <v>74</v>
      </c>
      <c r="M731" t="s">
        <v>78</v>
      </c>
      <c r="N731" t="s">
        <v>79</v>
      </c>
      <c r="O731" t="s">
        <v>74</v>
      </c>
      <c r="P731" t="s">
        <v>74</v>
      </c>
      <c r="Q731" t="s">
        <v>74</v>
      </c>
      <c r="R731" t="s">
        <v>74</v>
      </c>
      <c r="S731" t="s">
        <v>74</v>
      </c>
      <c r="T731" t="s">
        <v>14207</v>
      </c>
      <c r="U731" t="s">
        <v>14208</v>
      </c>
      <c r="V731" t="s">
        <v>14209</v>
      </c>
      <c r="W731" t="s">
        <v>14210</v>
      </c>
      <c r="X731" t="s">
        <v>14211</v>
      </c>
      <c r="Y731" t="s">
        <v>14212</v>
      </c>
      <c r="Z731" t="s">
        <v>14213</v>
      </c>
      <c r="AA731" t="s">
        <v>14214</v>
      </c>
      <c r="AB731" t="s">
        <v>14215</v>
      </c>
      <c r="AC731" t="s">
        <v>14216</v>
      </c>
      <c r="AD731" t="s">
        <v>14217</v>
      </c>
      <c r="AE731" t="s">
        <v>14218</v>
      </c>
      <c r="AF731" t="s">
        <v>74</v>
      </c>
      <c r="AG731">
        <v>76</v>
      </c>
      <c r="AH731">
        <v>11</v>
      </c>
      <c r="AI731">
        <v>12</v>
      </c>
      <c r="AJ731">
        <v>0</v>
      </c>
      <c r="AK731">
        <v>17</v>
      </c>
      <c r="AL731" t="s">
        <v>179</v>
      </c>
      <c r="AM731" t="s">
        <v>180</v>
      </c>
      <c r="AN731" t="s">
        <v>181</v>
      </c>
      <c r="AO731" t="s">
        <v>14219</v>
      </c>
      <c r="AP731" t="s">
        <v>14220</v>
      </c>
      <c r="AQ731" t="s">
        <v>74</v>
      </c>
      <c r="AR731" t="s">
        <v>14206</v>
      </c>
      <c r="AS731" t="s">
        <v>314</v>
      </c>
      <c r="AT731" t="s">
        <v>11811</v>
      </c>
      <c r="AU731">
        <v>2018</v>
      </c>
      <c r="AV731">
        <v>99</v>
      </c>
      <c r="AW731">
        <v>3</v>
      </c>
      <c r="AX731" t="s">
        <v>74</v>
      </c>
      <c r="AY731" t="s">
        <v>74</v>
      </c>
      <c r="AZ731" t="s">
        <v>74</v>
      </c>
      <c r="BA731" t="s">
        <v>74</v>
      </c>
      <c r="BB731">
        <v>700</v>
      </c>
      <c r="BC731">
        <v>713</v>
      </c>
      <c r="BD731" t="s">
        <v>74</v>
      </c>
      <c r="BE731" t="s">
        <v>14221</v>
      </c>
      <c r="BF731" t="str">
        <f>HYPERLINK("http://dx.doi.org/10.1002/ecy.2135","http://dx.doi.org/10.1002/ecy.2135")</f>
        <v>http://dx.doi.org/10.1002/ecy.2135</v>
      </c>
      <c r="BG731" t="s">
        <v>74</v>
      </c>
      <c r="BH731" t="s">
        <v>74</v>
      </c>
      <c r="BI731">
        <v>14</v>
      </c>
      <c r="BJ731" t="s">
        <v>314</v>
      </c>
      <c r="BK731" t="s">
        <v>101</v>
      </c>
      <c r="BL731" t="s">
        <v>315</v>
      </c>
      <c r="BM731" t="s">
        <v>14222</v>
      </c>
      <c r="BN731">
        <v>29315529</v>
      </c>
      <c r="BO731" t="s">
        <v>1785</v>
      </c>
      <c r="BP731" t="s">
        <v>74</v>
      </c>
      <c r="BQ731" t="s">
        <v>74</v>
      </c>
      <c r="BR731" t="s">
        <v>105</v>
      </c>
      <c r="BS731" t="s">
        <v>14223</v>
      </c>
      <c r="BT731" t="str">
        <f>HYPERLINK("https%3A%2F%2Fwww.webofscience.com%2Fwos%2Fwoscc%2Ffull-record%2FWOS:000426499800019","View Full Record in Web of Science")</f>
        <v>View Full Record in Web of Science</v>
      </c>
    </row>
    <row r="732" spans="1:72" x14ac:dyDescent="0.15">
      <c r="A732" t="s">
        <v>72</v>
      </c>
      <c r="B732" t="s">
        <v>14224</v>
      </c>
      <c r="C732" t="s">
        <v>74</v>
      </c>
      <c r="D732" t="s">
        <v>74</v>
      </c>
      <c r="E732" t="s">
        <v>74</v>
      </c>
      <c r="F732" t="s">
        <v>14225</v>
      </c>
      <c r="G732" t="s">
        <v>74</v>
      </c>
      <c r="H732" t="s">
        <v>74</v>
      </c>
      <c r="I732" t="s">
        <v>14226</v>
      </c>
      <c r="J732" t="s">
        <v>14227</v>
      </c>
      <c r="K732" t="s">
        <v>74</v>
      </c>
      <c r="L732" t="s">
        <v>74</v>
      </c>
      <c r="M732" t="s">
        <v>78</v>
      </c>
      <c r="N732" t="s">
        <v>79</v>
      </c>
      <c r="O732" t="s">
        <v>74</v>
      </c>
      <c r="P732" t="s">
        <v>74</v>
      </c>
      <c r="Q732" t="s">
        <v>74</v>
      </c>
      <c r="R732" t="s">
        <v>74</v>
      </c>
      <c r="S732" t="s">
        <v>74</v>
      </c>
      <c r="T732" t="s">
        <v>14228</v>
      </c>
      <c r="U732" t="s">
        <v>14229</v>
      </c>
      <c r="V732" t="s">
        <v>14230</v>
      </c>
      <c r="W732" t="s">
        <v>14231</v>
      </c>
      <c r="X732" t="s">
        <v>14232</v>
      </c>
      <c r="Y732" t="s">
        <v>14233</v>
      </c>
      <c r="Z732" t="s">
        <v>14234</v>
      </c>
      <c r="AA732" t="s">
        <v>14235</v>
      </c>
      <c r="AB732" t="s">
        <v>14236</v>
      </c>
      <c r="AC732" t="s">
        <v>14237</v>
      </c>
      <c r="AD732" t="s">
        <v>14238</v>
      </c>
      <c r="AE732" t="s">
        <v>74</v>
      </c>
      <c r="AF732" t="s">
        <v>74</v>
      </c>
      <c r="AG732">
        <v>23</v>
      </c>
      <c r="AH732">
        <v>2</v>
      </c>
      <c r="AI732">
        <v>2</v>
      </c>
      <c r="AJ732">
        <v>0</v>
      </c>
      <c r="AK732">
        <v>4</v>
      </c>
      <c r="AL732" t="s">
        <v>91</v>
      </c>
      <c r="AM732" t="s">
        <v>92</v>
      </c>
      <c r="AN732" t="s">
        <v>93</v>
      </c>
      <c r="AO732" t="s">
        <v>14239</v>
      </c>
      <c r="AP732" t="s">
        <v>14240</v>
      </c>
      <c r="AQ732" t="s">
        <v>74</v>
      </c>
      <c r="AR732" t="s">
        <v>14241</v>
      </c>
      <c r="AS732" t="s">
        <v>14242</v>
      </c>
      <c r="AT732" t="s">
        <v>11811</v>
      </c>
      <c r="AU732">
        <v>2018</v>
      </c>
      <c r="AV732">
        <v>117</v>
      </c>
      <c r="AW732">
        <v>3</v>
      </c>
      <c r="AX732" t="s">
        <v>74</v>
      </c>
      <c r="AY732" t="s">
        <v>74</v>
      </c>
      <c r="AZ732" t="s">
        <v>74</v>
      </c>
      <c r="BA732" t="s">
        <v>74</v>
      </c>
      <c r="BB732">
        <v>937</v>
      </c>
      <c r="BC732">
        <v>941</v>
      </c>
      <c r="BD732" t="s">
        <v>74</v>
      </c>
      <c r="BE732" t="s">
        <v>14243</v>
      </c>
      <c r="BF732" t="str">
        <f>HYPERLINK("http://dx.doi.org/10.1007/s00436-018-5779-9","http://dx.doi.org/10.1007/s00436-018-5779-9")</f>
        <v>http://dx.doi.org/10.1007/s00436-018-5779-9</v>
      </c>
      <c r="BG732" t="s">
        <v>74</v>
      </c>
      <c r="BH732" t="s">
        <v>74</v>
      </c>
      <c r="BI732">
        <v>5</v>
      </c>
      <c r="BJ732" t="s">
        <v>14244</v>
      </c>
      <c r="BK732" t="s">
        <v>101</v>
      </c>
      <c r="BL732" t="s">
        <v>14244</v>
      </c>
      <c r="BM732" t="s">
        <v>14245</v>
      </c>
      <c r="BN732">
        <v>29380051</v>
      </c>
      <c r="BO732" t="s">
        <v>288</v>
      </c>
      <c r="BP732" t="s">
        <v>74</v>
      </c>
      <c r="BQ732" t="s">
        <v>74</v>
      </c>
      <c r="BR732" t="s">
        <v>105</v>
      </c>
      <c r="BS732" t="s">
        <v>14246</v>
      </c>
      <c r="BT732" t="str">
        <f>HYPERLINK("https%3A%2F%2Fwww.webofscience.com%2Fwos%2Fwoscc%2Ffull-record%2FWOS:000426550800037","View Full Record in Web of Science")</f>
        <v>View Full Record in Web of Science</v>
      </c>
    </row>
    <row r="733" spans="1:72" x14ac:dyDescent="0.15">
      <c r="A733" t="s">
        <v>72</v>
      </c>
      <c r="B733" t="s">
        <v>14247</v>
      </c>
      <c r="C733" t="s">
        <v>74</v>
      </c>
      <c r="D733" t="s">
        <v>74</v>
      </c>
      <c r="E733" t="s">
        <v>74</v>
      </c>
      <c r="F733" t="s">
        <v>14248</v>
      </c>
      <c r="G733" t="s">
        <v>74</v>
      </c>
      <c r="H733" t="s">
        <v>74</v>
      </c>
      <c r="I733" t="s">
        <v>14249</v>
      </c>
      <c r="J733" t="s">
        <v>1552</v>
      </c>
      <c r="K733" t="s">
        <v>74</v>
      </c>
      <c r="L733" t="s">
        <v>74</v>
      </c>
      <c r="M733" t="s">
        <v>78</v>
      </c>
      <c r="N733" t="s">
        <v>79</v>
      </c>
      <c r="O733" t="s">
        <v>74</v>
      </c>
      <c r="P733" t="s">
        <v>74</v>
      </c>
      <c r="Q733" t="s">
        <v>74</v>
      </c>
      <c r="R733" t="s">
        <v>74</v>
      </c>
      <c r="S733" t="s">
        <v>74</v>
      </c>
      <c r="T733" t="s">
        <v>74</v>
      </c>
      <c r="U733" t="s">
        <v>14250</v>
      </c>
      <c r="V733" t="s">
        <v>14251</v>
      </c>
      <c r="W733" t="s">
        <v>14252</v>
      </c>
      <c r="X733" t="s">
        <v>14253</v>
      </c>
      <c r="Y733" t="s">
        <v>14254</v>
      </c>
      <c r="Z733" t="s">
        <v>14255</v>
      </c>
      <c r="AA733" t="s">
        <v>14256</v>
      </c>
      <c r="AB733" t="s">
        <v>14257</v>
      </c>
      <c r="AC733" t="s">
        <v>14258</v>
      </c>
      <c r="AD733" t="s">
        <v>14259</v>
      </c>
      <c r="AE733" t="s">
        <v>14260</v>
      </c>
      <c r="AF733" t="s">
        <v>74</v>
      </c>
      <c r="AG733">
        <v>49</v>
      </c>
      <c r="AH733">
        <v>19</v>
      </c>
      <c r="AI733">
        <v>20</v>
      </c>
      <c r="AJ733">
        <v>0</v>
      </c>
      <c r="AK733">
        <v>12</v>
      </c>
      <c r="AL733" t="s">
        <v>1563</v>
      </c>
      <c r="AM733" t="s">
        <v>1564</v>
      </c>
      <c r="AN733" t="s">
        <v>1565</v>
      </c>
      <c r="AO733" t="s">
        <v>1566</v>
      </c>
      <c r="AP733" t="s">
        <v>1567</v>
      </c>
      <c r="AQ733" t="s">
        <v>74</v>
      </c>
      <c r="AR733" t="s">
        <v>1568</v>
      </c>
      <c r="AS733" t="s">
        <v>1569</v>
      </c>
      <c r="AT733" t="s">
        <v>11841</v>
      </c>
      <c r="AU733">
        <v>2018</v>
      </c>
      <c r="AV733">
        <v>18</v>
      </c>
      <c r="AW733">
        <v>4</v>
      </c>
      <c r="AX733" t="s">
        <v>74</v>
      </c>
      <c r="AY733" t="s">
        <v>74</v>
      </c>
      <c r="AZ733" t="s">
        <v>74</v>
      </c>
      <c r="BA733" t="s">
        <v>74</v>
      </c>
      <c r="BB733">
        <v>2985</v>
      </c>
      <c r="BC733">
        <v>2997</v>
      </c>
      <c r="BD733" t="s">
        <v>74</v>
      </c>
      <c r="BE733" t="s">
        <v>14261</v>
      </c>
      <c r="BF733" t="str">
        <f>HYPERLINK("http://dx.doi.org/10.5194/acp-18-2985-2018","http://dx.doi.org/10.5194/acp-18-2985-2018")</f>
        <v>http://dx.doi.org/10.5194/acp-18-2985-2018</v>
      </c>
      <c r="BG733" t="s">
        <v>74</v>
      </c>
      <c r="BH733" t="s">
        <v>74</v>
      </c>
      <c r="BI733">
        <v>13</v>
      </c>
      <c r="BJ733" t="s">
        <v>285</v>
      </c>
      <c r="BK733" t="s">
        <v>101</v>
      </c>
      <c r="BL733" t="s">
        <v>286</v>
      </c>
      <c r="BM733" t="s">
        <v>14262</v>
      </c>
      <c r="BN733" t="s">
        <v>74</v>
      </c>
      <c r="BO733" t="s">
        <v>672</v>
      </c>
      <c r="BP733" t="s">
        <v>74</v>
      </c>
      <c r="BQ733" t="s">
        <v>74</v>
      </c>
      <c r="BR733" t="s">
        <v>105</v>
      </c>
      <c r="BS733" t="s">
        <v>14263</v>
      </c>
      <c r="BT733" t="str">
        <f>HYPERLINK("https%3A%2F%2Fwww.webofscience.com%2Fwos%2Fwoscc%2Ffull-record%2FWOS:000426556500005","View Full Record in Web of Science")</f>
        <v>View Full Record in Web of Science</v>
      </c>
    </row>
    <row r="734" spans="1:72" x14ac:dyDescent="0.15">
      <c r="A734" t="s">
        <v>72</v>
      </c>
      <c r="B734" t="s">
        <v>14264</v>
      </c>
      <c r="C734" t="s">
        <v>74</v>
      </c>
      <c r="D734" t="s">
        <v>74</v>
      </c>
      <c r="E734" t="s">
        <v>74</v>
      </c>
      <c r="F734" t="s">
        <v>14265</v>
      </c>
      <c r="G734" t="s">
        <v>74</v>
      </c>
      <c r="H734" t="s">
        <v>74</v>
      </c>
      <c r="I734" t="s">
        <v>14266</v>
      </c>
      <c r="J734" t="s">
        <v>4571</v>
      </c>
      <c r="K734" t="s">
        <v>74</v>
      </c>
      <c r="L734" t="s">
        <v>74</v>
      </c>
      <c r="M734" t="s">
        <v>78</v>
      </c>
      <c r="N734" t="s">
        <v>79</v>
      </c>
      <c r="O734" t="s">
        <v>74</v>
      </c>
      <c r="P734" t="s">
        <v>74</v>
      </c>
      <c r="Q734" t="s">
        <v>74</v>
      </c>
      <c r="R734" t="s">
        <v>74</v>
      </c>
      <c r="S734" t="s">
        <v>74</v>
      </c>
      <c r="T734" t="s">
        <v>74</v>
      </c>
      <c r="U734" t="s">
        <v>14267</v>
      </c>
      <c r="V734" t="s">
        <v>14268</v>
      </c>
      <c r="W734" t="s">
        <v>14269</v>
      </c>
      <c r="X734" t="s">
        <v>14270</v>
      </c>
      <c r="Y734" t="s">
        <v>14271</v>
      </c>
      <c r="Z734" t="s">
        <v>14272</v>
      </c>
      <c r="AA734" t="s">
        <v>14273</v>
      </c>
      <c r="AB734" t="s">
        <v>14274</v>
      </c>
      <c r="AC734" t="s">
        <v>14275</v>
      </c>
      <c r="AD734" t="s">
        <v>14276</v>
      </c>
      <c r="AE734" t="s">
        <v>14277</v>
      </c>
      <c r="AF734" t="s">
        <v>74</v>
      </c>
      <c r="AG734">
        <v>98</v>
      </c>
      <c r="AH734">
        <v>5</v>
      </c>
      <c r="AI734">
        <v>5</v>
      </c>
      <c r="AJ734">
        <v>2</v>
      </c>
      <c r="AK734">
        <v>29</v>
      </c>
      <c r="AL734" t="s">
        <v>179</v>
      </c>
      <c r="AM734" t="s">
        <v>180</v>
      </c>
      <c r="AN734" t="s">
        <v>181</v>
      </c>
      <c r="AO734" t="s">
        <v>4582</v>
      </c>
      <c r="AP734" t="s">
        <v>4583</v>
      </c>
      <c r="AQ734" t="s">
        <v>74</v>
      </c>
      <c r="AR734" t="s">
        <v>4584</v>
      </c>
      <c r="AS734" t="s">
        <v>4585</v>
      </c>
      <c r="AT734" t="s">
        <v>11811</v>
      </c>
      <c r="AU734">
        <v>2018</v>
      </c>
      <c r="AV734">
        <v>53</v>
      </c>
      <c r="AW734">
        <v>3</v>
      </c>
      <c r="AX734" t="s">
        <v>74</v>
      </c>
      <c r="AY734" t="s">
        <v>74</v>
      </c>
      <c r="AZ734" t="s">
        <v>74</v>
      </c>
      <c r="BA734" t="s">
        <v>74</v>
      </c>
      <c r="BB734">
        <v>448</v>
      </c>
      <c r="BC734">
        <v>466</v>
      </c>
      <c r="BD734" t="s">
        <v>74</v>
      </c>
      <c r="BE734" t="s">
        <v>14278</v>
      </c>
      <c r="BF734" t="str">
        <f>HYPERLINK("http://dx.doi.org/10.1111/maps.13026","http://dx.doi.org/10.1111/maps.13026")</f>
        <v>http://dx.doi.org/10.1111/maps.13026</v>
      </c>
      <c r="BG734" t="s">
        <v>74</v>
      </c>
      <c r="BH734" t="s">
        <v>74</v>
      </c>
      <c r="BI734">
        <v>19</v>
      </c>
      <c r="BJ734" t="s">
        <v>260</v>
      </c>
      <c r="BK734" t="s">
        <v>101</v>
      </c>
      <c r="BL734" t="s">
        <v>260</v>
      </c>
      <c r="BM734" t="s">
        <v>14279</v>
      </c>
      <c r="BN734" t="s">
        <v>74</v>
      </c>
      <c r="BO734" t="s">
        <v>162</v>
      </c>
      <c r="BP734" t="s">
        <v>74</v>
      </c>
      <c r="BQ734" t="s">
        <v>74</v>
      </c>
      <c r="BR734" t="s">
        <v>105</v>
      </c>
      <c r="BS734" t="s">
        <v>14280</v>
      </c>
      <c r="BT734" t="str">
        <f>HYPERLINK("https%3A%2F%2Fwww.webofscience.com%2Fwos%2Fwoscc%2Ffull-record%2FWOS:000426517500007","View Full Record in Web of Science")</f>
        <v>View Full Record in Web of Science</v>
      </c>
    </row>
    <row r="735" spans="1:72" x14ac:dyDescent="0.15">
      <c r="A735" t="s">
        <v>72</v>
      </c>
      <c r="B735" t="s">
        <v>14281</v>
      </c>
      <c r="C735" t="s">
        <v>74</v>
      </c>
      <c r="D735" t="s">
        <v>74</v>
      </c>
      <c r="E735" t="s">
        <v>74</v>
      </c>
      <c r="F735" t="s">
        <v>14282</v>
      </c>
      <c r="G735" t="s">
        <v>74</v>
      </c>
      <c r="H735" t="s">
        <v>74</v>
      </c>
      <c r="I735" t="s">
        <v>14283</v>
      </c>
      <c r="J735" t="s">
        <v>14284</v>
      </c>
      <c r="K735" t="s">
        <v>74</v>
      </c>
      <c r="L735" t="s">
        <v>74</v>
      </c>
      <c r="M735" t="s">
        <v>78</v>
      </c>
      <c r="N735" t="s">
        <v>79</v>
      </c>
      <c r="O735" t="s">
        <v>74</v>
      </c>
      <c r="P735" t="s">
        <v>74</v>
      </c>
      <c r="Q735" t="s">
        <v>74</v>
      </c>
      <c r="R735" t="s">
        <v>74</v>
      </c>
      <c r="S735" t="s">
        <v>74</v>
      </c>
      <c r="T735" t="s">
        <v>14285</v>
      </c>
      <c r="U735" t="s">
        <v>14286</v>
      </c>
      <c r="V735" t="s">
        <v>14287</v>
      </c>
      <c r="W735" t="s">
        <v>14288</v>
      </c>
      <c r="X735" t="s">
        <v>14289</v>
      </c>
      <c r="Y735" t="s">
        <v>14290</v>
      </c>
      <c r="Z735" t="s">
        <v>14291</v>
      </c>
      <c r="AA735" t="s">
        <v>74</v>
      </c>
      <c r="AB735" t="s">
        <v>14292</v>
      </c>
      <c r="AC735" t="s">
        <v>14293</v>
      </c>
      <c r="AD735" t="s">
        <v>5118</v>
      </c>
      <c r="AE735" t="s">
        <v>14294</v>
      </c>
      <c r="AF735" t="s">
        <v>74</v>
      </c>
      <c r="AG735">
        <v>80</v>
      </c>
      <c r="AH735">
        <v>11</v>
      </c>
      <c r="AI735">
        <v>13</v>
      </c>
      <c r="AJ735">
        <v>2</v>
      </c>
      <c r="AK735">
        <v>48</v>
      </c>
      <c r="AL735" t="s">
        <v>397</v>
      </c>
      <c r="AM735" t="s">
        <v>398</v>
      </c>
      <c r="AN735" t="s">
        <v>399</v>
      </c>
      <c r="AO735" t="s">
        <v>14295</v>
      </c>
      <c r="AP735" t="s">
        <v>14296</v>
      </c>
      <c r="AQ735" t="s">
        <v>74</v>
      </c>
      <c r="AR735" t="s">
        <v>14297</v>
      </c>
      <c r="AS735" t="s">
        <v>14298</v>
      </c>
      <c r="AT735" t="s">
        <v>11811</v>
      </c>
      <c r="AU735">
        <v>2018</v>
      </c>
      <c r="AV735">
        <v>188</v>
      </c>
      <c r="AW735">
        <v>2</v>
      </c>
      <c r="AX735" t="s">
        <v>74</v>
      </c>
      <c r="AY735" t="s">
        <v>74</v>
      </c>
      <c r="AZ735" t="s">
        <v>74</v>
      </c>
      <c r="BA735" t="s">
        <v>74</v>
      </c>
      <c r="BB735">
        <v>271</v>
      </c>
      <c r="BC735">
        <v>282</v>
      </c>
      <c r="BD735" t="s">
        <v>74</v>
      </c>
      <c r="BE735" t="s">
        <v>14299</v>
      </c>
      <c r="BF735" t="str">
        <f>HYPERLINK("http://dx.doi.org/10.1007/s00360-017-1124-3","http://dx.doi.org/10.1007/s00360-017-1124-3")</f>
        <v>http://dx.doi.org/10.1007/s00360-017-1124-3</v>
      </c>
      <c r="BG735" t="s">
        <v>74</v>
      </c>
      <c r="BH735" t="s">
        <v>74</v>
      </c>
      <c r="BI735">
        <v>12</v>
      </c>
      <c r="BJ735" t="s">
        <v>14300</v>
      </c>
      <c r="BK735" t="s">
        <v>101</v>
      </c>
      <c r="BL735" t="s">
        <v>14300</v>
      </c>
      <c r="BM735" t="s">
        <v>14301</v>
      </c>
      <c r="BN735">
        <v>28988313</v>
      </c>
      <c r="BO735" t="s">
        <v>980</v>
      </c>
      <c r="BP735" t="s">
        <v>74</v>
      </c>
      <c r="BQ735" t="s">
        <v>74</v>
      </c>
      <c r="BR735" t="s">
        <v>105</v>
      </c>
      <c r="BS735" t="s">
        <v>14302</v>
      </c>
      <c r="BT735" t="str">
        <f>HYPERLINK("https%3A%2F%2Fwww.webofscience.com%2Fwos%2Fwoscc%2Ffull-record%2FWOS:000426468000006","View Full Record in Web of Science")</f>
        <v>View Full Record in Web of Science</v>
      </c>
    </row>
    <row r="736" spans="1:72" x14ac:dyDescent="0.15">
      <c r="A736" t="s">
        <v>72</v>
      </c>
      <c r="B736" t="s">
        <v>14303</v>
      </c>
      <c r="C736" t="s">
        <v>74</v>
      </c>
      <c r="D736" t="s">
        <v>74</v>
      </c>
      <c r="E736" t="s">
        <v>74</v>
      </c>
      <c r="F736" t="s">
        <v>14304</v>
      </c>
      <c r="G736" t="s">
        <v>74</v>
      </c>
      <c r="H736" t="s">
        <v>74</v>
      </c>
      <c r="I736" t="s">
        <v>14305</v>
      </c>
      <c r="J736" t="s">
        <v>3853</v>
      </c>
      <c r="K736" t="s">
        <v>74</v>
      </c>
      <c r="L736" t="s">
        <v>74</v>
      </c>
      <c r="M736" t="s">
        <v>78</v>
      </c>
      <c r="N736" t="s">
        <v>79</v>
      </c>
      <c r="O736" t="s">
        <v>74</v>
      </c>
      <c r="P736" t="s">
        <v>74</v>
      </c>
      <c r="Q736" t="s">
        <v>74</v>
      </c>
      <c r="R736" t="s">
        <v>74</v>
      </c>
      <c r="S736" t="s">
        <v>74</v>
      </c>
      <c r="T736" t="s">
        <v>14306</v>
      </c>
      <c r="U736" t="s">
        <v>14307</v>
      </c>
      <c r="V736" t="s">
        <v>14308</v>
      </c>
      <c r="W736" t="s">
        <v>14309</v>
      </c>
      <c r="X736" t="s">
        <v>14310</v>
      </c>
      <c r="Y736" t="s">
        <v>14311</v>
      </c>
      <c r="Z736" t="s">
        <v>14312</v>
      </c>
      <c r="AA736" t="s">
        <v>14313</v>
      </c>
      <c r="AB736" t="s">
        <v>14314</v>
      </c>
      <c r="AC736" t="s">
        <v>14315</v>
      </c>
      <c r="AD736" t="s">
        <v>14316</v>
      </c>
      <c r="AE736" t="s">
        <v>14317</v>
      </c>
      <c r="AF736" t="s">
        <v>74</v>
      </c>
      <c r="AG736">
        <v>40</v>
      </c>
      <c r="AH736">
        <v>6</v>
      </c>
      <c r="AI736">
        <v>6</v>
      </c>
      <c r="AJ736">
        <v>0</v>
      </c>
      <c r="AK736">
        <v>17</v>
      </c>
      <c r="AL736" t="s">
        <v>425</v>
      </c>
      <c r="AM736" t="s">
        <v>278</v>
      </c>
      <c r="AN736" t="s">
        <v>426</v>
      </c>
      <c r="AO736" t="s">
        <v>3866</v>
      </c>
      <c r="AP736" t="s">
        <v>3867</v>
      </c>
      <c r="AQ736" t="s">
        <v>74</v>
      </c>
      <c r="AR736" t="s">
        <v>3868</v>
      </c>
      <c r="AS736" t="s">
        <v>3869</v>
      </c>
      <c r="AT736" t="s">
        <v>11811</v>
      </c>
      <c r="AU736">
        <v>2018</v>
      </c>
      <c r="AV736">
        <v>123</v>
      </c>
      <c r="AW736" t="s">
        <v>74</v>
      </c>
      <c r="AX736" t="s">
        <v>74</v>
      </c>
      <c r="AY736" t="s">
        <v>74</v>
      </c>
      <c r="AZ736" t="s">
        <v>74</v>
      </c>
      <c r="BA736" t="s">
        <v>74</v>
      </c>
      <c r="BB736">
        <v>98</v>
      </c>
      <c r="BC736">
        <v>109</v>
      </c>
      <c r="BD736" t="s">
        <v>74</v>
      </c>
      <c r="BE736" t="s">
        <v>14318</v>
      </c>
      <c r="BF736" t="str">
        <f>HYPERLINK("http://dx.doi.org/10.1016/j.ocemod.2018.01.005","http://dx.doi.org/10.1016/j.ocemod.2018.01.005")</f>
        <v>http://dx.doi.org/10.1016/j.ocemod.2018.01.005</v>
      </c>
      <c r="BG736" t="s">
        <v>74</v>
      </c>
      <c r="BH736" t="s">
        <v>74</v>
      </c>
      <c r="BI736">
        <v>12</v>
      </c>
      <c r="BJ736" t="s">
        <v>3871</v>
      </c>
      <c r="BK736" t="s">
        <v>101</v>
      </c>
      <c r="BL736" t="s">
        <v>3871</v>
      </c>
      <c r="BM736" t="s">
        <v>14319</v>
      </c>
      <c r="BN736" t="s">
        <v>74</v>
      </c>
      <c r="BO736" t="s">
        <v>74</v>
      </c>
      <c r="BP736" t="s">
        <v>74</v>
      </c>
      <c r="BQ736" t="s">
        <v>74</v>
      </c>
      <c r="BR736" t="s">
        <v>105</v>
      </c>
      <c r="BS736" t="s">
        <v>14320</v>
      </c>
      <c r="BT736" t="str">
        <f>HYPERLINK("https%3A%2F%2Fwww.webofscience.com%2Fwos%2Fwoscc%2Ffull-record%2FWOS:000426474800007","View Full Record in Web of Science")</f>
        <v>View Full Record in Web of Science</v>
      </c>
    </row>
    <row r="737" spans="1:72" x14ac:dyDescent="0.15">
      <c r="A737" t="s">
        <v>72</v>
      </c>
      <c r="B737" t="s">
        <v>14321</v>
      </c>
      <c r="C737" t="s">
        <v>74</v>
      </c>
      <c r="D737" t="s">
        <v>74</v>
      </c>
      <c r="E737" t="s">
        <v>74</v>
      </c>
      <c r="F737" t="s">
        <v>14322</v>
      </c>
      <c r="G737" t="s">
        <v>74</v>
      </c>
      <c r="H737" t="s">
        <v>74</v>
      </c>
      <c r="I737" t="s">
        <v>14323</v>
      </c>
      <c r="J737" t="s">
        <v>4845</v>
      </c>
      <c r="K737" t="s">
        <v>74</v>
      </c>
      <c r="L737" t="s">
        <v>74</v>
      </c>
      <c r="M737" t="s">
        <v>78</v>
      </c>
      <c r="N737" t="s">
        <v>79</v>
      </c>
      <c r="O737" t="s">
        <v>74</v>
      </c>
      <c r="P737" t="s">
        <v>74</v>
      </c>
      <c r="Q737" t="s">
        <v>74</v>
      </c>
      <c r="R737" t="s">
        <v>74</v>
      </c>
      <c r="S737" t="s">
        <v>74</v>
      </c>
      <c r="T737" t="s">
        <v>14324</v>
      </c>
      <c r="U737" t="s">
        <v>14325</v>
      </c>
      <c r="V737" t="s">
        <v>14326</v>
      </c>
      <c r="W737" t="s">
        <v>14327</v>
      </c>
      <c r="X737" t="s">
        <v>14328</v>
      </c>
      <c r="Y737" t="s">
        <v>14329</v>
      </c>
      <c r="Z737" t="s">
        <v>14330</v>
      </c>
      <c r="AA737" t="s">
        <v>14331</v>
      </c>
      <c r="AB737" t="s">
        <v>14332</v>
      </c>
      <c r="AC737" t="s">
        <v>14333</v>
      </c>
      <c r="AD737" t="s">
        <v>14334</v>
      </c>
      <c r="AE737" t="s">
        <v>14335</v>
      </c>
      <c r="AF737" t="s">
        <v>74</v>
      </c>
      <c r="AG737">
        <v>43</v>
      </c>
      <c r="AH737">
        <v>17</v>
      </c>
      <c r="AI737">
        <v>17</v>
      </c>
      <c r="AJ737">
        <v>0</v>
      </c>
      <c r="AK737">
        <v>28</v>
      </c>
      <c r="AL737" t="s">
        <v>179</v>
      </c>
      <c r="AM737" t="s">
        <v>180</v>
      </c>
      <c r="AN737" t="s">
        <v>181</v>
      </c>
      <c r="AO737" t="s">
        <v>4858</v>
      </c>
      <c r="AP737" t="s">
        <v>4859</v>
      </c>
      <c r="AQ737" t="s">
        <v>74</v>
      </c>
      <c r="AR737" t="s">
        <v>4860</v>
      </c>
      <c r="AS737" t="s">
        <v>4861</v>
      </c>
      <c r="AT737" t="s">
        <v>11811</v>
      </c>
      <c r="AU737">
        <v>2018</v>
      </c>
      <c r="AV737">
        <v>37</v>
      </c>
      <c r="AW737">
        <v>3</v>
      </c>
      <c r="AX737" t="s">
        <v>74</v>
      </c>
      <c r="AY737" t="s">
        <v>74</v>
      </c>
      <c r="AZ737" t="s">
        <v>74</v>
      </c>
      <c r="BA737" t="s">
        <v>74</v>
      </c>
      <c r="BB737">
        <v>807</v>
      </c>
      <c r="BC737">
        <v>815</v>
      </c>
      <c r="BD737" t="s">
        <v>74</v>
      </c>
      <c r="BE737" t="s">
        <v>14336</v>
      </c>
      <c r="BF737" t="str">
        <f>HYPERLINK("http://dx.doi.org/10.1002/etc.4009","http://dx.doi.org/10.1002/etc.4009")</f>
        <v>http://dx.doi.org/10.1002/etc.4009</v>
      </c>
      <c r="BG737" t="s">
        <v>74</v>
      </c>
      <c r="BH737" t="s">
        <v>74</v>
      </c>
      <c r="BI737">
        <v>9</v>
      </c>
      <c r="BJ737" t="s">
        <v>211</v>
      </c>
      <c r="BK737" t="s">
        <v>101</v>
      </c>
      <c r="BL737" t="s">
        <v>212</v>
      </c>
      <c r="BM737" t="s">
        <v>14337</v>
      </c>
      <c r="BN737">
        <v>29044611</v>
      </c>
      <c r="BO737" t="s">
        <v>288</v>
      </c>
      <c r="BP737" t="s">
        <v>74</v>
      </c>
      <c r="BQ737" t="s">
        <v>74</v>
      </c>
      <c r="BR737" t="s">
        <v>105</v>
      </c>
      <c r="BS737" t="s">
        <v>14338</v>
      </c>
      <c r="BT737" t="str">
        <f>HYPERLINK("https%3A%2F%2Fwww.webofscience.com%2Fwos%2Fwoscc%2Ffull-record%2FWOS:000426158000017","View Full Record in Web of Science")</f>
        <v>View Full Record in Web of Science</v>
      </c>
    </row>
    <row r="738" spans="1:72" x14ac:dyDescent="0.15">
      <c r="A738" t="s">
        <v>72</v>
      </c>
      <c r="B738" t="s">
        <v>14339</v>
      </c>
      <c r="C738" t="s">
        <v>74</v>
      </c>
      <c r="D738" t="s">
        <v>74</v>
      </c>
      <c r="E738" t="s">
        <v>74</v>
      </c>
      <c r="F738" t="s">
        <v>14340</v>
      </c>
      <c r="G738" t="s">
        <v>74</v>
      </c>
      <c r="H738" t="s">
        <v>74</v>
      </c>
      <c r="I738" t="s">
        <v>14341</v>
      </c>
      <c r="J738" t="s">
        <v>1249</v>
      </c>
      <c r="K738" t="s">
        <v>74</v>
      </c>
      <c r="L738" t="s">
        <v>74</v>
      </c>
      <c r="M738" t="s">
        <v>78</v>
      </c>
      <c r="N738" t="s">
        <v>79</v>
      </c>
      <c r="O738" t="s">
        <v>74</v>
      </c>
      <c r="P738" t="s">
        <v>74</v>
      </c>
      <c r="Q738" t="s">
        <v>74</v>
      </c>
      <c r="R738" t="s">
        <v>74</v>
      </c>
      <c r="S738" t="s">
        <v>74</v>
      </c>
      <c r="T738" t="s">
        <v>14342</v>
      </c>
      <c r="U738" t="s">
        <v>14343</v>
      </c>
      <c r="V738" t="s">
        <v>14344</v>
      </c>
      <c r="W738" t="s">
        <v>14345</v>
      </c>
      <c r="X738" t="s">
        <v>14346</v>
      </c>
      <c r="Y738" t="s">
        <v>14347</v>
      </c>
      <c r="Z738" t="s">
        <v>14348</v>
      </c>
      <c r="AA738" t="s">
        <v>14349</v>
      </c>
      <c r="AB738" t="s">
        <v>14350</v>
      </c>
      <c r="AC738" t="s">
        <v>14351</v>
      </c>
      <c r="AD738" t="s">
        <v>14352</v>
      </c>
      <c r="AE738" t="s">
        <v>14353</v>
      </c>
      <c r="AF738" t="s">
        <v>74</v>
      </c>
      <c r="AG738">
        <v>91</v>
      </c>
      <c r="AH738">
        <v>7</v>
      </c>
      <c r="AI738">
        <v>7</v>
      </c>
      <c r="AJ738">
        <v>2</v>
      </c>
      <c r="AK738">
        <v>26</v>
      </c>
      <c r="AL738" t="s">
        <v>914</v>
      </c>
      <c r="AM738" t="s">
        <v>452</v>
      </c>
      <c r="AN738" t="s">
        <v>915</v>
      </c>
      <c r="AO738" t="s">
        <v>1262</v>
      </c>
      <c r="AP738" t="s">
        <v>1263</v>
      </c>
      <c r="AQ738" t="s">
        <v>74</v>
      </c>
      <c r="AR738" t="s">
        <v>1264</v>
      </c>
      <c r="AS738" t="s">
        <v>1265</v>
      </c>
      <c r="AT738" t="s">
        <v>11811</v>
      </c>
      <c r="AU738">
        <v>2018</v>
      </c>
      <c r="AV738">
        <v>500</v>
      </c>
      <c r="AW738" t="s">
        <v>74</v>
      </c>
      <c r="AX738" t="s">
        <v>74</v>
      </c>
      <c r="AY738" t="s">
        <v>74</v>
      </c>
      <c r="AZ738" t="s">
        <v>74</v>
      </c>
      <c r="BA738" t="s">
        <v>74</v>
      </c>
      <c r="BB738">
        <v>120</v>
      </c>
      <c r="BC738">
        <v>131</v>
      </c>
      <c r="BD738" t="s">
        <v>74</v>
      </c>
      <c r="BE738" t="s">
        <v>14354</v>
      </c>
      <c r="BF738" t="str">
        <f>HYPERLINK("http://dx.doi.org/10.1016/j.jembe.2017.07.003","http://dx.doi.org/10.1016/j.jembe.2017.07.003")</f>
        <v>http://dx.doi.org/10.1016/j.jembe.2017.07.003</v>
      </c>
      <c r="BG738" t="s">
        <v>74</v>
      </c>
      <c r="BH738" t="s">
        <v>74</v>
      </c>
      <c r="BI738">
        <v>12</v>
      </c>
      <c r="BJ738" t="s">
        <v>1267</v>
      </c>
      <c r="BK738" t="s">
        <v>101</v>
      </c>
      <c r="BL738" t="s">
        <v>1268</v>
      </c>
      <c r="BM738" t="s">
        <v>14355</v>
      </c>
      <c r="BN738" t="s">
        <v>74</v>
      </c>
      <c r="BO738" t="s">
        <v>74</v>
      </c>
      <c r="BP738" t="s">
        <v>74</v>
      </c>
      <c r="BQ738" t="s">
        <v>74</v>
      </c>
      <c r="BR738" t="s">
        <v>105</v>
      </c>
      <c r="BS738" t="s">
        <v>14356</v>
      </c>
      <c r="BT738" t="str">
        <f>HYPERLINK("https%3A%2F%2Fwww.webofscience.com%2Fwos%2Fwoscc%2Ffull-record%2FWOS:000426230500014","View Full Record in Web of Science")</f>
        <v>View Full Record in Web of Science</v>
      </c>
    </row>
    <row r="739" spans="1:72" x14ac:dyDescent="0.15">
      <c r="A739" t="s">
        <v>72</v>
      </c>
      <c r="B739" t="s">
        <v>14357</v>
      </c>
      <c r="C739" t="s">
        <v>74</v>
      </c>
      <c r="D739" t="s">
        <v>74</v>
      </c>
      <c r="E739" t="s">
        <v>74</v>
      </c>
      <c r="F739" t="s">
        <v>14358</v>
      </c>
      <c r="G739" t="s">
        <v>74</v>
      </c>
      <c r="H739" t="s">
        <v>74</v>
      </c>
      <c r="I739" t="s">
        <v>14359</v>
      </c>
      <c r="J739" t="s">
        <v>7724</v>
      </c>
      <c r="K739" t="s">
        <v>74</v>
      </c>
      <c r="L739" t="s">
        <v>74</v>
      </c>
      <c r="M739" t="s">
        <v>78</v>
      </c>
      <c r="N739" t="s">
        <v>79</v>
      </c>
      <c r="O739" t="s">
        <v>74</v>
      </c>
      <c r="P739" t="s">
        <v>74</v>
      </c>
      <c r="Q739" t="s">
        <v>74</v>
      </c>
      <c r="R739" t="s">
        <v>74</v>
      </c>
      <c r="S739" t="s">
        <v>74</v>
      </c>
      <c r="T739" t="s">
        <v>74</v>
      </c>
      <c r="U739" t="s">
        <v>14360</v>
      </c>
      <c r="V739" t="s">
        <v>14361</v>
      </c>
      <c r="W739" t="s">
        <v>14362</v>
      </c>
      <c r="X739" t="s">
        <v>14363</v>
      </c>
      <c r="Y739" t="s">
        <v>14364</v>
      </c>
      <c r="Z739" t="s">
        <v>14365</v>
      </c>
      <c r="AA739" t="s">
        <v>14366</v>
      </c>
      <c r="AB739" t="s">
        <v>14367</v>
      </c>
      <c r="AC739" t="s">
        <v>14368</v>
      </c>
      <c r="AD739" t="s">
        <v>14369</v>
      </c>
      <c r="AE739" t="s">
        <v>14370</v>
      </c>
      <c r="AF739" t="s">
        <v>74</v>
      </c>
      <c r="AG739">
        <v>75</v>
      </c>
      <c r="AH739">
        <v>66</v>
      </c>
      <c r="AI739">
        <v>68</v>
      </c>
      <c r="AJ739">
        <v>0</v>
      </c>
      <c r="AK739">
        <v>29</v>
      </c>
      <c r="AL739" t="s">
        <v>1689</v>
      </c>
      <c r="AM739" t="s">
        <v>92</v>
      </c>
      <c r="AN739" t="s">
        <v>7736</v>
      </c>
      <c r="AO739" t="s">
        <v>7737</v>
      </c>
      <c r="AP739" t="s">
        <v>7738</v>
      </c>
      <c r="AQ739" t="s">
        <v>74</v>
      </c>
      <c r="AR739" t="s">
        <v>7739</v>
      </c>
      <c r="AS739" t="s">
        <v>7740</v>
      </c>
      <c r="AT739" t="s">
        <v>11811</v>
      </c>
      <c r="AU739">
        <v>2018</v>
      </c>
      <c r="AV739">
        <v>11</v>
      </c>
      <c r="AW739">
        <v>3</v>
      </c>
      <c r="AX739" t="s">
        <v>74</v>
      </c>
      <c r="AY739" t="s">
        <v>74</v>
      </c>
      <c r="AZ739" t="s">
        <v>74</v>
      </c>
      <c r="BA739" t="s">
        <v>74</v>
      </c>
      <c r="BB739">
        <v>190</v>
      </c>
      <c r="BC739" t="s">
        <v>7716</v>
      </c>
      <c r="BD739" t="s">
        <v>74</v>
      </c>
      <c r="BE739" t="s">
        <v>14371</v>
      </c>
      <c r="BF739" t="str">
        <f>HYPERLINK("http://dx.doi.org/10.1038/s41561-018-0069-9","http://dx.doi.org/10.1038/s41561-018-0069-9")</f>
        <v>http://dx.doi.org/10.1038/s41561-018-0069-9</v>
      </c>
      <c r="BG739" t="s">
        <v>74</v>
      </c>
      <c r="BH739" t="s">
        <v>74</v>
      </c>
      <c r="BI739">
        <v>9</v>
      </c>
      <c r="BJ739" t="s">
        <v>1243</v>
      </c>
      <c r="BK739" t="s">
        <v>101</v>
      </c>
      <c r="BL739" t="s">
        <v>1181</v>
      </c>
      <c r="BM739" t="s">
        <v>14372</v>
      </c>
      <c r="BN739" t="s">
        <v>74</v>
      </c>
      <c r="BO739" t="s">
        <v>8310</v>
      </c>
      <c r="BP739" t="s">
        <v>74</v>
      </c>
      <c r="BQ739" t="s">
        <v>74</v>
      </c>
      <c r="BR739" t="s">
        <v>105</v>
      </c>
      <c r="BS739" t="s">
        <v>14373</v>
      </c>
      <c r="BT739" t="str">
        <f>HYPERLINK("https%3A%2F%2Fwww.webofscience.com%2Fwos%2Fwoscc%2Ffull-record%2FWOS:000426311500012","View Full Record in Web of Science")</f>
        <v>View Full Record in Web of Science</v>
      </c>
    </row>
    <row r="740" spans="1:72" x14ac:dyDescent="0.15">
      <c r="A740" t="s">
        <v>72</v>
      </c>
      <c r="B740" t="s">
        <v>14374</v>
      </c>
      <c r="C740" t="s">
        <v>74</v>
      </c>
      <c r="D740" t="s">
        <v>74</v>
      </c>
      <c r="E740" t="s">
        <v>74</v>
      </c>
      <c r="F740" t="s">
        <v>14375</v>
      </c>
      <c r="G740" t="s">
        <v>74</v>
      </c>
      <c r="H740" t="s">
        <v>74</v>
      </c>
      <c r="I740" t="s">
        <v>14376</v>
      </c>
      <c r="J740" t="s">
        <v>7724</v>
      </c>
      <c r="K740" t="s">
        <v>74</v>
      </c>
      <c r="L740" t="s">
        <v>74</v>
      </c>
      <c r="M740" t="s">
        <v>78</v>
      </c>
      <c r="N740" t="s">
        <v>999</v>
      </c>
      <c r="O740" t="s">
        <v>74</v>
      </c>
      <c r="P740" t="s">
        <v>74</v>
      </c>
      <c r="Q740" t="s">
        <v>74</v>
      </c>
      <c r="R740" t="s">
        <v>74</v>
      </c>
      <c r="S740" t="s">
        <v>74</v>
      </c>
      <c r="T740" t="s">
        <v>74</v>
      </c>
      <c r="U740" t="s">
        <v>74</v>
      </c>
      <c r="V740" t="s">
        <v>74</v>
      </c>
      <c r="W740" t="s">
        <v>74</v>
      </c>
      <c r="X740" t="s">
        <v>74</v>
      </c>
      <c r="Y740" t="s">
        <v>74</v>
      </c>
      <c r="Z740" t="s">
        <v>74</v>
      </c>
      <c r="AA740" t="s">
        <v>14377</v>
      </c>
      <c r="AB740" t="s">
        <v>14378</v>
      </c>
      <c r="AC740" t="s">
        <v>74</v>
      </c>
      <c r="AD740" t="s">
        <v>74</v>
      </c>
      <c r="AE740" t="s">
        <v>74</v>
      </c>
      <c r="AF740" t="s">
        <v>74</v>
      </c>
      <c r="AG740">
        <v>1</v>
      </c>
      <c r="AH740">
        <v>0</v>
      </c>
      <c r="AI740">
        <v>0</v>
      </c>
      <c r="AJ740">
        <v>0</v>
      </c>
      <c r="AK740">
        <v>8</v>
      </c>
      <c r="AL740" t="s">
        <v>1689</v>
      </c>
      <c r="AM740" t="s">
        <v>92</v>
      </c>
      <c r="AN740" t="s">
        <v>7736</v>
      </c>
      <c r="AO740" t="s">
        <v>7737</v>
      </c>
      <c r="AP740" t="s">
        <v>7738</v>
      </c>
      <c r="AQ740" t="s">
        <v>74</v>
      </c>
      <c r="AR740" t="s">
        <v>7739</v>
      </c>
      <c r="AS740" t="s">
        <v>7740</v>
      </c>
      <c r="AT740" t="s">
        <v>11811</v>
      </c>
      <c r="AU740">
        <v>2018</v>
      </c>
      <c r="AV740">
        <v>11</v>
      </c>
      <c r="AW740">
        <v>3</v>
      </c>
      <c r="AX740" t="s">
        <v>74</v>
      </c>
      <c r="AY740" t="s">
        <v>74</v>
      </c>
      <c r="AZ740" t="s">
        <v>74</v>
      </c>
      <c r="BA740" t="s">
        <v>74</v>
      </c>
      <c r="BB740">
        <v>217</v>
      </c>
      <c r="BC740">
        <v>217</v>
      </c>
      <c r="BD740" t="s">
        <v>74</v>
      </c>
      <c r="BE740" t="s">
        <v>14379</v>
      </c>
      <c r="BF740" t="str">
        <f>HYPERLINK("http://dx.doi.org/10.1038/s41561-018-0067-y","http://dx.doi.org/10.1038/s41561-018-0067-y")</f>
        <v>http://dx.doi.org/10.1038/s41561-018-0067-y</v>
      </c>
      <c r="BG740" t="s">
        <v>74</v>
      </c>
      <c r="BH740" t="s">
        <v>74</v>
      </c>
      <c r="BI740">
        <v>1</v>
      </c>
      <c r="BJ740" t="s">
        <v>1243</v>
      </c>
      <c r="BK740" t="s">
        <v>101</v>
      </c>
      <c r="BL740" t="s">
        <v>1181</v>
      </c>
      <c r="BM740" t="s">
        <v>14372</v>
      </c>
      <c r="BN740" t="s">
        <v>74</v>
      </c>
      <c r="BO740" t="s">
        <v>162</v>
      </c>
      <c r="BP740" t="s">
        <v>74</v>
      </c>
      <c r="BQ740" t="s">
        <v>74</v>
      </c>
      <c r="BR740" t="s">
        <v>105</v>
      </c>
      <c r="BS740" t="s">
        <v>14380</v>
      </c>
      <c r="BT740" t="str">
        <f>HYPERLINK("https%3A%2F%2Fwww.webofscience.com%2Fwos%2Fwoscc%2Ffull-record%2FWOS:000426311500019","View Full Record in Web of Science")</f>
        <v>View Full Record in Web of Science</v>
      </c>
    </row>
    <row r="741" spans="1:72" x14ac:dyDescent="0.15">
      <c r="A741" t="s">
        <v>72</v>
      </c>
      <c r="B741" t="s">
        <v>14381</v>
      </c>
      <c r="C741" t="s">
        <v>74</v>
      </c>
      <c r="D741" t="s">
        <v>74</v>
      </c>
      <c r="E741" t="s">
        <v>74</v>
      </c>
      <c r="F741" t="s">
        <v>14382</v>
      </c>
      <c r="G741" t="s">
        <v>74</v>
      </c>
      <c r="H741" t="s">
        <v>74</v>
      </c>
      <c r="I741" t="s">
        <v>14383</v>
      </c>
      <c r="J741" t="s">
        <v>14384</v>
      </c>
      <c r="K741" t="s">
        <v>74</v>
      </c>
      <c r="L741" t="s">
        <v>74</v>
      </c>
      <c r="M741" t="s">
        <v>78</v>
      </c>
      <c r="N741" t="s">
        <v>79</v>
      </c>
      <c r="O741" t="s">
        <v>74</v>
      </c>
      <c r="P741" t="s">
        <v>74</v>
      </c>
      <c r="Q741" t="s">
        <v>74</v>
      </c>
      <c r="R741" t="s">
        <v>74</v>
      </c>
      <c r="S741" t="s">
        <v>74</v>
      </c>
      <c r="T741" t="s">
        <v>14385</v>
      </c>
      <c r="U741" t="s">
        <v>14386</v>
      </c>
      <c r="V741" t="s">
        <v>14387</v>
      </c>
      <c r="W741" t="s">
        <v>14388</v>
      </c>
      <c r="X741" t="s">
        <v>14389</v>
      </c>
      <c r="Y741" t="s">
        <v>14390</v>
      </c>
      <c r="Z741" t="s">
        <v>14391</v>
      </c>
      <c r="AA741" t="s">
        <v>14392</v>
      </c>
      <c r="AB741" t="s">
        <v>14393</v>
      </c>
      <c r="AC741" t="s">
        <v>14394</v>
      </c>
      <c r="AD741" t="s">
        <v>14395</v>
      </c>
      <c r="AE741" t="s">
        <v>14396</v>
      </c>
      <c r="AF741" t="s">
        <v>74</v>
      </c>
      <c r="AG741">
        <v>68</v>
      </c>
      <c r="AH741">
        <v>13</v>
      </c>
      <c r="AI741">
        <v>15</v>
      </c>
      <c r="AJ741">
        <v>4</v>
      </c>
      <c r="AK741">
        <v>24</v>
      </c>
      <c r="AL741" t="s">
        <v>397</v>
      </c>
      <c r="AM741" t="s">
        <v>398</v>
      </c>
      <c r="AN741" t="s">
        <v>399</v>
      </c>
      <c r="AO741" t="s">
        <v>14397</v>
      </c>
      <c r="AP741" t="s">
        <v>14398</v>
      </c>
      <c r="AQ741" t="s">
        <v>74</v>
      </c>
      <c r="AR741" t="s">
        <v>14399</v>
      </c>
      <c r="AS741" t="s">
        <v>14400</v>
      </c>
      <c r="AT741" t="s">
        <v>11811</v>
      </c>
      <c r="AU741">
        <v>2018</v>
      </c>
      <c r="AV741">
        <v>68</v>
      </c>
      <c r="AW741">
        <v>3</v>
      </c>
      <c r="AX741" t="s">
        <v>74</v>
      </c>
      <c r="AY741" t="s">
        <v>74</v>
      </c>
      <c r="AZ741" t="s">
        <v>74</v>
      </c>
      <c r="BA741" t="s">
        <v>74</v>
      </c>
      <c r="BB741">
        <v>295</v>
      </c>
      <c r="BC741">
        <v>308</v>
      </c>
      <c r="BD741" t="s">
        <v>74</v>
      </c>
      <c r="BE741" t="s">
        <v>14401</v>
      </c>
      <c r="BF741" t="str">
        <f>HYPERLINK("http://dx.doi.org/10.1007/s10236-018-1131-2","http://dx.doi.org/10.1007/s10236-018-1131-2")</f>
        <v>http://dx.doi.org/10.1007/s10236-018-1131-2</v>
      </c>
      <c r="BG741" t="s">
        <v>74</v>
      </c>
      <c r="BH741" t="s">
        <v>74</v>
      </c>
      <c r="BI741">
        <v>14</v>
      </c>
      <c r="BJ741" t="s">
        <v>364</v>
      </c>
      <c r="BK741" t="s">
        <v>101</v>
      </c>
      <c r="BL741" t="s">
        <v>364</v>
      </c>
      <c r="BM741" t="s">
        <v>14402</v>
      </c>
      <c r="BN741" t="s">
        <v>74</v>
      </c>
      <c r="BO741" t="s">
        <v>4840</v>
      </c>
      <c r="BP741" t="s">
        <v>74</v>
      </c>
      <c r="BQ741" t="s">
        <v>74</v>
      </c>
      <c r="BR741" t="s">
        <v>105</v>
      </c>
      <c r="BS741" t="s">
        <v>14403</v>
      </c>
      <c r="BT741" t="str">
        <f>HYPERLINK("https%3A%2F%2Fwww.webofscience.com%2Fwos%2Fwoscc%2Ffull-record%2FWOS:000426073000001","View Full Record in Web of Science")</f>
        <v>View Full Record in Web of Science</v>
      </c>
    </row>
    <row r="742" spans="1:72" x14ac:dyDescent="0.15">
      <c r="A742" t="s">
        <v>72</v>
      </c>
      <c r="B742" t="s">
        <v>14404</v>
      </c>
      <c r="C742" t="s">
        <v>74</v>
      </c>
      <c r="D742" t="s">
        <v>74</v>
      </c>
      <c r="E742" t="s">
        <v>74</v>
      </c>
      <c r="F742" t="s">
        <v>14405</v>
      </c>
      <c r="G742" t="s">
        <v>74</v>
      </c>
      <c r="H742" t="s">
        <v>74</v>
      </c>
      <c r="I742" t="s">
        <v>14406</v>
      </c>
      <c r="J742" t="s">
        <v>14407</v>
      </c>
      <c r="K742" t="s">
        <v>74</v>
      </c>
      <c r="L742" t="s">
        <v>74</v>
      </c>
      <c r="M742" t="s">
        <v>78</v>
      </c>
      <c r="N742" t="s">
        <v>79</v>
      </c>
      <c r="O742" t="s">
        <v>74</v>
      </c>
      <c r="P742" t="s">
        <v>74</v>
      </c>
      <c r="Q742" t="s">
        <v>74</v>
      </c>
      <c r="R742" t="s">
        <v>74</v>
      </c>
      <c r="S742" t="s">
        <v>74</v>
      </c>
      <c r="T742" t="s">
        <v>14408</v>
      </c>
      <c r="U742" t="s">
        <v>14409</v>
      </c>
      <c r="V742" t="s">
        <v>14410</v>
      </c>
      <c r="W742" t="s">
        <v>14411</v>
      </c>
      <c r="X742" t="s">
        <v>14412</v>
      </c>
      <c r="Y742" t="s">
        <v>14413</v>
      </c>
      <c r="Z742" t="s">
        <v>14414</v>
      </c>
      <c r="AA742" t="s">
        <v>14415</v>
      </c>
      <c r="AB742" t="s">
        <v>14416</v>
      </c>
      <c r="AC742" t="s">
        <v>14417</v>
      </c>
      <c r="AD742" t="s">
        <v>14418</v>
      </c>
      <c r="AE742" t="s">
        <v>14419</v>
      </c>
      <c r="AF742" t="s">
        <v>74</v>
      </c>
      <c r="AG742">
        <v>64</v>
      </c>
      <c r="AH742">
        <v>27</v>
      </c>
      <c r="AI742">
        <v>29</v>
      </c>
      <c r="AJ742">
        <v>2</v>
      </c>
      <c r="AK742">
        <v>24</v>
      </c>
      <c r="AL742" t="s">
        <v>91</v>
      </c>
      <c r="AM742" t="s">
        <v>92</v>
      </c>
      <c r="AN742" t="s">
        <v>205</v>
      </c>
      <c r="AO742" t="s">
        <v>14420</v>
      </c>
      <c r="AP742" t="s">
        <v>14421</v>
      </c>
      <c r="AQ742" t="s">
        <v>74</v>
      </c>
      <c r="AR742" t="s">
        <v>14422</v>
      </c>
      <c r="AS742" t="s">
        <v>14423</v>
      </c>
      <c r="AT742" t="s">
        <v>11811</v>
      </c>
      <c r="AU742">
        <v>2018</v>
      </c>
      <c r="AV742">
        <v>37</v>
      </c>
      <c r="AW742">
        <v>3</v>
      </c>
      <c r="AX742" t="s">
        <v>74</v>
      </c>
      <c r="AY742" t="s">
        <v>74</v>
      </c>
      <c r="AZ742" t="s">
        <v>74</v>
      </c>
      <c r="BA742" t="s">
        <v>74</v>
      </c>
      <c r="BB742">
        <v>453</v>
      </c>
      <c r="BC742">
        <v>465</v>
      </c>
      <c r="BD742" t="s">
        <v>74</v>
      </c>
      <c r="BE742" t="s">
        <v>14424</v>
      </c>
      <c r="BF742" t="str">
        <f>HYPERLINK("http://dx.doi.org/10.1007/s00299-017-2242-9","http://dx.doi.org/10.1007/s00299-017-2242-9")</f>
        <v>http://dx.doi.org/10.1007/s00299-017-2242-9</v>
      </c>
      <c r="BG742" t="s">
        <v>74</v>
      </c>
      <c r="BH742" t="s">
        <v>74</v>
      </c>
      <c r="BI742">
        <v>13</v>
      </c>
      <c r="BJ742" t="s">
        <v>2542</v>
      </c>
      <c r="BK742" t="s">
        <v>101</v>
      </c>
      <c r="BL742" t="s">
        <v>2542</v>
      </c>
      <c r="BM742" t="s">
        <v>14425</v>
      </c>
      <c r="BN742">
        <v>29247292</v>
      </c>
      <c r="BO742" t="s">
        <v>74</v>
      </c>
      <c r="BP742" t="s">
        <v>74</v>
      </c>
      <c r="BQ742" t="s">
        <v>74</v>
      </c>
      <c r="BR742" t="s">
        <v>105</v>
      </c>
      <c r="BS742" t="s">
        <v>14426</v>
      </c>
      <c r="BT742" t="str">
        <f>HYPERLINK("https%3A%2F%2Fwww.webofscience.com%2Fwos%2Fwoscc%2Ffull-record%2FWOS:000426064000006","View Full Record in Web of Science")</f>
        <v>View Full Record in Web of Science</v>
      </c>
    </row>
    <row r="743" spans="1:72" x14ac:dyDescent="0.15">
      <c r="A743" t="s">
        <v>72</v>
      </c>
      <c r="B743" t="s">
        <v>14427</v>
      </c>
      <c r="C743" t="s">
        <v>74</v>
      </c>
      <c r="D743" t="s">
        <v>74</v>
      </c>
      <c r="E743" t="s">
        <v>74</v>
      </c>
      <c r="F743" t="s">
        <v>14428</v>
      </c>
      <c r="G743" t="s">
        <v>74</v>
      </c>
      <c r="H743" t="s">
        <v>74</v>
      </c>
      <c r="I743" t="s">
        <v>14429</v>
      </c>
      <c r="J743" t="s">
        <v>77</v>
      </c>
      <c r="K743" t="s">
        <v>74</v>
      </c>
      <c r="L743" t="s">
        <v>74</v>
      </c>
      <c r="M743" t="s">
        <v>78</v>
      </c>
      <c r="N743" t="s">
        <v>79</v>
      </c>
      <c r="O743" t="s">
        <v>74</v>
      </c>
      <c r="P743" t="s">
        <v>74</v>
      </c>
      <c r="Q743" t="s">
        <v>74</v>
      </c>
      <c r="R743" t="s">
        <v>74</v>
      </c>
      <c r="S743" t="s">
        <v>74</v>
      </c>
      <c r="T743" t="s">
        <v>14430</v>
      </c>
      <c r="U743" t="s">
        <v>14431</v>
      </c>
      <c r="V743" t="s">
        <v>14432</v>
      </c>
      <c r="W743" t="s">
        <v>14433</v>
      </c>
      <c r="X743" t="s">
        <v>14172</v>
      </c>
      <c r="Y743" t="s">
        <v>14434</v>
      </c>
      <c r="Z743" t="s">
        <v>14435</v>
      </c>
      <c r="AA743" t="s">
        <v>14436</v>
      </c>
      <c r="AB743" t="s">
        <v>14437</v>
      </c>
      <c r="AC743" t="s">
        <v>14438</v>
      </c>
      <c r="AD743" t="s">
        <v>14439</v>
      </c>
      <c r="AE743" t="s">
        <v>14440</v>
      </c>
      <c r="AF743" t="s">
        <v>74</v>
      </c>
      <c r="AG743">
        <v>67</v>
      </c>
      <c r="AH743">
        <v>3</v>
      </c>
      <c r="AI743">
        <v>3</v>
      </c>
      <c r="AJ743">
        <v>0</v>
      </c>
      <c r="AK743">
        <v>31</v>
      </c>
      <c r="AL743" t="s">
        <v>91</v>
      </c>
      <c r="AM743" t="s">
        <v>92</v>
      </c>
      <c r="AN743" t="s">
        <v>93</v>
      </c>
      <c r="AO743" t="s">
        <v>94</v>
      </c>
      <c r="AP743" t="s">
        <v>95</v>
      </c>
      <c r="AQ743" t="s">
        <v>74</v>
      </c>
      <c r="AR743" t="s">
        <v>96</v>
      </c>
      <c r="AS743" t="s">
        <v>97</v>
      </c>
      <c r="AT743" t="s">
        <v>11811</v>
      </c>
      <c r="AU743">
        <v>2018</v>
      </c>
      <c r="AV743">
        <v>41</v>
      </c>
      <c r="AW743">
        <v>3</v>
      </c>
      <c r="AX743" t="s">
        <v>74</v>
      </c>
      <c r="AY743" t="s">
        <v>74</v>
      </c>
      <c r="AZ743" t="s">
        <v>74</v>
      </c>
      <c r="BA743" t="s">
        <v>74</v>
      </c>
      <c r="BB743">
        <v>469</v>
      </c>
      <c r="BC743">
        <v>480</v>
      </c>
      <c r="BD743" t="s">
        <v>74</v>
      </c>
      <c r="BE743" t="s">
        <v>14441</v>
      </c>
      <c r="BF743" t="str">
        <f>HYPERLINK("http://dx.doi.org/10.1007/s00300-017-2206-0","http://dx.doi.org/10.1007/s00300-017-2206-0")</f>
        <v>http://dx.doi.org/10.1007/s00300-017-2206-0</v>
      </c>
      <c r="BG743" t="s">
        <v>74</v>
      </c>
      <c r="BH743" t="s">
        <v>74</v>
      </c>
      <c r="BI743">
        <v>12</v>
      </c>
      <c r="BJ743" t="s">
        <v>100</v>
      </c>
      <c r="BK743" t="s">
        <v>101</v>
      </c>
      <c r="BL743" t="s">
        <v>102</v>
      </c>
      <c r="BM743" t="s">
        <v>12518</v>
      </c>
      <c r="BN743" t="s">
        <v>74</v>
      </c>
      <c r="BO743" t="s">
        <v>74</v>
      </c>
      <c r="BP743" t="s">
        <v>74</v>
      </c>
      <c r="BQ743" t="s">
        <v>74</v>
      </c>
      <c r="BR743" t="s">
        <v>105</v>
      </c>
      <c r="BS743" t="s">
        <v>14442</v>
      </c>
      <c r="BT743" t="str">
        <f>HYPERLINK("https%3A%2F%2Fwww.webofscience.com%2Fwos%2Fwoscc%2Ffull-record%2FWOS:000425956700009","View Full Record in Web of Science")</f>
        <v>View Full Record in Web of Science</v>
      </c>
    </row>
    <row r="744" spans="1:72" x14ac:dyDescent="0.15">
      <c r="A744" t="s">
        <v>72</v>
      </c>
      <c r="B744" t="s">
        <v>14443</v>
      </c>
      <c r="C744" t="s">
        <v>74</v>
      </c>
      <c r="D744" t="s">
        <v>74</v>
      </c>
      <c r="E744" t="s">
        <v>74</v>
      </c>
      <c r="F744" t="s">
        <v>14444</v>
      </c>
      <c r="G744" t="s">
        <v>74</v>
      </c>
      <c r="H744" t="s">
        <v>74</v>
      </c>
      <c r="I744" t="s">
        <v>14445</v>
      </c>
      <c r="J744" t="s">
        <v>77</v>
      </c>
      <c r="K744" t="s">
        <v>74</v>
      </c>
      <c r="L744" t="s">
        <v>74</v>
      </c>
      <c r="M744" t="s">
        <v>78</v>
      </c>
      <c r="N744" t="s">
        <v>79</v>
      </c>
      <c r="O744" t="s">
        <v>74</v>
      </c>
      <c r="P744" t="s">
        <v>74</v>
      </c>
      <c r="Q744" t="s">
        <v>74</v>
      </c>
      <c r="R744" t="s">
        <v>74</v>
      </c>
      <c r="S744" t="s">
        <v>74</v>
      </c>
      <c r="T744" t="s">
        <v>14446</v>
      </c>
      <c r="U744" t="s">
        <v>14447</v>
      </c>
      <c r="V744" t="s">
        <v>14448</v>
      </c>
      <c r="W744" t="s">
        <v>14449</v>
      </c>
      <c r="X744" t="s">
        <v>14450</v>
      </c>
      <c r="Y744" t="s">
        <v>14451</v>
      </c>
      <c r="Z744" t="s">
        <v>14452</v>
      </c>
      <c r="AA744" t="s">
        <v>74</v>
      </c>
      <c r="AB744" t="s">
        <v>14453</v>
      </c>
      <c r="AC744" t="s">
        <v>14454</v>
      </c>
      <c r="AD744" t="s">
        <v>14455</v>
      </c>
      <c r="AE744" t="s">
        <v>14456</v>
      </c>
      <c r="AF744" t="s">
        <v>74</v>
      </c>
      <c r="AG744">
        <v>27</v>
      </c>
      <c r="AH744">
        <v>5</v>
      </c>
      <c r="AI744">
        <v>5</v>
      </c>
      <c r="AJ744">
        <v>2</v>
      </c>
      <c r="AK744">
        <v>13</v>
      </c>
      <c r="AL744" t="s">
        <v>91</v>
      </c>
      <c r="AM744" t="s">
        <v>92</v>
      </c>
      <c r="AN744" t="s">
        <v>93</v>
      </c>
      <c r="AO744" t="s">
        <v>94</v>
      </c>
      <c r="AP744" t="s">
        <v>95</v>
      </c>
      <c r="AQ744" t="s">
        <v>74</v>
      </c>
      <c r="AR744" t="s">
        <v>96</v>
      </c>
      <c r="AS744" t="s">
        <v>97</v>
      </c>
      <c r="AT744" t="s">
        <v>11811</v>
      </c>
      <c r="AU744">
        <v>2018</v>
      </c>
      <c r="AV744">
        <v>41</v>
      </c>
      <c r="AW744">
        <v>3</v>
      </c>
      <c r="AX744" t="s">
        <v>74</v>
      </c>
      <c r="AY744" t="s">
        <v>74</v>
      </c>
      <c r="AZ744" t="s">
        <v>74</v>
      </c>
      <c r="BA744" t="s">
        <v>74</v>
      </c>
      <c r="BB744">
        <v>481</v>
      </c>
      <c r="BC744">
        <v>485</v>
      </c>
      <c r="BD744" t="s">
        <v>74</v>
      </c>
      <c r="BE744" t="s">
        <v>14457</v>
      </c>
      <c r="BF744" t="str">
        <f>HYPERLINK("http://dx.doi.org/10.1007/s00300-017-2207-z","http://dx.doi.org/10.1007/s00300-017-2207-z")</f>
        <v>http://dx.doi.org/10.1007/s00300-017-2207-z</v>
      </c>
      <c r="BG744" t="s">
        <v>74</v>
      </c>
      <c r="BH744" t="s">
        <v>74</v>
      </c>
      <c r="BI744">
        <v>5</v>
      </c>
      <c r="BJ744" t="s">
        <v>100</v>
      </c>
      <c r="BK744" t="s">
        <v>101</v>
      </c>
      <c r="BL744" t="s">
        <v>102</v>
      </c>
      <c r="BM744" t="s">
        <v>12518</v>
      </c>
      <c r="BN744" t="s">
        <v>74</v>
      </c>
      <c r="BO744" t="s">
        <v>980</v>
      </c>
      <c r="BP744" t="s">
        <v>74</v>
      </c>
      <c r="BQ744" t="s">
        <v>74</v>
      </c>
      <c r="BR744" t="s">
        <v>105</v>
      </c>
      <c r="BS744" t="s">
        <v>14458</v>
      </c>
      <c r="BT744" t="str">
        <f>HYPERLINK("https%3A%2F%2Fwww.webofscience.com%2Fwos%2Fwoscc%2Ffull-record%2FWOS:000425956700010","View Full Record in Web of Science")</f>
        <v>View Full Record in Web of Science</v>
      </c>
    </row>
    <row r="745" spans="1:72" x14ac:dyDescent="0.15">
      <c r="A745" t="s">
        <v>72</v>
      </c>
      <c r="B745" t="s">
        <v>14459</v>
      </c>
      <c r="C745" t="s">
        <v>74</v>
      </c>
      <c r="D745" t="s">
        <v>74</v>
      </c>
      <c r="E745" t="s">
        <v>74</v>
      </c>
      <c r="F745" t="s">
        <v>14460</v>
      </c>
      <c r="G745" t="s">
        <v>74</v>
      </c>
      <c r="H745" t="s">
        <v>74</v>
      </c>
      <c r="I745" t="s">
        <v>14461</v>
      </c>
      <c r="J745" t="s">
        <v>77</v>
      </c>
      <c r="K745" t="s">
        <v>74</v>
      </c>
      <c r="L745" t="s">
        <v>74</v>
      </c>
      <c r="M745" t="s">
        <v>78</v>
      </c>
      <c r="N745" t="s">
        <v>79</v>
      </c>
      <c r="O745" t="s">
        <v>74</v>
      </c>
      <c r="P745" t="s">
        <v>74</v>
      </c>
      <c r="Q745" t="s">
        <v>74</v>
      </c>
      <c r="R745" t="s">
        <v>74</v>
      </c>
      <c r="S745" t="s">
        <v>74</v>
      </c>
      <c r="T745" t="s">
        <v>14462</v>
      </c>
      <c r="U745" t="s">
        <v>14463</v>
      </c>
      <c r="V745" t="s">
        <v>14464</v>
      </c>
      <c r="W745" t="s">
        <v>14465</v>
      </c>
      <c r="X745" t="s">
        <v>14466</v>
      </c>
      <c r="Y745" t="s">
        <v>14467</v>
      </c>
      <c r="Z745" t="s">
        <v>11582</v>
      </c>
      <c r="AA745" t="s">
        <v>14468</v>
      </c>
      <c r="AB745" t="s">
        <v>14469</v>
      </c>
      <c r="AC745" t="s">
        <v>14470</v>
      </c>
      <c r="AD745" t="s">
        <v>14471</v>
      </c>
      <c r="AE745" t="s">
        <v>14472</v>
      </c>
      <c r="AF745" t="s">
        <v>74</v>
      </c>
      <c r="AG745">
        <v>65</v>
      </c>
      <c r="AH745">
        <v>8</v>
      </c>
      <c r="AI745">
        <v>8</v>
      </c>
      <c r="AJ745">
        <v>1</v>
      </c>
      <c r="AK745">
        <v>19</v>
      </c>
      <c r="AL745" t="s">
        <v>91</v>
      </c>
      <c r="AM745" t="s">
        <v>92</v>
      </c>
      <c r="AN745" t="s">
        <v>205</v>
      </c>
      <c r="AO745" t="s">
        <v>94</v>
      </c>
      <c r="AP745" t="s">
        <v>95</v>
      </c>
      <c r="AQ745" t="s">
        <v>74</v>
      </c>
      <c r="AR745" t="s">
        <v>96</v>
      </c>
      <c r="AS745" t="s">
        <v>97</v>
      </c>
      <c r="AT745" t="s">
        <v>11811</v>
      </c>
      <c r="AU745">
        <v>2018</v>
      </c>
      <c r="AV745">
        <v>41</v>
      </c>
      <c r="AW745">
        <v>3</v>
      </c>
      <c r="AX745" t="s">
        <v>74</v>
      </c>
      <c r="AY745" t="s">
        <v>74</v>
      </c>
      <c r="AZ745" t="s">
        <v>74</v>
      </c>
      <c r="BA745" t="s">
        <v>74</v>
      </c>
      <c r="BB745">
        <v>505</v>
      </c>
      <c r="BC745">
        <v>513</v>
      </c>
      <c r="BD745" t="s">
        <v>74</v>
      </c>
      <c r="BE745" t="s">
        <v>14473</v>
      </c>
      <c r="BF745" t="str">
        <f>HYPERLINK("http://dx.doi.org/10.1007/s00300-017-2210-4","http://dx.doi.org/10.1007/s00300-017-2210-4")</f>
        <v>http://dx.doi.org/10.1007/s00300-017-2210-4</v>
      </c>
      <c r="BG745" t="s">
        <v>74</v>
      </c>
      <c r="BH745" t="s">
        <v>74</v>
      </c>
      <c r="BI745">
        <v>9</v>
      </c>
      <c r="BJ745" t="s">
        <v>100</v>
      </c>
      <c r="BK745" t="s">
        <v>101</v>
      </c>
      <c r="BL745" t="s">
        <v>102</v>
      </c>
      <c r="BM745" t="s">
        <v>12518</v>
      </c>
      <c r="BN745" t="s">
        <v>74</v>
      </c>
      <c r="BO745" t="s">
        <v>14474</v>
      </c>
      <c r="BP745" t="s">
        <v>74</v>
      </c>
      <c r="BQ745" t="s">
        <v>74</v>
      </c>
      <c r="BR745" t="s">
        <v>105</v>
      </c>
      <c r="BS745" t="s">
        <v>14475</v>
      </c>
      <c r="BT745" t="str">
        <f>HYPERLINK("https%3A%2F%2Fwww.webofscience.com%2Fwos%2Fwoscc%2Ffull-record%2FWOS:000425956700013","View Full Record in Web of Science")</f>
        <v>View Full Record in Web of Science</v>
      </c>
    </row>
    <row r="746" spans="1:72" x14ac:dyDescent="0.15">
      <c r="A746" t="s">
        <v>72</v>
      </c>
      <c r="B746" t="s">
        <v>14476</v>
      </c>
      <c r="C746" t="s">
        <v>74</v>
      </c>
      <c r="D746" t="s">
        <v>74</v>
      </c>
      <c r="E746" t="s">
        <v>74</v>
      </c>
      <c r="F746" t="s">
        <v>14477</v>
      </c>
      <c r="G746" t="s">
        <v>74</v>
      </c>
      <c r="H746" t="s">
        <v>74</v>
      </c>
      <c r="I746" t="s">
        <v>14478</v>
      </c>
      <c r="J746" t="s">
        <v>77</v>
      </c>
      <c r="K746" t="s">
        <v>74</v>
      </c>
      <c r="L746" t="s">
        <v>74</v>
      </c>
      <c r="M746" t="s">
        <v>78</v>
      </c>
      <c r="N746" t="s">
        <v>79</v>
      </c>
      <c r="O746" t="s">
        <v>74</v>
      </c>
      <c r="P746" t="s">
        <v>74</v>
      </c>
      <c r="Q746" t="s">
        <v>74</v>
      </c>
      <c r="R746" t="s">
        <v>74</v>
      </c>
      <c r="S746" t="s">
        <v>74</v>
      </c>
      <c r="T746" t="s">
        <v>14479</v>
      </c>
      <c r="U746" t="s">
        <v>14480</v>
      </c>
      <c r="V746" t="s">
        <v>14481</v>
      </c>
      <c r="W746" t="s">
        <v>14482</v>
      </c>
      <c r="X746" t="s">
        <v>14483</v>
      </c>
      <c r="Y746" t="s">
        <v>14484</v>
      </c>
      <c r="Z746" t="s">
        <v>5211</v>
      </c>
      <c r="AA746" t="s">
        <v>14485</v>
      </c>
      <c r="AB746" t="s">
        <v>14486</v>
      </c>
      <c r="AC746" t="s">
        <v>14487</v>
      </c>
      <c r="AD746" t="s">
        <v>14488</v>
      </c>
      <c r="AE746" t="s">
        <v>14489</v>
      </c>
      <c r="AF746" t="s">
        <v>74</v>
      </c>
      <c r="AG746">
        <v>59</v>
      </c>
      <c r="AH746">
        <v>19</v>
      </c>
      <c r="AI746">
        <v>20</v>
      </c>
      <c r="AJ746">
        <v>3</v>
      </c>
      <c r="AK746">
        <v>28</v>
      </c>
      <c r="AL746" t="s">
        <v>91</v>
      </c>
      <c r="AM746" t="s">
        <v>92</v>
      </c>
      <c r="AN746" t="s">
        <v>205</v>
      </c>
      <c r="AO746" t="s">
        <v>94</v>
      </c>
      <c r="AP746" t="s">
        <v>95</v>
      </c>
      <c r="AQ746" t="s">
        <v>74</v>
      </c>
      <c r="AR746" t="s">
        <v>96</v>
      </c>
      <c r="AS746" t="s">
        <v>97</v>
      </c>
      <c r="AT746" t="s">
        <v>11811</v>
      </c>
      <c r="AU746">
        <v>2018</v>
      </c>
      <c r="AV746">
        <v>41</v>
      </c>
      <c r="AW746">
        <v>3</v>
      </c>
      <c r="AX746" t="s">
        <v>74</v>
      </c>
      <c r="AY746" t="s">
        <v>74</v>
      </c>
      <c r="AZ746" t="s">
        <v>74</v>
      </c>
      <c r="BA746" t="s">
        <v>74</v>
      </c>
      <c r="BB746">
        <v>527</v>
      </c>
      <c r="BC746">
        <v>535</v>
      </c>
      <c r="BD746" t="s">
        <v>74</v>
      </c>
      <c r="BE746" t="s">
        <v>14490</v>
      </c>
      <c r="BF746" t="str">
        <f>HYPERLINK("http://dx.doi.org/10.1007/s00300-017-2213-1","http://dx.doi.org/10.1007/s00300-017-2213-1")</f>
        <v>http://dx.doi.org/10.1007/s00300-017-2213-1</v>
      </c>
      <c r="BG746" t="s">
        <v>74</v>
      </c>
      <c r="BH746" t="s">
        <v>74</v>
      </c>
      <c r="BI746">
        <v>9</v>
      </c>
      <c r="BJ746" t="s">
        <v>100</v>
      </c>
      <c r="BK746" t="s">
        <v>101</v>
      </c>
      <c r="BL746" t="s">
        <v>102</v>
      </c>
      <c r="BM746" t="s">
        <v>12518</v>
      </c>
      <c r="BN746" t="s">
        <v>74</v>
      </c>
      <c r="BO746" t="s">
        <v>74</v>
      </c>
      <c r="BP746" t="s">
        <v>74</v>
      </c>
      <c r="BQ746" t="s">
        <v>74</v>
      </c>
      <c r="BR746" t="s">
        <v>105</v>
      </c>
      <c r="BS746" t="s">
        <v>14491</v>
      </c>
      <c r="BT746" t="str">
        <f>HYPERLINK("https%3A%2F%2Fwww.webofscience.com%2Fwos%2Fwoscc%2Ffull-record%2FWOS:000425956700015","View Full Record in Web of Science")</f>
        <v>View Full Record in Web of Science</v>
      </c>
    </row>
    <row r="747" spans="1:72" x14ac:dyDescent="0.15">
      <c r="A747" t="s">
        <v>72</v>
      </c>
      <c r="B747" t="s">
        <v>14492</v>
      </c>
      <c r="C747" t="s">
        <v>74</v>
      </c>
      <c r="D747" t="s">
        <v>74</v>
      </c>
      <c r="E747" t="s">
        <v>74</v>
      </c>
      <c r="F747" t="s">
        <v>14493</v>
      </c>
      <c r="G747" t="s">
        <v>74</v>
      </c>
      <c r="H747" t="s">
        <v>74</v>
      </c>
      <c r="I747" t="s">
        <v>14494</v>
      </c>
      <c r="J747" t="s">
        <v>77</v>
      </c>
      <c r="K747" t="s">
        <v>74</v>
      </c>
      <c r="L747" t="s">
        <v>74</v>
      </c>
      <c r="M747" t="s">
        <v>78</v>
      </c>
      <c r="N747" t="s">
        <v>79</v>
      </c>
      <c r="O747" t="s">
        <v>74</v>
      </c>
      <c r="P747" t="s">
        <v>74</v>
      </c>
      <c r="Q747" t="s">
        <v>74</v>
      </c>
      <c r="R747" t="s">
        <v>74</v>
      </c>
      <c r="S747" t="s">
        <v>74</v>
      </c>
      <c r="T747" t="s">
        <v>14495</v>
      </c>
      <c r="U747" t="s">
        <v>14496</v>
      </c>
      <c r="V747" t="s">
        <v>14497</v>
      </c>
      <c r="W747" t="s">
        <v>14498</v>
      </c>
      <c r="X747" t="s">
        <v>14499</v>
      </c>
      <c r="Y747" t="s">
        <v>14500</v>
      </c>
      <c r="Z747" t="s">
        <v>14501</v>
      </c>
      <c r="AA747" t="s">
        <v>14502</v>
      </c>
      <c r="AB747" t="s">
        <v>14503</v>
      </c>
      <c r="AC747" t="s">
        <v>14504</v>
      </c>
      <c r="AD747" t="s">
        <v>14505</v>
      </c>
      <c r="AE747" t="s">
        <v>14506</v>
      </c>
      <c r="AF747" t="s">
        <v>74</v>
      </c>
      <c r="AG747">
        <v>71</v>
      </c>
      <c r="AH747">
        <v>47</v>
      </c>
      <c r="AI747">
        <v>49</v>
      </c>
      <c r="AJ747">
        <v>3</v>
      </c>
      <c r="AK747">
        <v>61</v>
      </c>
      <c r="AL747" t="s">
        <v>91</v>
      </c>
      <c r="AM747" t="s">
        <v>92</v>
      </c>
      <c r="AN747" t="s">
        <v>205</v>
      </c>
      <c r="AO747" t="s">
        <v>94</v>
      </c>
      <c r="AP747" t="s">
        <v>95</v>
      </c>
      <c r="AQ747" t="s">
        <v>74</v>
      </c>
      <c r="AR747" t="s">
        <v>96</v>
      </c>
      <c r="AS747" t="s">
        <v>97</v>
      </c>
      <c r="AT747" t="s">
        <v>11811</v>
      </c>
      <c r="AU747">
        <v>2018</v>
      </c>
      <c r="AV747">
        <v>41</v>
      </c>
      <c r="AW747">
        <v>3</v>
      </c>
      <c r="AX747" t="s">
        <v>74</v>
      </c>
      <c r="AY747" t="s">
        <v>74</v>
      </c>
      <c r="AZ747" t="s">
        <v>74</v>
      </c>
      <c r="BA747" t="s">
        <v>74</v>
      </c>
      <c r="BB747">
        <v>553</v>
      </c>
      <c r="BC747">
        <v>562</v>
      </c>
      <c r="BD747" t="s">
        <v>74</v>
      </c>
      <c r="BE747" t="s">
        <v>14507</v>
      </c>
      <c r="BF747" t="str">
        <f>HYPERLINK("http://dx.doi.org/10.1007/s00300-017-2216-y","http://dx.doi.org/10.1007/s00300-017-2216-y")</f>
        <v>http://dx.doi.org/10.1007/s00300-017-2216-y</v>
      </c>
      <c r="BG747" t="s">
        <v>74</v>
      </c>
      <c r="BH747" t="s">
        <v>74</v>
      </c>
      <c r="BI747">
        <v>10</v>
      </c>
      <c r="BJ747" t="s">
        <v>100</v>
      </c>
      <c r="BK747" t="s">
        <v>101</v>
      </c>
      <c r="BL747" t="s">
        <v>102</v>
      </c>
      <c r="BM747" t="s">
        <v>12518</v>
      </c>
      <c r="BN747" t="s">
        <v>74</v>
      </c>
      <c r="BO747" t="s">
        <v>1085</v>
      </c>
      <c r="BP747" t="s">
        <v>74</v>
      </c>
      <c r="BQ747" t="s">
        <v>74</v>
      </c>
      <c r="BR747" t="s">
        <v>105</v>
      </c>
      <c r="BS747" t="s">
        <v>14508</v>
      </c>
      <c r="BT747" t="str">
        <f>HYPERLINK("https%3A%2F%2Fwww.webofscience.com%2Fwos%2Fwoscc%2Ffull-record%2FWOS:000425956700017","View Full Record in Web of Science")</f>
        <v>View Full Record in Web of Science</v>
      </c>
    </row>
    <row r="748" spans="1:72" x14ac:dyDescent="0.15">
      <c r="A748" t="s">
        <v>72</v>
      </c>
      <c r="B748" t="s">
        <v>14509</v>
      </c>
      <c r="C748" t="s">
        <v>74</v>
      </c>
      <c r="D748" t="s">
        <v>74</v>
      </c>
      <c r="E748" t="s">
        <v>74</v>
      </c>
      <c r="F748" t="s">
        <v>14510</v>
      </c>
      <c r="G748" t="s">
        <v>74</v>
      </c>
      <c r="H748" t="s">
        <v>74</v>
      </c>
      <c r="I748" t="s">
        <v>14511</v>
      </c>
      <c r="J748" t="s">
        <v>77</v>
      </c>
      <c r="K748" t="s">
        <v>74</v>
      </c>
      <c r="L748" t="s">
        <v>74</v>
      </c>
      <c r="M748" t="s">
        <v>78</v>
      </c>
      <c r="N748" t="s">
        <v>79</v>
      </c>
      <c r="O748" t="s">
        <v>74</v>
      </c>
      <c r="P748" t="s">
        <v>74</v>
      </c>
      <c r="Q748" t="s">
        <v>74</v>
      </c>
      <c r="R748" t="s">
        <v>74</v>
      </c>
      <c r="S748" t="s">
        <v>74</v>
      </c>
      <c r="T748" t="s">
        <v>14512</v>
      </c>
      <c r="U748" t="s">
        <v>14513</v>
      </c>
      <c r="V748" t="s">
        <v>14514</v>
      </c>
      <c r="W748" t="s">
        <v>14515</v>
      </c>
      <c r="X748" t="s">
        <v>14516</v>
      </c>
      <c r="Y748" t="s">
        <v>14517</v>
      </c>
      <c r="Z748" t="s">
        <v>14518</v>
      </c>
      <c r="AA748" t="s">
        <v>14519</v>
      </c>
      <c r="AB748" t="s">
        <v>14520</v>
      </c>
      <c r="AC748" t="s">
        <v>14521</v>
      </c>
      <c r="AD748" t="s">
        <v>14522</v>
      </c>
      <c r="AE748" t="s">
        <v>14523</v>
      </c>
      <c r="AF748" t="s">
        <v>74</v>
      </c>
      <c r="AG748">
        <v>48</v>
      </c>
      <c r="AH748">
        <v>4</v>
      </c>
      <c r="AI748">
        <v>4</v>
      </c>
      <c r="AJ748">
        <v>0</v>
      </c>
      <c r="AK748">
        <v>9</v>
      </c>
      <c r="AL748" t="s">
        <v>91</v>
      </c>
      <c r="AM748" t="s">
        <v>92</v>
      </c>
      <c r="AN748" t="s">
        <v>93</v>
      </c>
      <c r="AO748" t="s">
        <v>94</v>
      </c>
      <c r="AP748" t="s">
        <v>95</v>
      </c>
      <c r="AQ748" t="s">
        <v>74</v>
      </c>
      <c r="AR748" t="s">
        <v>96</v>
      </c>
      <c r="AS748" t="s">
        <v>97</v>
      </c>
      <c r="AT748" t="s">
        <v>11811</v>
      </c>
      <c r="AU748">
        <v>2018</v>
      </c>
      <c r="AV748">
        <v>41</v>
      </c>
      <c r="AW748">
        <v>3</v>
      </c>
      <c r="AX748" t="s">
        <v>74</v>
      </c>
      <c r="AY748" t="s">
        <v>74</v>
      </c>
      <c r="AZ748" t="s">
        <v>74</v>
      </c>
      <c r="BA748" t="s">
        <v>74</v>
      </c>
      <c r="BB748">
        <v>589</v>
      </c>
      <c r="BC748">
        <v>597</v>
      </c>
      <c r="BD748" t="s">
        <v>74</v>
      </c>
      <c r="BE748" t="s">
        <v>14524</v>
      </c>
      <c r="BF748" t="str">
        <f>HYPERLINK("http://dx.doi.org/10.1007/s00300-017-2220-2","http://dx.doi.org/10.1007/s00300-017-2220-2")</f>
        <v>http://dx.doi.org/10.1007/s00300-017-2220-2</v>
      </c>
      <c r="BG748" t="s">
        <v>74</v>
      </c>
      <c r="BH748" t="s">
        <v>74</v>
      </c>
      <c r="BI748">
        <v>9</v>
      </c>
      <c r="BJ748" t="s">
        <v>100</v>
      </c>
      <c r="BK748" t="s">
        <v>101</v>
      </c>
      <c r="BL748" t="s">
        <v>102</v>
      </c>
      <c r="BM748" t="s">
        <v>12518</v>
      </c>
      <c r="BN748" t="s">
        <v>74</v>
      </c>
      <c r="BO748" t="s">
        <v>74</v>
      </c>
      <c r="BP748" t="s">
        <v>74</v>
      </c>
      <c r="BQ748" t="s">
        <v>74</v>
      </c>
      <c r="BR748" t="s">
        <v>105</v>
      </c>
      <c r="BS748" t="s">
        <v>14525</v>
      </c>
      <c r="BT748" t="str">
        <f>HYPERLINK("https%3A%2F%2Fwww.webofscience.com%2Fwos%2Fwoscc%2Ffull-record%2FWOS:000425956700021","View Full Record in Web of Science")</f>
        <v>View Full Record in Web of Science</v>
      </c>
    </row>
    <row r="749" spans="1:72" x14ac:dyDescent="0.15">
      <c r="A749" t="s">
        <v>72</v>
      </c>
      <c r="B749" t="s">
        <v>14526</v>
      </c>
      <c r="C749" t="s">
        <v>74</v>
      </c>
      <c r="D749" t="s">
        <v>74</v>
      </c>
      <c r="E749" t="s">
        <v>74</v>
      </c>
      <c r="F749" t="s">
        <v>14527</v>
      </c>
      <c r="G749" t="s">
        <v>74</v>
      </c>
      <c r="H749" t="s">
        <v>74</v>
      </c>
      <c r="I749" t="s">
        <v>14528</v>
      </c>
      <c r="J749" t="s">
        <v>14529</v>
      </c>
      <c r="K749" t="s">
        <v>74</v>
      </c>
      <c r="L749" t="s">
        <v>74</v>
      </c>
      <c r="M749" t="s">
        <v>78</v>
      </c>
      <c r="N749" t="s">
        <v>79</v>
      </c>
      <c r="O749" t="s">
        <v>74</v>
      </c>
      <c r="P749" t="s">
        <v>74</v>
      </c>
      <c r="Q749" t="s">
        <v>74</v>
      </c>
      <c r="R749" t="s">
        <v>74</v>
      </c>
      <c r="S749" t="s">
        <v>74</v>
      </c>
      <c r="T749" t="s">
        <v>14530</v>
      </c>
      <c r="U749" t="s">
        <v>14531</v>
      </c>
      <c r="V749" t="s">
        <v>14532</v>
      </c>
      <c r="W749" t="s">
        <v>14533</v>
      </c>
      <c r="X749" t="s">
        <v>14534</v>
      </c>
      <c r="Y749" t="s">
        <v>14535</v>
      </c>
      <c r="Z749" t="s">
        <v>14536</v>
      </c>
      <c r="AA749" t="s">
        <v>14537</v>
      </c>
      <c r="AB749" t="s">
        <v>14538</v>
      </c>
      <c r="AC749" t="s">
        <v>14539</v>
      </c>
      <c r="AD749" t="s">
        <v>14540</v>
      </c>
      <c r="AE749" t="s">
        <v>14541</v>
      </c>
      <c r="AF749" t="s">
        <v>74</v>
      </c>
      <c r="AG749">
        <v>32</v>
      </c>
      <c r="AH749">
        <v>12</v>
      </c>
      <c r="AI749">
        <v>12</v>
      </c>
      <c r="AJ749">
        <v>1</v>
      </c>
      <c r="AK749">
        <v>35</v>
      </c>
      <c r="AL749" t="s">
        <v>91</v>
      </c>
      <c r="AM749" t="s">
        <v>92</v>
      </c>
      <c r="AN749" t="s">
        <v>93</v>
      </c>
      <c r="AO749" t="s">
        <v>14542</v>
      </c>
      <c r="AP749" t="s">
        <v>14543</v>
      </c>
      <c r="AQ749" t="s">
        <v>74</v>
      </c>
      <c r="AR749" t="s">
        <v>14544</v>
      </c>
      <c r="AS749" t="s">
        <v>14545</v>
      </c>
      <c r="AT749" t="s">
        <v>11811</v>
      </c>
      <c r="AU749">
        <v>2018</v>
      </c>
      <c r="AV749">
        <v>200</v>
      </c>
      <c r="AW749">
        <v>2</v>
      </c>
      <c r="AX749" t="s">
        <v>74</v>
      </c>
      <c r="AY749" t="s">
        <v>74</v>
      </c>
      <c r="AZ749" t="s">
        <v>74</v>
      </c>
      <c r="BA749" t="s">
        <v>74</v>
      </c>
      <c r="BB749">
        <v>267</v>
      </c>
      <c r="BC749">
        <v>273</v>
      </c>
      <c r="BD749" t="s">
        <v>74</v>
      </c>
      <c r="BE749" t="s">
        <v>14546</v>
      </c>
      <c r="BF749" t="str">
        <f>HYPERLINK("http://dx.doi.org/10.1007/s00203-017-1438-2","http://dx.doi.org/10.1007/s00203-017-1438-2")</f>
        <v>http://dx.doi.org/10.1007/s00203-017-1438-2</v>
      </c>
      <c r="BG749" t="s">
        <v>74</v>
      </c>
      <c r="BH749" t="s">
        <v>74</v>
      </c>
      <c r="BI749">
        <v>7</v>
      </c>
      <c r="BJ749" t="s">
        <v>510</v>
      </c>
      <c r="BK749" t="s">
        <v>101</v>
      </c>
      <c r="BL749" t="s">
        <v>510</v>
      </c>
      <c r="BM749" t="s">
        <v>14547</v>
      </c>
      <c r="BN749">
        <v>29022087</v>
      </c>
      <c r="BO749" t="s">
        <v>74</v>
      </c>
      <c r="BP749" t="s">
        <v>74</v>
      </c>
      <c r="BQ749" t="s">
        <v>74</v>
      </c>
      <c r="BR749" t="s">
        <v>105</v>
      </c>
      <c r="BS749" t="s">
        <v>14548</v>
      </c>
      <c r="BT749" t="str">
        <f>HYPERLINK("https%3A%2F%2Fwww.webofscience.com%2Fwos%2Fwoscc%2Ffull-record%2FWOS:000425949100007","View Full Record in Web of Science")</f>
        <v>View Full Record in Web of Science</v>
      </c>
    </row>
    <row r="750" spans="1:72" x14ac:dyDescent="0.15">
      <c r="A750" t="s">
        <v>72</v>
      </c>
      <c r="B750" t="s">
        <v>14549</v>
      </c>
      <c r="C750" t="s">
        <v>74</v>
      </c>
      <c r="D750" t="s">
        <v>74</v>
      </c>
      <c r="E750" t="s">
        <v>74</v>
      </c>
      <c r="F750" t="s">
        <v>14550</v>
      </c>
      <c r="G750" t="s">
        <v>74</v>
      </c>
      <c r="H750" t="s">
        <v>74</v>
      </c>
      <c r="I750" t="s">
        <v>14551</v>
      </c>
      <c r="J750" t="s">
        <v>1347</v>
      </c>
      <c r="K750" t="s">
        <v>74</v>
      </c>
      <c r="L750" t="s">
        <v>74</v>
      </c>
      <c r="M750" t="s">
        <v>78</v>
      </c>
      <c r="N750" t="s">
        <v>79</v>
      </c>
      <c r="O750" t="s">
        <v>74</v>
      </c>
      <c r="P750" t="s">
        <v>74</v>
      </c>
      <c r="Q750" t="s">
        <v>74</v>
      </c>
      <c r="R750" t="s">
        <v>74</v>
      </c>
      <c r="S750" t="s">
        <v>74</v>
      </c>
      <c r="T750" t="s">
        <v>14552</v>
      </c>
      <c r="U750" t="s">
        <v>74</v>
      </c>
      <c r="V750" t="s">
        <v>14553</v>
      </c>
      <c r="W750" t="s">
        <v>14554</v>
      </c>
      <c r="X750" t="s">
        <v>14555</v>
      </c>
      <c r="Y750" t="s">
        <v>14556</v>
      </c>
      <c r="Z750" t="s">
        <v>14557</v>
      </c>
      <c r="AA750" t="s">
        <v>14558</v>
      </c>
      <c r="AB750" t="s">
        <v>14559</v>
      </c>
      <c r="AC750" t="s">
        <v>14560</v>
      </c>
      <c r="AD750" t="s">
        <v>14561</v>
      </c>
      <c r="AE750" t="s">
        <v>14562</v>
      </c>
      <c r="AF750" t="s">
        <v>74</v>
      </c>
      <c r="AG750">
        <v>28</v>
      </c>
      <c r="AH750">
        <v>3</v>
      </c>
      <c r="AI750">
        <v>3</v>
      </c>
      <c r="AJ750">
        <v>3</v>
      </c>
      <c r="AK750">
        <v>18</v>
      </c>
      <c r="AL750" t="s">
        <v>277</v>
      </c>
      <c r="AM750" t="s">
        <v>278</v>
      </c>
      <c r="AN750" t="s">
        <v>279</v>
      </c>
      <c r="AO750" t="s">
        <v>1358</v>
      </c>
      <c r="AP750" t="s">
        <v>1359</v>
      </c>
      <c r="AQ750" t="s">
        <v>74</v>
      </c>
      <c r="AR750" t="s">
        <v>1360</v>
      </c>
      <c r="AS750" t="s">
        <v>1361</v>
      </c>
      <c r="AT750" t="s">
        <v>11811</v>
      </c>
      <c r="AU750">
        <v>2018</v>
      </c>
      <c r="AV750">
        <v>168</v>
      </c>
      <c r="AW750" t="s">
        <v>74</v>
      </c>
      <c r="AX750" t="s">
        <v>74</v>
      </c>
      <c r="AY750" t="s">
        <v>74</v>
      </c>
      <c r="AZ750" t="s">
        <v>74</v>
      </c>
      <c r="BA750" t="s">
        <v>74</v>
      </c>
      <c r="BB750">
        <v>100</v>
      </c>
      <c r="BC750">
        <v>108</v>
      </c>
      <c r="BD750" t="s">
        <v>74</v>
      </c>
      <c r="BE750" t="s">
        <v>14563</v>
      </c>
      <c r="BF750" t="str">
        <f>HYPERLINK("http://dx.doi.org/10.1016/j.jastp.2017.12.018","http://dx.doi.org/10.1016/j.jastp.2017.12.018")</f>
        <v>http://dx.doi.org/10.1016/j.jastp.2017.12.018</v>
      </c>
      <c r="BG750" t="s">
        <v>74</v>
      </c>
      <c r="BH750" t="s">
        <v>74</v>
      </c>
      <c r="BI750">
        <v>9</v>
      </c>
      <c r="BJ750" t="s">
        <v>1363</v>
      </c>
      <c r="BK750" t="s">
        <v>101</v>
      </c>
      <c r="BL750" t="s">
        <v>1363</v>
      </c>
      <c r="BM750" t="s">
        <v>14564</v>
      </c>
      <c r="BN750" t="s">
        <v>74</v>
      </c>
      <c r="BO750" t="s">
        <v>554</v>
      </c>
      <c r="BP750" t="s">
        <v>74</v>
      </c>
      <c r="BQ750" t="s">
        <v>74</v>
      </c>
      <c r="BR750" t="s">
        <v>105</v>
      </c>
      <c r="BS750" t="s">
        <v>14565</v>
      </c>
      <c r="BT750" t="str">
        <f>HYPERLINK("https%3A%2F%2Fwww.webofscience.com%2Fwos%2Fwoscc%2Ffull-record%2FWOS:000425574900010","View Full Record in Web of Science")</f>
        <v>View Full Record in Web of Science</v>
      </c>
    </row>
    <row r="751" spans="1:72" x14ac:dyDescent="0.15">
      <c r="A751" t="s">
        <v>72</v>
      </c>
      <c r="B751" t="s">
        <v>14566</v>
      </c>
      <c r="C751" t="s">
        <v>74</v>
      </c>
      <c r="D751" t="s">
        <v>74</v>
      </c>
      <c r="E751" t="s">
        <v>74</v>
      </c>
      <c r="F751" t="s">
        <v>14567</v>
      </c>
      <c r="G751" t="s">
        <v>74</v>
      </c>
      <c r="H751" t="s">
        <v>74</v>
      </c>
      <c r="I751" t="s">
        <v>14568</v>
      </c>
      <c r="J751" t="s">
        <v>14569</v>
      </c>
      <c r="K751" t="s">
        <v>74</v>
      </c>
      <c r="L751" t="s">
        <v>74</v>
      </c>
      <c r="M751" t="s">
        <v>78</v>
      </c>
      <c r="N751" t="s">
        <v>466</v>
      </c>
      <c r="O751" t="s">
        <v>74</v>
      </c>
      <c r="P751" t="s">
        <v>74</v>
      </c>
      <c r="Q751" t="s">
        <v>74</v>
      </c>
      <c r="R751" t="s">
        <v>74</v>
      </c>
      <c r="S751" t="s">
        <v>74</v>
      </c>
      <c r="T751" t="s">
        <v>74</v>
      </c>
      <c r="U751" t="s">
        <v>14570</v>
      </c>
      <c r="V751" t="s">
        <v>14571</v>
      </c>
      <c r="W751" t="s">
        <v>14572</v>
      </c>
      <c r="X751" t="s">
        <v>14573</v>
      </c>
      <c r="Y751" t="s">
        <v>14574</v>
      </c>
      <c r="Z751" t="s">
        <v>14575</v>
      </c>
      <c r="AA751" t="s">
        <v>14576</v>
      </c>
      <c r="AB751" t="s">
        <v>14577</v>
      </c>
      <c r="AC751" t="s">
        <v>14578</v>
      </c>
      <c r="AD751" t="s">
        <v>14579</v>
      </c>
      <c r="AE751" t="s">
        <v>14580</v>
      </c>
      <c r="AF751" t="s">
        <v>74</v>
      </c>
      <c r="AG751">
        <v>157</v>
      </c>
      <c r="AH751">
        <v>8</v>
      </c>
      <c r="AI751">
        <v>8</v>
      </c>
      <c r="AJ751">
        <v>5</v>
      </c>
      <c r="AK751">
        <v>46</v>
      </c>
      <c r="AL751" t="s">
        <v>91</v>
      </c>
      <c r="AM751" t="s">
        <v>1468</v>
      </c>
      <c r="AN751" t="s">
        <v>1469</v>
      </c>
      <c r="AO751" t="s">
        <v>14581</v>
      </c>
      <c r="AP751" t="s">
        <v>14582</v>
      </c>
      <c r="AQ751" t="s">
        <v>74</v>
      </c>
      <c r="AR751" t="s">
        <v>14583</v>
      </c>
      <c r="AS751" t="s">
        <v>14584</v>
      </c>
      <c r="AT751" t="s">
        <v>11811</v>
      </c>
      <c r="AU751">
        <v>2018</v>
      </c>
      <c r="AV751">
        <v>28</v>
      </c>
      <c r="AW751">
        <v>1</v>
      </c>
      <c r="AX751" t="s">
        <v>74</v>
      </c>
      <c r="AY751" t="s">
        <v>74</v>
      </c>
      <c r="AZ751" t="s">
        <v>74</v>
      </c>
      <c r="BA751" t="s">
        <v>74</v>
      </c>
      <c r="BB751">
        <v>1</v>
      </c>
      <c r="BC751">
        <v>18</v>
      </c>
      <c r="BD751" t="s">
        <v>74</v>
      </c>
      <c r="BE751" t="s">
        <v>14585</v>
      </c>
      <c r="BF751" t="str">
        <f>HYPERLINK("http://dx.doi.org/10.1007/s11160-017-9495-9","http://dx.doi.org/10.1007/s11160-017-9495-9")</f>
        <v>http://dx.doi.org/10.1007/s11160-017-9495-9</v>
      </c>
      <c r="BG751" t="s">
        <v>74</v>
      </c>
      <c r="BH751" t="s">
        <v>74</v>
      </c>
      <c r="BI751">
        <v>18</v>
      </c>
      <c r="BJ751" t="s">
        <v>3627</v>
      </c>
      <c r="BK751" t="s">
        <v>484</v>
      </c>
      <c r="BL751" t="s">
        <v>3627</v>
      </c>
      <c r="BM751" t="s">
        <v>14586</v>
      </c>
      <c r="BN751" t="s">
        <v>74</v>
      </c>
      <c r="BO751" t="s">
        <v>74</v>
      </c>
      <c r="BP751" t="s">
        <v>74</v>
      </c>
      <c r="BQ751" t="s">
        <v>74</v>
      </c>
      <c r="BR751" t="s">
        <v>105</v>
      </c>
      <c r="BS751" t="s">
        <v>14587</v>
      </c>
      <c r="BT751" t="str">
        <f>HYPERLINK("https%3A%2F%2Fwww.webofscience.com%2Fwos%2Fwoscc%2Ffull-record%2FWOS:000425147200001","View Full Record in Web of Science")</f>
        <v>View Full Record in Web of Science</v>
      </c>
    </row>
    <row r="752" spans="1:72" x14ac:dyDescent="0.15">
      <c r="A752" t="s">
        <v>72</v>
      </c>
      <c r="B752" t="s">
        <v>14588</v>
      </c>
      <c r="C752" t="s">
        <v>74</v>
      </c>
      <c r="D752" t="s">
        <v>74</v>
      </c>
      <c r="E752" t="s">
        <v>74</v>
      </c>
      <c r="F752" t="s">
        <v>14589</v>
      </c>
      <c r="G752" t="s">
        <v>74</v>
      </c>
      <c r="H752" t="s">
        <v>74</v>
      </c>
      <c r="I752" t="s">
        <v>14590</v>
      </c>
      <c r="J752" t="s">
        <v>14591</v>
      </c>
      <c r="K752" t="s">
        <v>74</v>
      </c>
      <c r="L752" t="s">
        <v>74</v>
      </c>
      <c r="M752" t="s">
        <v>78</v>
      </c>
      <c r="N752" t="s">
        <v>79</v>
      </c>
      <c r="O752" t="s">
        <v>74</v>
      </c>
      <c r="P752" t="s">
        <v>74</v>
      </c>
      <c r="Q752" t="s">
        <v>74</v>
      </c>
      <c r="R752" t="s">
        <v>74</v>
      </c>
      <c r="S752" t="s">
        <v>74</v>
      </c>
      <c r="T752" t="s">
        <v>14592</v>
      </c>
      <c r="U752" t="s">
        <v>14593</v>
      </c>
      <c r="V752" t="s">
        <v>14594</v>
      </c>
      <c r="W752" t="s">
        <v>14595</v>
      </c>
      <c r="X752" t="s">
        <v>14596</v>
      </c>
      <c r="Y752" t="s">
        <v>14597</v>
      </c>
      <c r="Z752" t="s">
        <v>14598</v>
      </c>
      <c r="AA752" t="s">
        <v>74</v>
      </c>
      <c r="AB752" t="s">
        <v>74</v>
      </c>
      <c r="AC752" t="s">
        <v>14599</v>
      </c>
      <c r="AD752" t="s">
        <v>14600</v>
      </c>
      <c r="AE752" t="s">
        <v>14601</v>
      </c>
      <c r="AF752" t="s">
        <v>74</v>
      </c>
      <c r="AG752">
        <v>98</v>
      </c>
      <c r="AH752">
        <v>18</v>
      </c>
      <c r="AI752">
        <v>20</v>
      </c>
      <c r="AJ752">
        <v>0</v>
      </c>
      <c r="AK752">
        <v>24</v>
      </c>
      <c r="AL752" t="s">
        <v>914</v>
      </c>
      <c r="AM752" t="s">
        <v>452</v>
      </c>
      <c r="AN752" t="s">
        <v>915</v>
      </c>
      <c r="AO752" t="s">
        <v>14602</v>
      </c>
      <c r="AP752" t="s">
        <v>14603</v>
      </c>
      <c r="AQ752" t="s">
        <v>74</v>
      </c>
      <c r="AR752" t="s">
        <v>14604</v>
      </c>
      <c r="AS752" t="s">
        <v>14605</v>
      </c>
      <c r="AT752" t="s">
        <v>11811</v>
      </c>
      <c r="AU752">
        <v>2018</v>
      </c>
      <c r="AV752">
        <v>306</v>
      </c>
      <c r="AW752" t="s">
        <v>74</v>
      </c>
      <c r="AX752" t="s">
        <v>74</v>
      </c>
      <c r="AY752" t="s">
        <v>74</v>
      </c>
      <c r="AZ752" t="s">
        <v>74</v>
      </c>
      <c r="BA752" t="s">
        <v>74</v>
      </c>
      <c r="BB752">
        <v>94</v>
      </c>
      <c r="BC752">
        <v>111</v>
      </c>
      <c r="BD752" t="s">
        <v>74</v>
      </c>
      <c r="BE752" t="s">
        <v>14606</v>
      </c>
      <c r="BF752" t="str">
        <f>HYPERLINK("http://dx.doi.org/10.1016/j.precamres.2017.12.029","http://dx.doi.org/10.1016/j.precamres.2017.12.029")</f>
        <v>http://dx.doi.org/10.1016/j.precamres.2017.12.029</v>
      </c>
      <c r="BG752" t="s">
        <v>74</v>
      </c>
      <c r="BH752" t="s">
        <v>74</v>
      </c>
      <c r="BI752">
        <v>18</v>
      </c>
      <c r="BJ752" t="s">
        <v>1243</v>
      </c>
      <c r="BK752" t="s">
        <v>101</v>
      </c>
      <c r="BL752" t="s">
        <v>1181</v>
      </c>
      <c r="BM752" t="s">
        <v>14607</v>
      </c>
      <c r="BN752" t="s">
        <v>74</v>
      </c>
      <c r="BO752" t="s">
        <v>74</v>
      </c>
      <c r="BP752" t="s">
        <v>74</v>
      </c>
      <c r="BQ752" t="s">
        <v>74</v>
      </c>
      <c r="BR752" t="s">
        <v>105</v>
      </c>
      <c r="BS752" t="s">
        <v>14608</v>
      </c>
      <c r="BT752" t="str">
        <f>HYPERLINK("https%3A%2F%2Fwww.webofscience.com%2Fwos%2Fwoscc%2Ffull-record%2FWOS:000425204600006","View Full Record in Web of Science")</f>
        <v>View Full Record in Web of Science</v>
      </c>
    </row>
    <row r="753" spans="1:72" x14ac:dyDescent="0.15">
      <c r="A753" t="s">
        <v>72</v>
      </c>
      <c r="B753" t="s">
        <v>14609</v>
      </c>
      <c r="C753" t="s">
        <v>74</v>
      </c>
      <c r="D753" t="s">
        <v>74</v>
      </c>
      <c r="E753" t="s">
        <v>74</v>
      </c>
      <c r="F753" t="s">
        <v>14610</v>
      </c>
      <c r="G753" t="s">
        <v>74</v>
      </c>
      <c r="H753" t="s">
        <v>74</v>
      </c>
      <c r="I753" t="s">
        <v>14611</v>
      </c>
      <c r="J753" t="s">
        <v>14612</v>
      </c>
      <c r="K753" t="s">
        <v>74</v>
      </c>
      <c r="L753" t="s">
        <v>74</v>
      </c>
      <c r="M753" t="s">
        <v>78</v>
      </c>
      <c r="N753" t="s">
        <v>79</v>
      </c>
      <c r="O753" t="s">
        <v>74</v>
      </c>
      <c r="P753" t="s">
        <v>74</v>
      </c>
      <c r="Q753" t="s">
        <v>74</v>
      </c>
      <c r="R753" t="s">
        <v>74</v>
      </c>
      <c r="S753" t="s">
        <v>74</v>
      </c>
      <c r="T753" t="s">
        <v>14613</v>
      </c>
      <c r="U753" t="s">
        <v>14614</v>
      </c>
      <c r="V753" t="s">
        <v>14615</v>
      </c>
      <c r="W753" t="s">
        <v>14616</v>
      </c>
      <c r="X753" t="s">
        <v>14617</v>
      </c>
      <c r="Y753" t="s">
        <v>14618</v>
      </c>
      <c r="Z753" t="s">
        <v>14619</v>
      </c>
      <c r="AA753" t="s">
        <v>14620</v>
      </c>
      <c r="AB753" t="s">
        <v>14621</v>
      </c>
      <c r="AC753" t="s">
        <v>14622</v>
      </c>
      <c r="AD753" t="s">
        <v>14623</v>
      </c>
      <c r="AE753" t="s">
        <v>14624</v>
      </c>
      <c r="AF753" t="s">
        <v>74</v>
      </c>
      <c r="AG753">
        <v>87</v>
      </c>
      <c r="AH753">
        <v>46</v>
      </c>
      <c r="AI753">
        <v>49</v>
      </c>
      <c r="AJ753">
        <v>7</v>
      </c>
      <c r="AK753">
        <v>66</v>
      </c>
      <c r="AL753" t="s">
        <v>451</v>
      </c>
      <c r="AM753" t="s">
        <v>452</v>
      </c>
      <c r="AN753" t="s">
        <v>453</v>
      </c>
      <c r="AO753" t="s">
        <v>14625</v>
      </c>
      <c r="AP753" t="s">
        <v>14626</v>
      </c>
      <c r="AQ753" t="s">
        <v>74</v>
      </c>
      <c r="AR753" t="s">
        <v>14627</v>
      </c>
      <c r="AS753" t="s">
        <v>14628</v>
      </c>
      <c r="AT753" t="s">
        <v>11811</v>
      </c>
      <c r="AU753">
        <v>2018</v>
      </c>
      <c r="AV753">
        <v>196</v>
      </c>
      <c r="AW753" t="s">
        <v>74</v>
      </c>
      <c r="AX753" t="s">
        <v>74</v>
      </c>
      <c r="AY753" t="s">
        <v>74</v>
      </c>
      <c r="AZ753" t="s">
        <v>74</v>
      </c>
      <c r="BA753" t="s">
        <v>74</v>
      </c>
      <c r="BB753">
        <v>53</v>
      </c>
      <c r="BC753">
        <v>60</v>
      </c>
      <c r="BD753" t="s">
        <v>74</v>
      </c>
      <c r="BE753" t="s">
        <v>14629</v>
      </c>
      <c r="BF753" t="str">
        <f>HYPERLINK("http://dx.doi.org/10.1016/j.aquatox.2018.01.008","http://dx.doi.org/10.1016/j.aquatox.2018.01.008")</f>
        <v>http://dx.doi.org/10.1016/j.aquatox.2018.01.008</v>
      </c>
      <c r="BG753" t="s">
        <v>74</v>
      </c>
      <c r="BH753" t="s">
        <v>74</v>
      </c>
      <c r="BI753">
        <v>8</v>
      </c>
      <c r="BJ753" t="s">
        <v>14630</v>
      </c>
      <c r="BK753" t="s">
        <v>101</v>
      </c>
      <c r="BL753" t="s">
        <v>14630</v>
      </c>
      <c r="BM753" t="s">
        <v>14631</v>
      </c>
      <c r="BN753">
        <v>29334672</v>
      </c>
      <c r="BO753" t="s">
        <v>288</v>
      </c>
      <c r="BP753" t="s">
        <v>74</v>
      </c>
      <c r="BQ753" t="s">
        <v>74</v>
      </c>
      <c r="BR753" t="s">
        <v>105</v>
      </c>
      <c r="BS753" t="s">
        <v>14632</v>
      </c>
      <c r="BT753" t="str">
        <f>HYPERLINK("https%3A%2F%2Fwww.webofscience.com%2Fwos%2Fwoscc%2Ffull-record%2FWOS:000426411600007","View Full Record in Web of Science")</f>
        <v>View Full Record in Web of Science</v>
      </c>
    </row>
    <row r="754" spans="1:72" x14ac:dyDescent="0.15">
      <c r="A754" t="s">
        <v>72</v>
      </c>
      <c r="B754" t="s">
        <v>14633</v>
      </c>
      <c r="C754" t="s">
        <v>74</v>
      </c>
      <c r="D754" t="s">
        <v>74</v>
      </c>
      <c r="E754" t="s">
        <v>74</v>
      </c>
      <c r="F754" t="s">
        <v>14634</v>
      </c>
      <c r="G754" t="s">
        <v>74</v>
      </c>
      <c r="H754" t="s">
        <v>74</v>
      </c>
      <c r="I754" t="s">
        <v>14635</v>
      </c>
      <c r="J754" t="s">
        <v>12002</v>
      </c>
      <c r="K754" t="s">
        <v>74</v>
      </c>
      <c r="L754" t="s">
        <v>74</v>
      </c>
      <c r="M754" t="s">
        <v>78</v>
      </c>
      <c r="N754" t="s">
        <v>371</v>
      </c>
      <c r="O754" t="s">
        <v>74</v>
      </c>
      <c r="P754" t="s">
        <v>74</v>
      </c>
      <c r="Q754" t="s">
        <v>74</v>
      </c>
      <c r="R754" t="s">
        <v>74</v>
      </c>
      <c r="S754" t="s">
        <v>74</v>
      </c>
      <c r="T754" t="s">
        <v>74</v>
      </c>
      <c r="U754" t="s">
        <v>14636</v>
      </c>
      <c r="V754" t="s">
        <v>74</v>
      </c>
      <c r="W754" t="s">
        <v>14637</v>
      </c>
      <c r="X754" t="s">
        <v>12007</v>
      </c>
      <c r="Y754" t="s">
        <v>14638</v>
      </c>
      <c r="Z754" t="s">
        <v>14639</v>
      </c>
      <c r="AA754" t="s">
        <v>14640</v>
      </c>
      <c r="AB754" t="s">
        <v>14641</v>
      </c>
      <c r="AC754" t="s">
        <v>74</v>
      </c>
      <c r="AD754" t="s">
        <v>74</v>
      </c>
      <c r="AE754" t="s">
        <v>74</v>
      </c>
      <c r="AF754" t="s">
        <v>74</v>
      </c>
      <c r="AG754">
        <v>26</v>
      </c>
      <c r="AH754">
        <v>10</v>
      </c>
      <c r="AI754">
        <v>10</v>
      </c>
      <c r="AJ754">
        <v>1</v>
      </c>
      <c r="AK754">
        <v>6</v>
      </c>
      <c r="AL754" t="s">
        <v>277</v>
      </c>
      <c r="AM754" t="s">
        <v>278</v>
      </c>
      <c r="AN754" t="s">
        <v>279</v>
      </c>
      <c r="AO754" t="s">
        <v>12015</v>
      </c>
      <c r="AP754" t="s">
        <v>12016</v>
      </c>
      <c r="AQ754" t="s">
        <v>74</v>
      </c>
      <c r="AR754" t="s">
        <v>12017</v>
      </c>
      <c r="AS754" t="s">
        <v>12018</v>
      </c>
      <c r="AT754" t="s">
        <v>11811</v>
      </c>
      <c r="AU754">
        <v>2018</v>
      </c>
      <c r="AV754">
        <v>149</v>
      </c>
      <c r="AW754" t="s">
        <v>74</v>
      </c>
      <c r="AX754" t="s">
        <v>74</v>
      </c>
      <c r="AY754" t="s">
        <v>74</v>
      </c>
      <c r="AZ754" t="s">
        <v>508</v>
      </c>
      <c r="BA754" t="s">
        <v>74</v>
      </c>
      <c r="BB754">
        <v>1</v>
      </c>
      <c r="BC754">
        <v>3</v>
      </c>
      <c r="BD754" t="s">
        <v>74</v>
      </c>
      <c r="BE754" t="s">
        <v>14642</v>
      </c>
      <c r="BF754" t="str">
        <f>HYPERLINK("http://dx.doi.org/10.1016/j.dsr2.2018.05.007","http://dx.doi.org/10.1016/j.dsr2.2018.05.007")</f>
        <v>http://dx.doi.org/10.1016/j.dsr2.2018.05.007</v>
      </c>
      <c r="BG754" t="s">
        <v>74</v>
      </c>
      <c r="BH754" t="s">
        <v>74</v>
      </c>
      <c r="BI754">
        <v>3</v>
      </c>
      <c r="BJ754" t="s">
        <v>364</v>
      </c>
      <c r="BK754" t="s">
        <v>101</v>
      </c>
      <c r="BL754" t="s">
        <v>364</v>
      </c>
      <c r="BM754" t="s">
        <v>12020</v>
      </c>
      <c r="BN754" t="s">
        <v>74</v>
      </c>
      <c r="BO754" t="s">
        <v>74</v>
      </c>
      <c r="BP754" t="s">
        <v>74</v>
      </c>
      <c r="BQ754" t="s">
        <v>74</v>
      </c>
      <c r="BR754" t="s">
        <v>105</v>
      </c>
      <c r="BS754" t="s">
        <v>14643</v>
      </c>
      <c r="BT754" t="str">
        <f>HYPERLINK("https%3A%2F%2Fwww.webofscience.com%2Fwos%2Fwoscc%2Ffull-record%2FWOS:000437037100001","View Full Record in Web of Science")</f>
        <v>View Full Record in Web of Science</v>
      </c>
    </row>
    <row r="755" spans="1:72" x14ac:dyDescent="0.15">
      <c r="A755" t="s">
        <v>72</v>
      </c>
      <c r="B755" t="s">
        <v>14644</v>
      </c>
      <c r="C755" t="s">
        <v>74</v>
      </c>
      <c r="D755" t="s">
        <v>74</v>
      </c>
      <c r="E755" t="s">
        <v>74</v>
      </c>
      <c r="F755" t="s">
        <v>14645</v>
      </c>
      <c r="G755" t="s">
        <v>74</v>
      </c>
      <c r="H755" t="s">
        <v>74</v>
      </c>
      <c r="I755" t="s">
        <v>14646</v>
      </c>
      <c r="J755" t="s">
        <v>12002</v>
      </c>
      <c r="K755" t="s">
        <v>74</v>
      </c>
      <c r="L755" t="s">
        <v>74</v>
      </c>
      <c r="M755" t="s">
        <v>78</v>
      </c>
      <c r="N755" t="s">
        <v>371</v>
      </c>
      <c r="O755" t="s">
        <v>74</v>
      </c>
      <c r="P755" t="s">
        <v>74</v>
      </c>
      <c r="Q755" t="s">
        <v>74</v>
      </c>
      <c r="R755" t="s">
        <v>74</v>
      </c>
      <c r="S755" t="s">
        <v>74</v>
      </c>
      <c r="T755" t="s">
        <v>74</v>
      </c>
      <c r="U755" t="s">
        <v>14647</v>
      </c>
      <c r="V755" t="s">
        <v>74</v>
      </c>
      <c r="W755" t="s">
        <v>14648</v>
      </c>
      <c r="X755" t="s">
        <v>14649</v>
      </c>
      <c r="Y755" t="s">
        <v>14650</v>
      </c>
      <c r="Z755" t="s">
        <v>14651</v>
      </c>
      <c r="AA755" t="s">
        <v>14652</v>
      </c>
      <c r="AB755" t="s">
        <v>14653</v>
      </c>
      <c r="AC755" t="s">
        <v>74</v>
      </c>
      <c r="AD755" t="s">
        <v>74</v>
      </c>
      <c r="AE755" t="s">
        <v>74</v>
      </c>
      <c r="AF755" t="s">
        <v>74</v>
      </c>
      <c r="AG755">
        <v>54</v>
      </c>
      <c r="AH755">
        <v>42</v>
      </c>
      <c r="AI755">
        <v>43</v>
      </c>
      <c r="AJ755">
        <v>0</v>
      </c>
      <c r="AK755">
        <v>16</v>
      </c>
      <c r="AL755" t="s">
        <v>277</v>
      </c>
      <c r="AM755" t="s">
        <v>278</v>
      </c>
      <c r="AN755" t="s">
        <v>279</v>
      </c>
      <c r="AO755" t="s">
        <v>12015</v>
      </c>
      <c r="AP755" t="s">
        <v>12016</v>
      </c>
      <c r="AQ755" t="s">
        <v>74</v>
      </c>
      <c r="AR755" t="s">
        <v>12017</v>
      </c>
      <c r="AS755" t="s">
        <v>12018</v>
      </c>
      <c r="AT755" t="s">
        <v>11811</v>
      </c>
      <c r="AU755">
        <v>2018</v>
      </c>
      <c r="AV755">
        <v>149</v>
      </c>
      <c r="AW755" t="s">
        <v>74</v>
      </c>
      <c r="AX755" t="s">
        <v>74</v>
      </c>
      <c r="AY755" t="s">
        <v>74</v>
      </c>
      <c r="AZ755" t="s">
        <v>508</v>
      </c>
      <c r="BA755" t="s">
        <v>74</v>
      </c>
      <c r="BB755">
        <v>4</v>
      </c>
      <c r="BC755">
        <v>9</v>
      </c>
      <c r="BD755" t="s">
        <v>74</v>
      </c>
      <c r="BE755" t="s">
        <v>14654</v>
      </c>
      <c r="BF755" t="str">
        <f>HYPERLINK("http://dx.doi.org/10.1016/j.dsr2.2018.05.006","http://dx.doi.org/10.1016/j.dsr2.2018.05.006")</f>
        <v>http://dx.doi.org/10.1016/j.dsr2.2018.05.006</v>
      </c>
      <c r="BG755" t="s">
        <v>74</v>
      </c>
      <c r="BH755" t="s">
        <v>74</v>
      </c>
      <c r="BI755">
        <v>6</v>
      </c>
      <c r="BJ755" t="s">
        <v>364</v>
      </c>
      <c r="BK755" t="s">
        <v>101</v>
      </c>
      <c r="BL755" t="s">
        <v>364</v>
      </c>
      <c r="BM755" t="s">
        <v>12020</v>
      </c>
      <c r="BN755" t="s">
        <v>74</v>
      </c>
      <c r="BO755" t="s">
        <v>74</v>
      </c>
      <c r="BP755" t="s">
        <v>74</v>
      </c>
      <c r="BQ755" t="s">
        <v>74</v>
      </c>
      <c r="BR755" t="s">
        <v>105</v>
      </c>
      <c r="BS755" t="s">
        <v>14655</v>
      </c>
      <c r="BT755" t="str">
        <f>HYPERLINK("https%3A%2F%2Fwww.webofscience.com%2Fwos%2Fwoscc%2Ffull-record%2FWOS:000437037100002","View Full Record in Web of Science")</f>
        <v>View Full Record in Web of Science</v>
      </c>
    </row>
    <row r="756" spans="1:72" x14ac:dyDescent="0.15">
      <c r="A756" t="s">
        <v>72</v>
      </c>
      <c r="B756" t="s">
        <v>14656</v>
      </c>
      <c r="C756" t="s">
        <v>74</v>
      </c>
      <c r="D756" t="s">
        <v>74</v>
      </c>
      <c r="E756" t="s">
        <v>74</v>
      </c>
      <c r="F756" t="s">
        <v>14657</v>
      </c>
      <c r="G756" t="s">
        <v>74</v>
      </c>
      <c r="H756" t="s">
        <v>74</v>
      </c>
      <c r="I756" t="s">
        <v>14658</v>
      </c>
      <c r="J756" t="s">
        <v>12002</v>
      </c>
      <c r="K756" t="s">
        <v>74</v>
      </c>
      <c r="L756" t="s">
        <v>74</v>
      </c>
      <c r="M756" t="s">
        <v>78</v>
      </c>
      <c r="N756" t="s">
        <v>79</v>
      </c>
      <c r="O756" t="s">
        <v>74</v>
      </c>
      <c r="P756" t="s">
        <v>74</v>
      </c>
      <c r="Q756" t="s">
        <v>74</v>
      </c>
      <c r="R756" t="s">
        <v>74</v>
      </c>
      <c r="S756" t="s">
        <v>74</v>
      </c>
      <c r="T756" t="s">
        <v>14659</v>
      </c>
      <c r="U756" t="s">
        <v>14660</v>
      </c>
      <c r="V756" t="s">
        <v>14661</v>
      </c>
      <c r="W756" t="s">
        <v>14662</v>
      </c>
      <c r="X756" t="s">
        <v>14663</v>
      </c>
      <c r="Y756" t="s">
        <v>14664</v>
      </c>
      <c r="Z756" t="s">
        <v>14665</v>
      </c>
      <c r="AA756" t="s">
        <v>14666</v>
      </c>
      <c r="AB756" t="s">
        <v>14667</v>
      </c>
      <c r="AC756" t="s">
        <v>14668</v>
      </c>
      <c r="AD756" t="s">
        <v>14669</v>
      </c>
      <c r="AE756" t="s">
        <v>14670</v>
      </c>
      <c r="AF756" t="s">
        <v>74</v>
      </c>
      <c r="AG756">
        <v>104</v>
      </c>
      <c r="AH756">
        <v>17</v>
      </c>
      <c r="AI756">
        <v>18</v>
      </c>
      <c r="AJ756">
        <v>0</v>
      </c>
      <c r="AK756">
        <v>4</v>
      </c>
      <c r="AL756" t="s">
        <v>277</v>
      </c>
      <c r="AM756" t="s">
        <v>278</v>
      </c>
      <c r="AN756" t="s">
        <v>279</v>
      </c>
      <c r="AO756" t="s">
        <v>12015</v>
      </c>
      <c r="AP756" t="s">
        <v>12016</v>
      </c>
      <c r="AQ756" t="s">
        <v>74</v>
      </c>
      <c r="AR756" t="s">
        <v>12017</v>
      </c>
      <c r="AS756" t="s">
        <v>12018</v>
      </c>
      <c r="AT756" t="s">
        <v>11811</v>
      </c>
      <c r="AU756">
        <v>2018</v>
      </c>
      <c r="AV756">
        <v>149</v>
      </c>
      <c r="AW756" t="s">
        <v>74</v>
      </c>
      <c r="AX756" t="s">
        <v>74</v>
      </c>
      <c r="AY756" t="s">
        <v>74</v>
      </c>
      <c r="AZ756" t="s">
        <v>508</v>
      </c>
      <c r="BA756" t="s">
        <v>74</v>
      </c>
      <c r="BB756">
        <v>193</v>
      </c>
      <c r="BC756">
        <v>205</v>
      </c>
      <c r="BD756" t="s">
        <v>74</v>
      </c>
      <c r="BE756" t="s">
        <v>14671</v>
      </c>
      <c r="BF756" t="str">
        <f>HYPERLINK("http://dx.doi.org/10.1016/j.dsr2.2017.10.018","http://dx.doi.org/10.1016/j.dsr2.2017.10.018")</f>
        <v>http://dx.doi.org/10.1016/j.dsr2.2017.10.018</v>
      </c>
      <c r="BG756" t="s">
        <v>74</v>
      </c>
      <c r="BH756" t="s">
        <v>74</v>
      </c>
      <c r="BI756">
        <v>13</v>
      </c>
      <c r="BJ756" t="s">
        <v>364</v>
      </c>
      <c r="BK756" t="s">
        <v>101</v>
      </c>
      <c r="BL756" t="s">
        <v>364</v>
      </c>
      <c r="BM756" t="s">
        <v>12020</v>
      </c>
      <c r="BN756" t="s">
        <v>74</v>
      </c>
      <c r="BO756" t="s">
        <v>74</v>
      </c>
      <c r="BP756" t="s">
        <v>74</v>
      </c>
      <c r="BQ756" t="s">
        <v>74</v>
      </c>
      <c r="BR756" t="s">
        <v>105</v>
      </c>
      <c r="BS756" t="s">
        <v>14672</v>
      </c>
      <c r="BT756" t="str">
        <f>HYPERLINK("https%3A%2F%2Fwww.webofscience.com%2Fwos%2Fwoscc%2Ffull-record%2FWOS:000437037100018","View Full Record in Web of Science")</f>
        <v>View Full Record in Web of Science</v>
      </c>
    </row>
    <row r="757" spans="1:72" x14ac:dyDescent="0.15">
      <c r="A757" t="s">
        <v>72</v>
      </c>
      <c r="B757" t="s">
        <v>14673</v>
      </c>
      <c r="C757" t="s">
        <v>74</v>
      </c>
      <c r="D757" t="s">
        <v>74</v>
      </c>
      <c r="E757" t="s">
        <v>74</v>
      </c>
      <c r="F757" t="s">
        <v>14674</v>
      </c>
      <c r="G757" t="s">
        <v>74</v>
      </c>
      <c r="H757" t="s">
        <v>74</v>
      </c>
      <c r="I757" t="s">
        <v>14675</v>
      </c>
      <c r="J757" t="s">
        <v>12002</v>
      </c>
      <c r="K757" t="s">
        <v>74</v>
      </c>
      <c r="L757" t="s">
        <v>74</v>
      </c>
      <c r="M757" t="s">
        <v>78</v>
      </c>
      <c r="N757" t="s">
        <v>79</v>
      </c>
      <c r="O757" t="s">
        <v>74</v>
      </c>
      <c r="P757" t="s">
        <v>74</v>
      </c>
      <c r="Q757" t="s">
        <v>74</v>
      </c>
      <c r="R757" t="s">
        <v>74</v>
      </c>
      <c r="S757" t="s">
        <v>74</v>
      </c>
      <c r="T757" t="s">
        <v>14676</v>
      </c>
      <c r="U757" t="s">
        <v>14677</v>
      </c>
      <c r="V757" t="s">
        <v>14678</v>
      </c>
      <c r="W757" t="s">
        <v>14679</v>
      </c>
      <c r="X757" t="s">
        <v>14680</v>
      </c>
      <c r="Y757" t="s">
        <v>14681</v>
      </c>
      <c r="Z757" t="s">
        <v>14682</v>
      </c>
      <c r="AA757" t="s">
        <v>14683</v>
      </c>
      <c r="AB757" t="s">
        <v>14684</v>
      </c>
      <c r="AC757" t="s">
        <v>14685</v>
      </c>
      <c r="AD757" t="s">
        <v>14686</v>
      </c>
      <c r="AE757" t="s">
        <v>14687</v>
      </c>
      <c r="AF757" t="s">
        <v>74</v>
      </c>
      <c r="AG757">
        <v>97</v>
      </c>
      <c r="AH757">
        <v>26</v>
      </c>
      <c r="AI757">
        <v>30</v>
      </c>
      <c r="AJ757">
        <v>2</v>
      </c>
      <c r="AK757">
        <v>48</v>
      </c>
      <c r="AL757" t="s">
        <v>277</v>
      </c>
      <c r="AM757" t="s">
        <v>278</v>
      </c>
      <c r="AN757" t="s">
        <v>279</v>
      </c>
      <c r="AO757" t="s">
        <v>12015</v>
      </c>
      <c r="AP757" t="s">
        <v>12016</v>
      </c>
      <c r="AQ757" t="s">
        <v>74</v>
      </c>
      <c r="AR757" t="s">
        <v>12017</v>
      </c>
      <c r="AS757" t="s">
        <v>12018</v>
      </c>
      <c r="AT757" t="s">
        <v>11811</v>
      </c>
      <c r="AU757">
        <v>2018</v>
      </c>
      <c r="AV757">
        <v>149</v>
      </c>
      <c r="AW757" t="s">
        <v>74</v>
      </c>
      <c r="AX757" t="s">
        <v>74</v>
      </c>
      <c r="AY757" t="s">
        <v>74</v>
      </c>
      <c r="AZ757" t="s">
        <v>508</v>
      </c>
      <c r="BA757" t="s">
        <v>74</v>
      </c>
      <c r="BB757">
        <v>240</v>
      </c>
      <c r="BC757">
        <v>249</v>
      </c>
      <c r="BD757" t="s">
        <v>74</v>
      </c>
      <c r="BE757" t="s">
        <v>14688</v>
      </c>
      <c r="BF757" t="str">
        <f>HYPERLINK("http://dx.doi.org/10.1016/j.dsr2.2017.11.005","http://dx.doi.org/10.1016/j.dsr2.2017.11.005")</f>
        <v>http://dx.doi.org/10.1016/j.dsr2.2017.11.005</v>
      </c>
      <c r="BG757" t="s">
        <v>74</v>
      </c>
      <c r="BH757" t="s">
        <v>74</v>
      </c>
      <c r="BI757">
        <v>10</v>
      </c>
      <c r="BJ757" t="s">
        <v>364</v>
      </c>
      <c r="BK757" t="s">
        <v>101</v>
      </c>
      <c r="BL757" t="s">
        <v>364</v>
      </c>
      <c r="BM757" t="s">
        <v>12020</v>
      </c>
      <c r="BN757" t="s">
        <v>74</v>
      </c>
      <c r="BO757" t="s">
        <v>74</v>
      </c>
      <c r="BP757" t="s">
        <v>74</v>
      </c>
      <c r="BQ757" t="s">
        <v>74</v>
      </c>
      <c r="BR757" t="s">
        <v>105</v>
      </c>
      <c r="BS757" t="s">
        <v>14689</v>
      </c>
      <c r="BT757" t="str">
        <f>HYPERLINK("https%3A%2F%2Fwww.webofscience.com%2Fwos%2Fwoscc%2Ffull-record%2FWOS:000437037100022","View Full Record in Web of Science")</f>
        <v>View Full Record in Web of Science</v>
      </c>
    </row>
    <row r="758" spans="1:72" x14ac:dyDescent="0.15">
      <c r="A758" t="s">
        <v>72</v>
      </c>
      <c r="B758" t="s">
        <v>14690</v>
      </c>
      <c r="C758" t="s">
        <v>74</v>
      </c>
      <c r="D758" t="s">
        <v>74</v>
      </c>
      <c r="E758" t="s">
        <v>74</v>
      </c>
      <c r="F758" t="s">
        <v>14691</v>
      </c>
      <c r="G758" t="s">
        <v>74</v>
      </c>
      <c r="H758" t="s">
        <v>74</v>
      </c>
      <c r="I758" t="s">
        <v>14692</v>
      </c>
      <c r="J758" t="s">
        <v>14693</v>
      </c>
      <c r="K758" t="s">
        <v>74</v>
      </c>
      <c r="L758" t="s">
        <v>74</v>
      </c>
      <c r="M758" t="s">
        <v>78</v>
      </c>
      <c r="N758" t="s">
        <v>79</v>
      </c>
      <c r="O758" t="s">
        <v>74</v>
      </c>
      <c r="P758" t="s">
        <v>74</v>
      </c>
      <c r="Q758" t="s">
        <v>74</v>
      </c>
      <c r="R758" t="s">
        <v>74</v>
      </c>
      <c r="S758" t="s">
        <v>74</v>
      </c>
      <c r="T758" t="s">
        <v>74</v>
      </c>
      <c r="U758" t="s">
        <v>74</v>
      </c>
      <c r="V758" t="s">
        <v>14694</v>
      </c>
      <c r="W758" t="s">
        <v>14695</v>
      </c>
      <c r="X758" t="s">
        <v>14696</v>
      </c>
      <c r="Y758" t="s">
        <v>14697</v>
      </c>
      <c r="Z758" t="s">
        <v>14698</v>
      </c>
      <c r="AA758" t="s">
        <v>14699</v>
      </c>
      <c r="AB758" t="s">
        <v>14700</v>
      </c>
      <c r="AC758" t="s">
        <v>14701</v>
      </c>
      <c r="AD758" t="s">
        <v>14702</v>
      </c>
      <c r="AE758" t="s">
        <v>14703</v>
      </c>
      <c r="AF758" t="s">
        <v>74</v>
      </c>
      <c r="AG758">
        <v>121</v>
      </c>
      <c r="AH758">
        <v>29</v>
      </c>
      <c r="AI758">
        <v>31</v>
      </c>
      <c r="AJ758">
        <v>1</v>
      </c>
      <c r="AK758">
        <v>17</v>
      </c>
      <c r="AL758" t="s">
        <v>627</v>
      </c>
      <c r="AM758" t="s">
        <v>628</v>
      </c>
      <c r="AN758" t="s">
        <v>629</v>
      </c>
      <c r="AO758" t="s">
        <v>74</v>
      </c>
      <c r="AP758" t="s">
        <v>14704</v>
      </c>
      <c r="AQ758" t="s">
        <v>74</v>
      </c>
      <c r="AR758" t="s">
        <v>14693</v>
      </c>
      <c r="AS758" t="s">
        <v>14705</v>
      </c>
      <c r="AT758" t="s">
        <v>11811</v>
      </c>
      <c r="AU758">
        <v>2018</v>
      </c>
      <c r="AV758">
        <v>10</v>
      </c>
      <c r="AW758">
        <v>1</v>
      </c>
      <c r="AX758" t="s">
        <v>74</v>
      </c>
      <c r="AY758" t="s">
        <v>74</v>
      </c>
      <c r="AZ758" t="s">
        <v>74</v>
      </c>
      <c r="BA758" t="s">
        <v>74</v>
      </c>
      <c r="BB758" t="s">
        <v>74</v>
      </c>
      <c r="BC758" t="s">
        <v>74</v>
      </c>
      <c r="BD758">
        <v>11</v>
      </c>
      <c r="BE758" t="s">
        <v>14706</v>
      </c>
      <c r="BF758" t="str">
        <f>HYPERLINK("http://dx.doi.org/10.3390/d10010011","http://dx.doi.org/10.3390/d10010011")</f>
        <v>http://dx.doi.org/10.3390/d10010011</v>
      </c>
      <c r="BG758" t="s">
        <v>74</v>
      </c>
      <c r="BH758" t="s">
        <v>74</v>
      </c>
      <c r="BI758">
        <v>25</v>
      </c>
      <c r="BJ758" t="s">
        <v>100</v>
      </c>
      <c r="BK758" t="s">
        <v>101</v>
      </c>
      <c r="BL758" t="s">
        <v>102</v>
      </c>
      <c r="BM758" t="s">
        <v>14707</v>
      </c>
      <c r="BN758" t="s">
        <v>74</v>
      </c>
      <c r="BO758" t="s">
        <v>2293</v>
      </c>
      <c r="BP758" t="s">
        <v>74</v>
      </c>
      <c r="BQ758" t="s">
        <v>74</v>
      </c>
      <c r="BR758" t="s">
        <v>105</v>
      </c>
      <c r="BS758" t="s">
        <v>14708</v>
      </c>
      <c r="BT758" t="str">
        <f>HYPERLINK("https%3A%2F%2Fwww.webofscience.com%2Fwos%2Fwoscc%2Ffull-record%2FWOS:000428553300010","View Full Record in Web of Science")</f>
        <v>View Full Record in Web of Science</v>
      </c>
    </row>
    <row r="759" spans="1:72" x14ac:dyDescent="0.15">
      <c r="A759" t="s">
        <v>72</v>
      </c>
      <c r="B759" t="s">
        <v>14709</v>
      </c>
      <c r="C759" t="s">
        <v>74</v>
      </c>
      <c r="D759" t="s">
        <v>74</v>
      </c>
      <c r="E759" t="s">
        <v>74</v>
      </c>
      <c r="F759" t="s">
        <v>14710</v>
      </c>
      <c r="G759" t="s">
        <v>74</v>
      </c>
      <c r="H759" t="s">
        <v>74</v>
      </c>
      <c r="I759" t="s">
        <v>14711</v>
      </c>
      <c r="J759" t="s">
        <v>14712</v>
      </c>
      <c r="K759" t="s">
        <v>74</v>
      </c>
      <c r="L759" t="s">
        <v>74</v>
      </c>
      <c r="M759" t="s">
        <v>78</v>
      </c>
      <c r="N759" t="s">
        <v>79</v>
      </c>
      <c r="O759" t="s">
        <v>74</v>
      </c>
      <c r="P759" t="s">
        <v>74</v>
      </c>
      <c r="Q759" t="s">
        <v>74</v>
      </c>
      <c r="R759" t="s">
        <v>74</v>
      </c>
      <c r="S759" t="s">
        <v>74</v>
      </c>
      <c r="T759" t="s">
        <v>14713</v>
      </c>
      <c r="U759" t="s">
        <v>14714</v>
      </c>
      <c r="V759" t="s">
        <v>14715</v>
      </c>
      <c r="W759" t="s">
        <v>14716</v>
      </c>
      <c r="X759" t="s">
        <v>14717</v>
      </c>
      <c r="Y759" t="s">
        <v>14718</v>
      </c>
      <c r="Z759" t="s">
        <v>14719</v>
      </c>
      <c r="AA759" t="s">
        <v>14720</v>
      </c>
      <c r="AB759" t="s">
        <v>14721</v>
      </c>
      <c r="AC759" t="s">
        <v>14722</v>
      </c>
      <c r="AD759" t="s">
        <v>14723</v>
      </c>
      <c r="AE759" t="s">
        <v>14724</v>
      </c>
      <c r="AF759" t="s">
        <v>74</v>
      </c>
      <c r="AG759">
        <v>82</v>
      </c>
      <c r="AH759">
        <v>173</v>
      </c>
      <c r="AI759">
        <v>182</v>
      </c>
      <c r="AJ759">
        <v>5</v>
      </c>
      <c r="AK759">
        <v>75</v>
      </c>
      <c r="AL759" t="s">
        <v>179</v>
      </c>
      <c r="AM759" t="s">
        <v>180</v>
      </c>
      <c r="AN759" t="s">
        <v>181</v>
      </c>
      <c r="AO759" t="s">
        <v>14725</v>
      </c>
      <c r="AP759" t="s">
        <v>14726</v>
      </c>
      <c r="AQ759" t="s">
        <v>74</v>
      </c>
      <c r="AR759" t="s">
        <v>14727</v>
      </c>
      <c r="AS759" t="s">
        <v>14728</v>
      </c>
      <c r="AT759" t="s">
        <v>11811</v>
      </c>
      <c r="AU759">
        <v>2018</v>
      </c>
      <c r="AV759">
        <v>19</v>
      </c>
      <c r="AW759">
        <v>2</v>
      </c>
      <c r="AX759" t="s">
        <v>74</v>
      </c>
      <c r="AY759" t="s">
        <v>74</v>
      </c>
      <c r="AZ759" t="s">
        <v>74</v>
      </c>
      <c r="BA759" t="s">
        <v>74</v>
      </c>
      <c r="BB759">
        <v>225</v>
      </c>
      <c r="BC759">
        <v>243</v>
      </c>
      <c r="BD759" t="s">
        <v>74</v>
      </c>
      <c r="BE759" t="s">
        <v>14729</v>
      </c>
      <c r="BF759" t="str">
        <f>HYPERLINK("http://dx.doi.org/10.1111/faf.12251","http://dx.doi.org/10.1111/faf.12251")</f>
        <v>http://dx.doi.org/10.1111/faf.12251</v>
      </c>
      <c r="BG759" t="s">
        <v>74</v>
      </c>
      <c r="BH759" t="s">
        <v>74</v>
      </c>
      <c r="BI759">
        <v>19</v>
      </c>
      <c r="BJ759" t="s">
        <v>5873</v>
      </c>
      <c r="BK759" t="s">
        <v>101</v>
      </c>
      <c r="BL759" t="s">
        <v>5873</v>
      </c>
      <c r="BM759" t="s">
        <v>14730</v>
      </c>
      <c r="BN759" t="s">
        <v>74</v>
      </c>
      <c r="BO759" t="s">
        <v>14731</v>
      </c>
      <c r="BP759" t="s">
        <v>555</v>
      </c>
      <c r="BQ759" t="s">
        <v>556</v>
      </c>
      <c r="BR759" t="s">
        <v>105</v>
      </c>
      <c r="BS759" t="s">
        <v>14732</v>
      </c>
      <c r="BT759" t="str">
        <f>HYPERLINK("https%3A%2F%2Fwww.webofscience.com%2Fwos%2Fwoscc%2Ffull-record%2FWOS:000426503000003","View Full Record in Web of Science")</f>
        <v>View Full Record in Web of Science</v>
      </c>
    </row>
    <row r="760" spans="1:72" x14ac:dyDescent="0.15">
      <c r="A760" t="s">
        <v>72</v>
      </c>
      <c r="B760" t="s">
        <v>14733</v>
      </c>
      <c r="C760" t="s">
        <v>74</v>
      </c>
      <c r="D760" t="s">
        <v>74</v>
      </c>
      <c r="E760" t="s">
        <v>74</v>
      </c>
      <c r="F760" t="s">
        <v>14734</v>
      </c>
      <c r="G760" t="s">
        <v>74</v>
      </c>
      <c r="H760" t="s">
        <v>74</v>
      </c>
      <c r="I760" t="s">
        <v>14735</v>
      </c>
      <c r="J760" t="s">
        <v>14736</v>
      </c>
      <c r="K760" t="s">
        <v>74</v>
      </c>
      <c r="L760" t="s">
        <v>74</v>
      </c>
      <c r="M760" t="s">
        <v>78</v>
      </c>
      <c r="N760" t="s">
        <v>79</v>
      </c>
      <c r="O760" t="s">
        <v>74</v>
      </c>
      <c r="P760" t="s">
        <v>74</v>
      </c>
      <c r="Q760" t="s">
        <v>74</v>
      </c>
      <c r="R760" t="s">
        <v>74</v>
      </c>
      <c r="S760" t="s">
        <v>74</v>
      </c>
      <c r="T760" t="s">
        <v>14737</v>
      </c>
      <c r="U760" t="s">
        <v>74</v>
      </c>
      <c r="V760" t="s">
        <v>14738</v>
      </c>
      <c r="W760" t="s">
        <v>14739</v>
      </c>
      <c r="X760" t="s">
        <v>14740</v>
      </c>
      <c r="Y760" t="s">
        <v>14741</v>
      </c>
      <c r="Z760" t="s">
        <v>14742</v>
      </c>
      <c r="AA760" t="s">
        <v>14743</v>
      </c>
      <c r="AB760" t="s">
        <v>14744</v>
      </c>
      <c r="AC760" t="s">
        <v>14745</v>
      </c>
      <c r="AD760" t="s">
        <v>14746</v>
      </c>
      <c r="AE760" t="s">
        <v>14747</v>
      </c>
      <c r="AF760" t="s">
        <v>74</v>
      </c>
      <c r="AG760">
        <v>21</v>
      </c>
      <c r="AH760">
        <v>7</v>
      </c>
      <c r="AI760">
        <v>7</v>
      </c>
      <c r="AJ760">
        <v>1</v>
      </c>
      <c r="AK760">
        <v>15</v>
      </c>
      <c r="AL760" t="s">
        <v>627</v>
      </c>
      <c r="AM760" t="s">
        <v>628</v>
      </c>
      <c r="AN760" t="s">
        <v>629</v>
      </c>
      <c r="AO760" t="s">
        <v>74</v>
      </c>
      <c r="AP760" t="s">
        <v>14748</v>
      </c>
      <c r="AQ760" t="s">
        <v>74</v>
      </c>
      <c r="AR760" t="s">
        <v>14749</v>
      </c>
      <c r="AS760" t="s">
        <v>14750</v>
      </c>
      <c r="AT760" t="s">
        <v>11811</v>
      </c>
      <c r="AU760">
        <v>2018</v>
      </c>
      <c r="AV760">
        <v>3</v>
      </c>
      <c r="AW760">
        <v>1</v>
      </c>
      <c r="AX760" t="s">
        <v>74</v>
      </c>
      <c r="AY760" t="s">
        <v>74</v>
      </c>
      <c r="AZ760" t="s">
        <v>74</v>
      </c>
      <c r="BA760" t="s">
        <v>74</v>
      </c>
      <c r="BB760" t="s">
        <v>74</v>
      </c>
      <c r="BC760" t="s">
        <v>74</v>
      </c>
      <c r="BD760">
        <v>8</v>
      </c>
      <c r="BE760" t="s">
        <v>14751</v>
      </c>
      <c r="BF760" t="str">
        <f>HYPERLINK("http://dx.doi.org/10.3390/fishes3010008","http://dx.doi.org/10.3390/fishes3010008")</f>
        <v>http://dx.doi.org/10.3390/fishes3010008</v>
      </c>
      <c r="BG760" t="s">
        <v>74</v>
      </c>
      <c r="BH760" t="s">
        <v>74</v>
      </c>
      <c r="BI760">
        <v>6</v>
      </c>
      <c r="BJ760" t="s">
        <v>3627</v>
      </c>
      <c r="BK760" t="s">
        <v>101</v>
      </c>
      <c r="BL760" t="s">
        <v>3627</v>
      </c>
      <c r="BM760" t="s">
        <v>14752</v>
      </c>
      <c r="BN760" t="s">
        <v>74</v>
      </c>
      <c r="BO760" t="s">
        <v>830</v>
      </c>
      <c r="BP760" t="s">
        <v>74</v>
      </c>
      <c r="BQ760" t="s">
        <v>74</v>
      </c>
      <c r="BR760" t="s">
        <v>105</v>
      </c>
      <c r="BS760" t="s">
        <v>14753</v>
      </c>
      <c r="BT760" t="str">
        <f>HYPERLINK("https%3A%2F%2Fwww.webofscience.com%2Fwos%2Fwoscc%2Ffull-record%2FWOS:000617401200007","View Full Record in Web of Science")</f>
        <v>View Full Record in Web of Science</v>
      </c>
    </row>
    <row r="761" spans="1:72" x14ac:dyDescent="0.15">
      <c r="A761" t="s">
        <v>72</v>
      </c>
      <c r="B761" t="s">
        <v>14754</v>
      </c>
      <c r="C761" t="s">
        <v>74</v>
      </c>
      <c r="D761" t="s">
        <v>74</v>
      </c>
      <c r="E761" t="s">
        <v>74</v>
      </c>
      <c r="F761" t="s">
        <v>14755</v>
      </c>
      <c r="G761" t="s">
        <v>74</v>
      </c>
      <c r="H761" t="s">
        <v>74</v>
      </c>
      <c r="I761" t="s">
        <v>14756</v>
      </c>
      <c r="J761" t="s">
        <v>516</v>
      </c>
      <c r="K761" t="s">
        <v>74</v>
      </c>
      <c r="L761" t="s">
        <v>74</v>
      </c>
      <c r="M761" t="s">
        <v>78</v>
      </c>
      <c r="N761" t="s">
        <v>79</v>
      </c>
      <c r="O761" t="s">
        <v>74</v>
      </c>
      <c r="P761" t="s">
        <v>74</v>
      </c>
      <c r="Q761" t="s">
        <v>74</v>
      </c>
      <c r="R761" t="s">
        <v>74</v>
      </c>
      <c r="S761" t="s">
        <v>74</v>
      </c>
      <c r="T761" t="s">
        <v>14757</v>
      </c>
      <c r="U761" t="s">
        <v>14758</v>
      </c>
      <c r="V761" t="s">
        <v>14759</v>
      </c>
      <c r="W761" t="s">
        <v>14760</v>
      </c>
      <c r="X761" t="s">
        <v>14761</v>
      </c>
      <c r="Y761" t="s">
        <v>14762</v>
      </c>
      <c r="Z761" t="s">
        <v>14763</v>
      </c>
      <c r="AA761" t="s">
        <v>14764</v>
      </c>
      <c r="AB761" t="s">
        <v>14765</v>
      </c>
      <c r="AC761" t="s">
        <v>14766</v>
      </c>
      <c r="AD761" t="s">
        <v>14767</v>
      </c>
      <c r="AE761" t="s">
        <v>14768</v>
      </c>
      <c r="AF761" t="s">
        <v>74</v>
      </c>
      <c r="AG761">
        <v>92</v>
      </c>
      <c r="AH761">
        <v>42</v>
      </c>
      <c r="AI761">
        <v>43</v>
      </c>
      <c r="AJ761">
        <v>10</v>
      </c>
      <c r="AK761">
        <v>107</v>
      </c>
      <c r="AL761" t="s">
        <v>179</v>
      </c>
      <c r="AM761" t="s">
        <v>180</v>
      </c>
      <c r="AN761" t="s">
        <v>181</v>
      </c>
      <c r="AO761" t="s">
        <v>529</v>
      </c>
      <c r="AP761" t="s">
        <v>530</v>
      </c>
      <c r="AQ761" t="s">
        <v>74</v>
      </c>
      <c r="AR761" t="s">
        <v>531</v>
      </c>
      <c r="AS761" t="s">
        <v>532</v>
      </c>
      <c r="AT761" t="s">
        <v>11811</v>
      </c>
      <c r="AU761">
        <v>2018</v>
      </c>
      <c r="AV761">
        <v>24</v>
      </c>
      <c r="AW761">
        <v>3</v>
      </c>
      <c r="AX761" t="s">
        <v>74</v>
      </c>
      <c r="AY761" t="s">
        <v>74</v>
      </c>
      <c r="AZ761" t="s">
        <v>74</v>
      </c>
      <c r="BA761" t="s">
        <v>74</v>
      </c>
      <c r="BB761">
        <v>1123</v>
      </c>
      <c r="BC761">
        <v>1135</v>
      </c>
      <c r="BD761" t="s">
        <v>74</v>
      </c>
      <c r="BE761" t="s">
        <v>14769</v>
      </c>
      <c r="BF761" t="str">
        <f>HYPERLINK("http://dx.doi.org/10.1111/gcb.13984","http://dx.doi.org/10.1111/gcb.13984")</f>
        <v>http://dx.doi.org/10.1111/gcb.13984</v>
      </c>
      <c r="BG761" t="s">
        <v>74</v>
      </c>
      <c r="BH761" t="s">
        <v>74</v>
      </c>
      <c r="BI761">
        <v>13</v>
      </c>
      <c r="BJ761" t="s">
        <v>534</v>
      </c>
      <c r="BK761" t="s">
        <v>101</v>
      </c>
      <c r="BL761" t="s">
        <v>102</v>
      </c>
      <c r="BM761" t="s">
        <v>14770</v>
      </c>
      <c r="BN761">
        <v>29143417</v>
      </c>
      <c r="BO761" t="s">
        <v>1085</v>
      </c>
      <c r="BP761" t="s">
        <v>74</v>
      </c>
      <c r="BQ761" t="s">
        <v>74</v>
      </c>
      <c r="BR761" t="s">
        <v>105</v>
      </c>
      <c r="BS761" t="s">
        <v>14771</v>
      </c>
      <c r="BT761" t="str">
        <f>HYPERLINK("https%3A%2F%2Fwww.webofscience.com%2Fwos%2Fwoscc%2Ffull-record%2FWOS:000425396700022","View Full Record in Web of Science")</f>
        <v>View Full Record in Web of Science</v>
      </c>
    </row>
    <row r="762" spans="1:72" x14ac:dyDescent="0.15">
      <c r="A762" t="s">
        <v>72</v>
      </c>
      <c r="B762" t="s">
        <v>14772</v>
      </c>
      <c r="C762" t="s">
        <v>74</v>
      </c>
      <c r="D762" t="s">
        <v>74</v>
      </c>
      <c r="E762" t="s">
        <v>74</v>
      </c>
      <c r="F762" t="s">
        <v>14773</v>
      </c>
      <c r="G762" t="s">
        <v>74</v>
      </c>
      <c r="H762" t="s">
        <v>74</v>
      </c>
      <c r="I762" t="s">
        <v>14774</v>
      </c>
      <c r="J762" t="s">
        <v>5292</v>
      </c>
      <c r="K762" t="s">
        <v>74</v>
      </c>
      <c r="L762" t="s">
        <v>74</v>
      </c>
      <c r="M762" t="s">
        <v>78</v>
      </c>
      <c r="N762" t="s">
        <v>79</v>
      </c>
      <c r="O762" t="s">
        <v>74</v>
      </c>
      <c r="P762" t="s">
        <v>74</v>
      </c>
      <c r="Q762" t="s">
        <v>74</v>
      </c>
      <c r="R762" t="s">
        <v>74</v>
      </c>
      <c r="S762" t="s">
        <v>74</v>
      </c>
      <c r="T762" t="s">
        <v>14775</v>
      </c>
      <c r="U762" t="s">
        <v>14776</v>
      </c>
      <c r="V762" t="s">
        <v>14777</v>
      </c>
      <c r="W762" t="s">
        <v>14778</v>
      </c>
      <c r="X762" t="s">
        <v>14779</v>
      </c>
      <c r="Y762" t="s">
        <v>14780</v>
      </c>
      <c r="Z762" t="s">
        <v>14781</v>
      </c>
      <c r="AA762" t="s">
        <v>14782</v>
      </c>
      <c r="AB762" t="s">
        <v>14783</v>
      </c>
      <c r="AC762" t="s">
        <v>14784</v>
      </c>
      <c r="AD762" t="s">
        <v>14785</v>
      </c>
      <c r="AE762" t="s">
        <v>14784</v>
      </c>
      <c r="AF762" t="s">
        <v>74</v>
      </c>
      <c r="AG762">
        <v>66</v>
      </c>
      <c r="AH762">
        <v>22</v>
      </c>
      <c r="AI762">
        <v>24</v>
      </c>
      <c r="AJ762">
        <v>3</v>
      </c>
      <c r="AK762">
        <v>54</v>
      </c>
      <c r="AL762" t="s">
        <v>179</v>
      </c>
      <c r="AM762" t="s">
        <v>180</v>
      </c>
      <c r="AN762" t="s">
        <v>181</v>
      </c>
      <c r="AO762" t="s">
        <v>5303</v>
      </c>
      <c r="AP762" t="s">
        <v>5304</v>
      </c>
      <c r="AQ762" t="s">
        <v>74</v>
      </c>
      <c r="AR762" t="s">
        <v>5305</v>
      </c>
      <c r="AS762" t="s">
        <v>5306</v>
      </c>
      <c r="AT762" t="s">
        <v>11811</v>
      </c>
      <c r="AU762">
        <v>2018</v>
      </c>
      <c r="AV762">
        <v>55</v>
      </c>
      <c r="AW762">
        <v>2</v>
      </c>
      <c r="AX762" t="s">
        <v>74</v>
      </c>
      <c r="AY762" t="s">
        <v>74</v>
      </c>
      <c r="AZ762" t="s">
        <v>74</v>
      </c>
      <c r="BA762" t="s">
        <v>74</v>
      </c>
      <c r="BB762">
        <v>503</v>
      </c>
      <c r="BC762">
        <v>515</v>
      </c>
      <c r="BD762" t="s">
        <v>74</v>
      </c>
      <c r="BE762" t="s">
        <v>14786</v>
      </c>
      <c r="BF762" t="str">
        <f>HYPERLINK("http://dx.doi.org/10.1111/1365-2664.12996","http://dx.doi.org/10.1111/1365-2664.12996")</f>
        <v>http://dx.doi.org/10.1111/1365-2664.12996</v>
      </c>
      <c r="BG762" t="s">
        <v>74</v>
      </c>
      <c r="BH762" t="s">
        <v>74</v>
      </c>
      <c r="BI762">
        <v>13</v>
      </c>
      <c r="BJ762" t="s">
        <v>100</v>
      </c>
      <c r="BK762" t="s">
        <v>101</v>
      </c>
      <c r="BL762" t="s">
        <v>102</v>
      </c>
      <c r="BM762" t="s">
        <v>14787</v>
      </c>
      <c r="BN762" t="s">
        <v>74</v>
      </c>
      <c r="BO762" t="s">
        <v>341</v>
      </c>
      <c r="BP762" t="s">
        <v>74</v>
      </c>
      <c r="BQ762" t="s">
        <v>74</v>
      </c>
      <c r="BR762" t="s">
        <v>105</v>
      </c>
      <c r="BS762" t="s">
        <v>14788</v>
      </c>
      <c r="BT762" t="str">
        <f>HYPERLINK("https%3A%2F%2Fwww.webofscience.com%2Fwos%2Fwoscc%2Ffull-record%2FWOS:000424881800005","View Full Record in Web of Science")</f>
        <v>View Full Record in Web of Science</v>
      </c>
    </row>
    <row r="763" spans="1:72" x14ac:dyDescent="0.15">
      <c r="A763" t="s">
        <v>72</v>
      </c>
      <c r="B763" t="s">
        <v>14789</v>
      </c>
      <c r="C763" t="s">
        <v>74</v>
      </c>
      <c r="D763" t="s">
        <v>74</v>
      </c>
      <c r="E763" t="s">
        <v>74</v>
      </c>
      <c r="F763" t="s">
        <v>14790</v>
      </c>
      <c r="G763" t="s">
        <v>74</v>
      </c>
      <c r="H763" t="s">
        <v>74</v>
      </c>
      <c r="I763" t="s">
        <v>14791</v>
      </c>
      <c r="J763" t="s">
        <v>3583</v>
      </c>
      <c r="K763" t="s">
        <v>74</v>
      </c>
      <c r="L763" t="s">
        <v>74</v>
      </c>
      <c r="M763" t="s">
        <v>78</v>
      </c>
      <c r="N763" t="s">
        <v>79</v>
      </c>
      <c r="O763" t="s">
        <v>74</v>
      </c>
      <c r="P763" t="s">
        <v>74</v>
      </c>
      <c r="Q763" t="s">
        <v>74</v>
      </c>
      <c r="R763" t="s">
        <v>74</v>
      </c>
      <c r="S763" t="s">
        <v>74</v>
      </c>
      <c r="T763" t="s">
        <v>74</v>
      </c>
      <c r="U763" t="s">
        <v>14792</v>
      </c>
      <c r="V763" t="s">
        <v>14793</v>
      </c>
      <c r="W763" t="s">
        <v>14794</v>
      </c>
      <c r="X763" t="s">
        <v>14795</v>
      </c>
      <c r="Y763" t="s">
        <v>14796</v>
      </c>
      <c r="Z763" t="s">
        <v>14797</v>
      </c>
      <c r="AA763" t="s">
        <v>14798</v>
      </c>
      <c r="AB763" t="s">
        <v>14799</v>
      </c>
      <c r="AC763" t="s">
        <v>14800</v>
      </c>
      <c r="AD763" t="s">
        <v>14801</v>
      </c>
      <c r="AE763" t="s">
        <v>14802</v>
      </c>
      <c r="AF763" t="s">
        <v>74</v>
      </c>
      <c r="AG763">
        <v>56</v>
      </c>
      <c r="AH763">
        <v>13</v>
      </c>
      <c r="AI763">
        <v>14</v>
      </c>
      <c r="AJ763">
        <v>0</v>
      </c>
      <c r="AK763">
        <v>10</v>
      </c>
      <c r="AL763" t="s">
        <v>3595</v>
      </c>
      <c r="AM763" t="s">
        <v>3596</v>
      </c>
      <c r="AN763" t="s">
        <v>3597</v>
      </c>
      <c r="AO763" t="s">
        <v>3598</v>
      </c>
      <c r="AP763" t="s">
        <v>3599</v>
      </c>
      <c r="AQ763" t="s">
        <v>74</v>
      </c>
      <c r="AR763" t="s">
        <v>3600</v>
      </c>
      <c r="AS763" t="s">
        <v>3601</v>
      </c>
      <c r="AT763" t="s">
        <v>11811</v>
      </c>
      <c r="AU763">
        <v>2018</v>
      </c>
      <c r="AV763">
        <v>31</v>
      </c>
      <c r="AW763">
        <v>5</v>
      </c>
      <c r="AX763" t="s">
        <v>74</v>
      </c>
      <c r="AY763" t="s">
        <v>74</v>
      </c>
      <c r="AZ763" t="s">
        <v>74</v>
      </c>
      <c r="BA763" t="s">
        <v>74</v>
      </c>
      <c r="BB763">
        <v>1743</v>
      </c>
      <c r="BC763">
        <v>1755</v>
      </c>
      <c r="BD763" t="s">
        <v>74</v>
      </c>
      <c r="BE763" t="s">
        <v>14803</v>
      </c>
      <c r="BF763" t="str">
        <f>HYPERLINK("http://dx.doi.org/10.1175/JCLI-D-17-0353.1","http://dx.doi.org/10.1175/JCLI-D-17-0353.1")</f>
        <v>http://dx.doi.org/10.1175/JCLI-D-17-0353.1</v>
      </c>
      <c r="BG763" t="s">
        <v>74</v>
      </c>
      <c r="BH763" t="s">
        <v>74</v>
      </c>
      <c r="BI763">
        <v>13</v>
      </c>
      <c r="BJ763" t="s">
        <v>131</v>
      </c>
      <c r="BK763" t="s">
        <v>101</v>
      </c>
      <c r="BL763" t="s">
        <v>131</v>
      </c>
      <c r="BM763" t="s">
        <v>14804</v>
      </c>
      <c r="BN763" t="s">
        <v>74</v>
      </c>
      <c r="BO763" t="s">
        <v>104</v>
      </c>
      <c r="BP763" t="s">
        <v>74</v>
      </c>
      <c r="BQ763" t="s">
        <v>74</v>
      </c>
      <c r="BR763" t="s">
        <v>105</v>
      </c>
      <c r="BS763" t="s">
        <v>14805</v>
      </c>
      <c r="BT763" t="str">
        <f>HYPERLINK("https%3A%2F%2Fwww.webofscience.com%2Fwos%2Fwoscc%2Ffull-record%2FWOS:000427438100004","View Full Record in Web of Science")</f>
        <v>View Full Record in Web of Science</v>
      </c>
    </row>
    <row r="764" spans="1:72" x14ac:dyDescent="0.15">
      <c r="A764" t="s">
        <v>72</v>
      </c>
      <c r="B764" t="s">
        <v>14806</v>
      </c>
      <c r="C764" t="s">
        <v>74</v>
      </c>
      <c r="D764" t="s">
        <v>74</v>
      </c>
      <c r="E764" t="s">
        <v>74</v>
      </c>
      <c r="F764" t="s">
        <v>14807</v>
      </c>
      <c r="G764" t="s">
        <v>74</v>
      </c>
      <c r="H764" t="s">
        <v>74</v>
      </c>
      <c r="I764" t="s">
        <v>14808</v>
      </c>
      <c r="J764" t="s">
        <v>3656</v>
      </c>
      <c r="K764" t="s">
        <v>74</v>
      </c>
      <c r="L764" t="s">
        <v>74</v>
      </c>
      <c r="M764" t="s">
        <v>78</v>
      </c>
      <c r="N764" t="s">
        <v>79</v>
      </c>
      <c r="O764" t="s">
        <v>74</v>
      </c>
      <c r="P764" t="s">
        <v>74</v>
      </c>
      <c r="Q764" t="s">
        <v>74</v>
      </c>
      <c r="R764" t="s">
        <v>74</v>
      </c>
      <c r="S764" t="s">
        <v>74</v>
      </c>
      <c r="T764" t="s">
        <v>74</v>
      </c>
      <c r="U764" t="s">
        <v>14809</v>
      </c>
      <c r="V764" t="s">
        <v>14810</v>
      </c>
      <c r="W764" t="s">
        <v>14811</v>
      </c>
      <c r="X764" t="s">
        <v>14812</v>
      </c>
      <c r="Y764" t="s">
        <v>14813</v>
      </c>
      <c r="Z764" t="s">
        <v>14814</v>
      </c>
      <c r="AA764" t="s">
        <v>14815</v>
      </c>
      <c r="AB764" t="s">
        <v>14816</v>
      </c>
      <c r="AC764" t="s">
        <v>14817</v>
      </c>
      <c r="AD764" t="s">
        <v>14818</v>
      </c>
      <c r="AE764" t="s">
        <v>14819</v>
      </c>
      <c r="AF764" t="s">
        <v>74</v>
      </c>
      <c r="AG764">
        <v>59</v>
      </c>
      <c r="AH764">
        <v>20</v>
      </c>
      <c r="AI764">
        <v>21</v>
      </c>
      <c r="AJ764">
        <v>0</v>
      </c>
      <c r="AK764">
        <v>4</v>
      </c>
      <c r="AL764" t="s">
        <v>574</v>
      </c>
      <c r="AM764" t="s">
        <v>575</v>
      </c>
      <c r="AN764" t="s">
        <v>576</v>
      </c>
      <c r="AO764" t="s">
        <v>3669</v>
      </c>
      <c r="AP764" t="s">
        <v>3670</v>
      </c>
      <c r="AQ764" t="s">
        <v>74</v>
      </c>
      <c r="AR764" t="s">
        <v>3671</v>
      </c>
      <c r="AS764" t="s">
        <v>3672</v>
      </c>
      <c r="AT764" t="s">
        <v>11811</v>
      </c>
      <c r="AU764">
        <v>2018</v>
      </c>
      <c r="AV764">
        <v>123</v>
      </c>
      <c r="AW764">
        <v>3</v>
      </c>
      <c r="AX764" t="s">
        <v>74</v>
      </c>
      <c r="AY764" t="s">
        <v>74</v>
      </c>
      <c r="AZ764" t="s">
        <v>74</v>
      </c>
      <c r="BA764" t="s">
        <v>74</v>
      </c>
      <c r="BB764">
        <v>1907</v>
      </c>
      <c r="BC764">
        <v>1923</v>
      </c>
      <c r="BD764" t="s">
        <v>74</v>
      </c>
      <c r="BE764" t="s">
        <v>14820</v>
      </c>
      <c r="BF764" t="str">
        <f>HYPERLINK("http://dx.doi.org/10.1002/2017JC013711","http://dx.doi.org/10.1002/2017JC013711")</f>
        <v>http://dx.doi.org/10.1002/2017JC013711</v>
      </c>
      <c r="BG764" t="s">
        <v>74</v>
      </c>
      <c r="BH764" t="s">
        <v>74</v>
      </c>
      <c r="BI764">
        <v>17</v>
      </c>
      <c r="BJ764" t="s">
        <v>364</v>
      </c>
      <c r="BK764" t="s">
        <v>101</v>
      </c>
      <c r="BL764" t="s">
        <v>364</v>
      </c>
      <c r="BM764" t="s">
        <v>12316</v>
      </c>
      <c r="BN764" t="s">
        <v>74</v>
      </c>
      <c r="BO764" t="s">
        <v>1111</v>
      </c>
      <c r="BP764" t="s">
        <v>74</v>
      </c>
      <c r="BQ764" t="s">
        <v>74</v>
      </c>
      <c r="BR764" t="s">
        <v>105</v>
      </c>
      <c r="BS764" t="s">
        <v>14821</v>
      </c>
      <c r="BT764" t="str">
        <f>HYPERLINK("https%3A%2F%2Fwww.webofscience.com%2Fwos%2Fwoscc%2Ffull-record%2FWOS:000430918500019","View Full Record in Web of Science")</f>
        <v>View Full Record in Web of Science</v>
      </c>
    </row>
    <row r="765" spans="1:72" x14ac:dyDescent="0.15">
      <c r="A765" t="s">
        <v>72</v>
      </c>
      <c r="B765" t="s">
        <v>14822</v>
      </c>
      <c r="C765" t="s">
        <v>74</v>
      </c>
      <c r="D765" t="s">
        <v>74</v>
      </c>
      <c r="E765" t="s">
        <v>74</v>
      </c>
      <c r="F765" t="s">
        <v>14823</v>
      </c>
      <c r="G765" t="s">
        <v>74</v>
      </c>
      <c r="H765" t="s">
        <v>74</v>
      </c>
      <c r="I765" t="s">
        <v>14824</v>
      </c>
      <c r="J765" t="s">
        <v>3656</v>
      </c>
      <c r="K765" t="s">
        <v>74</v>
      </c>
      <c r="L765" t="s">
        <v>74</v>
      </c>
      <c r="M765" t="s">
        <v>78</v>
      </c>
      <c r="N765" t="s">
        <v>79</v>
      </c>
      <c r="O765" t="s">
        <v>74</v>
      </c>
      <c r="P765" t="s">
        <v>74</v>
      </c>
      <c r="Q765" t="s">
        <v>74</v>
      </c>
      <c r="R765" t="s">
        <v>74</v>
      </c>
      <c r="S765" t="s">
        <v>74</v>
      </c>
      <c r="T765" t="s">
        <v>14825</v>
      </c>
      <c r="U765" t="s">
        <v>14826</v>
      </c>
      <c r="V765" t="s">
        <v>14827</v>
      </c>
      <c r="W765" t="s">
        <v>14828</v>
      </c>
      <c r="X765" t="s">
        <v>14829</v>
      </c>
      <c r="Y765" t="s">
        <v>14830</v>
      </c>
      <c r="Z765" t="s">
        <v>14831</v>
      </c>
      <c r="AA765" t="s">
        <v>14832</v>
      </c>
      <c r="AB765" t="s">
        <v>14833</v>
      </c>
      <c r="AC765" t="s">
        <v>14834</v>
      </c>
      <c r="AD765" t="s">
        <v>14835</v>
      </c>
      <c r="AE765" t="s">
        <v>14836</v>
      </c>
      <c r="AF765" t="s">
        <v>74</v>
      </c>
      <c r="AG765">
        <v>47</v>
      </c>
      <c r="AH765">
        <v>34</v>
      </c>
      <c r="AI765">
        <v>34</v>
      </c>
      <c r="AJ765">
        <v>0</v>
      </c>
      <c r="AK765">
        <v>6</v>
      </c>
      <c r="AL765" t="s">
        <v>574</v>
      </c>
      <c r="AM765" t="s">
        <v>575</v>
      </c>
      <c r="AN765" t="s">
        <v>576</v>
      </c>
      <c r="AO765" t="s">
        <v>3669</v>
      </c>
      <c r="AP765" t="s">
        <v>3670</v>
      </c>
      <c r="AQ765" t="s">
        <v>74</v>
      </c>
      <c r="AR765" t="s">
        <v>3671</v>
      </c>
      <c r="AS765" t="s">
        <v>3672</v>
      </c>
      <c r="AT765" t="s">
        <v>11811</v>
      </c>
      <c r="AU765">
        <v>2018</v>
      </c>
      <c r="AV765">
        <v>123</v>
      </c>
      <c r="AW765">
        <v>3</v>
      </c>
      <c r="AX765" t="s">
        <v>74</v>
      </c>
      <c r="AY765" t="s">
        <v>74</v>
      </c>
      <c r="AZ765" t="s">
        <v>74</v>
      </c>
      <c r="BA765" t="s">
        <v>74</v>
      </c>
      <c r="BB765">
        <v>1978</v>
      </c>
      <c r="BC765">
        <v>1993</v>
      </c>
      <c r="BD765" t="s">
        <v>74</v>
      </c>
      <c r="BE765" t="s">
        <v>14837</v>
      </c>
      <c r="BF765" t="str">
        <f>HYPERLINK("http://dx.doi.org/10.1002/2017JC013655","http://dx.doi.org/10.1002/2017JC013655")</f>
        <v>http://dx.doi.org/10.1002/2017JC013655</v>
      </c>
      <c r="BG765" t="s">
        <v>74</v>
      </c>
      <c r="BH765" t="s">
        <v>74</v>
      </c>
      <c r="BI765">
        <v>16</v>
      </c>
      <c r="BJ765" t="s">
        <v>364</v>
      </c>
      <c r="BK765" t="s">
        <v>101</v>
      </c>
      <c r="BL765" t="s">
        <v>364</v>
      </c>
      <c r="BM765" t="s">
        <v>12316</v>
      </c>
      <c r="BN765" t="s">
        <v>74</v>
      </c>
      <c r="BO765" t="s">
        <v>1744</v>
      </c>
      <c r="BP765" t="s">
        <v>74</v>
      </c>
      <c r="BQ765" t="s">
        <v>74</v>
      </c>
      <c r="BR765" t="s">
        <v>105</v>
      </c>
      <c r="BS765" t="s">
        <v>14838</v>
      </c>
      <c r="BT765" t="str">
        <f>HYPERLINK("https%3A%2F%2Fwww.webofscience.com%2Fwos%2Fwoscc%2Ffull-record%2FWOS:000430918500023","View Full Record in Web of Science")</f>
        <v>View Full Record in Web of Science</v>
      </c>
    </row>
    <row r="766" spans="1:72" x14ac:dyDescent="0.15">
      <c r="A766" t="s">
        <v>72</v>
      </c>
      <c r="B766" t="s">
        <v>14839</v>
      </c>
      <c r="C766" t="s">
        <v>74</v>
      </c>
      <c r="D766" t="s">
        <v>74</v>
      </c>
      <c r="E766" t="s">
        <v>74</v>
      </c>
      <c r="F766" t="s">
        <v>14840</v>
      </c>
      <c r="G766" t="s">
        <v>74</v>
      </c>
      <c r="H766" t="s">
        <v>74</v>
      </c>
      <c r="I766" t="s">
        <v>14841</v>
      </c>
      <c r="J766" t="s">
        <v>14842</v>
      </c>
      <c r="K766" t="s">
        <v>74</v>
      </c>
      <c r="L766" t="s">
        <v>74</v>
      </c>
      <c r="M766" t="s">
        <v>78</v>
      </c>
      <c r="N766" t="s">
        <v>79</v>
      </c>
      <c r="O766" t="s">
        <v>74</v>
      </c>
      <c r="P766" t="s">
        <v>74</v>
      </c>
      <c r="Q766" t="s">
        <v>74</v>
      </c>
      <c r="R766" t="s">
        <v>74</v>
      </c>
      <c r="S766" t="s">
        <v>74</v>
      </c>
      <c r="T766" t="s">
        <v>14843</v>
      </c>
      <c r="U766" t="s">
        <v>14844</v>
      </c>
      <c r="V766" t="s">
        <v>14845</v>
      </c>
      <c r="W766" t="s">
        <v>14846</v>
      </c>
      <c r="X766" t="s">
        <v>14847</v>
      </c>
      <c r="Y766" t="s">
        <v>14848</v>
      </c>
      <c r="Z766" t="s">
        <v>14849</v>
      </c>
      <c r="AA766" t="s">
        <v>14850</v>
      </c>
      <c r="AB766" t="s">
        <v>14851</v>
      </c>
      <c r="AC766" t="s">
        <v>14852</v>
      </c>
      <c r="AD766" t="s">
        <v>14853</v>
      </c>
      <c r="AE766" t="s">
        <v>14854</v>
      </c>
      <c r="AF766" t="s">
        <v>74</v>
      </c>
      <c r="AG766">
        <v>49</v>
      </c>
      <c r="AH766">
        <v>9</v>
      </c>
      <c r="AI766">
        <v>9</v>
      </c>
      <c r="AJ766">
        <v>0</v>
      </c>
      <c r="AK766">
        <v>20</v>
      </c>
      <c r="AL766" t="s">
        <v>179</v>
      </c>
      <c r="AM766" t="s">
        <v>180</v>
      </c>
      <c r="AN766" t="s">
        <v>181</v>
      </c>
      <c r="AO766" t="s">
        <v>14855</v>
      </c>
      <c r="AP766" t="s">
        <v>14856</v>
      </c>
      <c r="AQ766" t="s">
        <v>74</v>
      </c>
      <c r="AR766" t="s">
        <v>14857</v>
      </c>
      <c r="AS766" t="s">
        <v>14858</v>
      </c>
      <c r="AT766" t="s">
        <v>11811</v>
      </c>
      <c r="AU766">
        <v>2018</v>
      </c>
      <c r="AV766">
        <v>29</v>
      </c>
      <c r="AW766">
        <v>2</v>
      </c>
      <c r="AX766" t="s">
        <v>74</v>
      </c>
      <c r="AY766" t="s">
        <v>74</v>
      </c>
      <c r="AZ766" t="s">
        <v>74</v>
      </c>
      <c r="BA766" t="s">
        <v>74</v>
      </c>
      <c r="BB766">
        <v>236</v>
      </c>
      <c r="BC766">
        <v>244</v>
      </c>
      <c r="BD766" t="s">
        <v>74</v>
      </c>
      <c r="BE766" t="s">
        <v>14859</v>
      </c>
      <c r="BF766" t="str">
        <f>HYPERLINK("http://dx.doi.org/10.1111/jvs.12616","http://dx.doi.org/10.1111/jvs.12616")</f>
        <v>http://dx.doi.org/10.1111/jvs.12616</v>
      </c>
      <c r="BG766" t="s">
        <v>74</v>
      </c>
      <c r="BH766" t="s">
        <v>74</v>
      </c>
      <c r="BI766">
        <v>9</v>
      </c>
      <c r="BJ766" t="s">
        <v>14860</v>
      </c>
      <c r="BK766" t="s">
        <v>101</v>
      </c>
      <c r="BL766" t="s">
        <v>14861</v>
      </c>
      <c r="BM766" t="s">
        <v>14862</v>
      </c>
      <c r="BN766" t="s">
        <v>74</v>
      </c>
      <c r="BO766" t="s">
        <v>74</v>
      </c>
      <c r="BP766" t="s">
        <v>74</v>
      </c>
      <c r="BQ766" t="s">
        <v>74</v>
      </c>
      <c r="BR766" t="s">
        <v>105</v>
      </c>
      <c r="BS766" t="s">
        <v>14863</v>
      </c>
      <c r="BT766" t="str">
        <f>HYPERLINK("https%3A%2F%2Fwww.webofscience.com%2Fwos%2Fwoscc%2Ffull-record%2FWOS:000431503000011","View Full Record in Web of Science")</f>
        <v>View Full Record in Web of Science</v>
      </c>
    </row>
    <row r="767" spans="1:72" x14ac:dyDescent="0.15">
      <c r="A767" t="s">
        <v>72</v>
      </c>
      <c r="B767" t="s">
        <v>14864</v>
      </c>
      <c r="C767" t="s">
        <v>74</v>
      </c>
      <c r="D767" t="s">
        <v>74</v>
      </c>
      <c r="E767" t="s">
        <v>74</v>
      </c>
      <c r="F767" t="s">
        <v>14865</v>
      </c>
      <c r="G767" t="s">
        <v>74</v>
      </c>
      <c r="H767" t="s">
        <v>74</v>
      </c>
      <c r="I767" t="s">
        <v>14866</v>
      </c>
      <c r="J767" t="s">
        <v>14867</v>
      </c>
      <c r="K767" t="s">
        <v>74</v>
      </c>
      <c r="L767" t="s">
        <v>74</v>
      </c>
      <c r="M767" t="s">
        <v>78</v>
      </c>
      <c r="N767" t="s">
        <v>371</v>
      </c>
      <c r="O767" t="s">
        <v>74</v>
      </c>
      <c r="P767" t="s">
        <v>74</v>
      </c>
      <c r="Q767" t="s">
        <v>74</v>
      </c>
      <c r="R767" t="s">
        <v>74</v>
      </c>
      <c r="S767" t="s">
        <v>74</v>
      </c>
      <c r="T767" t="s">
        <v>74</v>
      </c>
      <c r="U767" t="s">
        <v>14868</v>
      </c>
      <c r="V767" t="s">
        <v>74</v>
      </c>
      <c r="W767" t="s">
        <v>14869</v>
      </c>
      <c r="X767" t="s">
        <v>14870</v>
      </c>
      <c r="Y767" t="s">
        <v>14871</v>
      </c>
      <c r="Z767" t="s">
        <v>14872</v>
      </c>
      <c r="AA767" t="s">
        <v>14873</v>
      </c>
      <c r="AB767" t="s">
        <v>14874</v>
      </c>
      <c r="AC767" t="s">
        <v>14875</v>
      </c>
      <c r="AD767" t="s">
        <v>14876</v>
      </c>
      <c r="AE767" t="s">
        <v>14877</v>
      </c>
      <c r="AF767" t="s">
        <v>74</v>
      </c>
      <c r="AG767">
        <v>30</v>
      </c>
      <c r="AH767">
        <v>0</v>
      </c>
      <c r="AI767">
        <v>2</v>
      </c>
      <c r="AJ767">
        <v>0</v>
      </c>
      <c r="AK767">
        <v>3</v>
      </c>
      <c r="AL767" t="s">
        <v>372</v>
      </c>
      <c r="AM767" t="s">
        <v>4100</v>
      </c>
      <c r="AN767" t="s">
        <v>7256</v>
      </c>
      <c r="AO767" t="s">
        <v>14878</v>
      </c>
      <c r="AP767" t="s">
        <v>14879</v>
      </c>
      <c r="AQ767" t="s">
        <v>74</v>
      </c>
      <c r="AR767" t="s">
        <v>14867</v>
      </c>
      <c r="AS767" t="s">
        <v>14880</v>
      </c>
      <c r="AT767" t="s">
        <v>11811</v>
      </c>
      <c r="AU767">
        <v>2018</v>
      </c>
      <c r="AV767">
        <v>50</v>
      </c>
      <c r="AW767">
        <v>2</v>
      </c>
      <c r="AX767" t="s">
        <v>74</v>
      </c>
      <c r="AY767" t="s">
        <v>74</v>
      </c>
      <c r="AZ767" t="s">
        <v>74</v>
      </c>
      <c r="BA767" t="s">
        <v>74</v>
      </c>
      <c r="BB767">
        <v>239</v>
      </c>
      <c r="BC767">
        <v>245</v>
      </c>
      <c r="BD767" t="s">
        <v>74</v>
      </c>
      <c r="BE767" t="s">
        <v>14881</v>
      </c>
      <c r="BF767" t="str">
        <f>HYPERLINK("http://dx.doi.org/10.1017/S0024282918000063","http://dx.doi.org/10.1017/S0024282918000063")</f>
        <v>http://dx.doi.org/10.1017/S0024282918000063</v>
      </c>
      <c r="BG767" t="s">
        <v>74</v>
      </c>
      <c r="BH767" t="s">
        <v>74</v>
      </c>
      <c r="BI767">
        <v>7</v>
      </c>
      <c r="BJ767" t="s">
        <v>14882</v>
      </c>
      <c r="BK767" t="s">
        <v>101</v>
      </c>
      <c r="BL767" t="s">
        <v>14882</v>
      </c>
      <c r="BM767" t="s">
        <v>14883</v>
      </c>
      <c r="BN767" t="s">
        <v>74</v>
      </c>
      <c r="BO767" t="s">
        <v>74</v>
      </c>
      <c r="BP767" t="s">
        <v>74</v>
      </c>
      <c r="BQ767" t="s">
        <v>74</v>
      </c>
      <c r="BR767" t="s">
        <v>105</v>
      </c>
      <c r="BS767" t="s">
        <v>14884</v>
      </c>
      <c r="BT767" t="str">
        <f>HYPERLINK("https%3A%2F%2Fwww.webofscience.com%2Fwos%2Fwoscc%2Ffull-record%2FWOS:000427734900007","View Full Record in Web of Science")</f>
        <v>View Full Record in Web of Science</v>
      </c>
    </row>
    <row r="768" spans="1:72" x14ac:dyDescent="0.15">
      <c r="A768" t="s">
        <v>72</v>
      </c>
      <c r="B768" t="s">
        <v>14885</v>
      </c>
      <c r="C768" t="s">
        <v>74</v>
      </c>
      <c r="D768" t="s">
        <v>74</v>
      </c>
      <c r="E768" t="s">
        <v>74</v>
      </c>
      <c r="F768" t="s">
        <v>14886</v>
      </c>
      <c r="G768" t="s">
        <v>74</v>
      </c>
      <c r="H768" t="s">
        <v>74</v>
      </c>
      <c r="I768" t="s">
        <v>14887</v>
      </c>
      <c r="J768" t="s">
        <v>3720</v>
      </c>
      <c r="K768" t="s">
        <v>74</v>
      </c>
      <c r="L768" t="s">
        <v>74</v>
      </c>
      <c r="M768" t="s">
        <v>78</v>
      </c>
      <c r="N768" t="s">
        <v>79</v>
      </c>
      <c r="O768" t="s">
        <v>74</v>
      </c>
      <c r="P768" t="s">
        <v>74</v>
      </c>
      <c r="Q768" t="s">
        <v>74</v>
      </c>
      <c r="R768" t="s">
        <v>74</v>
      </c>
      <c r="S768" t="s">
        <v>74</v>
      </c>
      <c r="T768" t="s">
        <v>74</v>
      </c>
      <c r="U768" t="s">
        <v>14888</v>
      </c>
      <c r="V768" t="s">
        <v>14889</v>
      </c>
      <c r="W768" t="s">
        <v>14890</v>
      </c>
      <c r="X768" t="s">
        <v>14891</v>
      </c>
      <c r="Y768" t="s">
        <v>14892</v>
      </c>
      <c r="Z768" t="s">
        <v>14893</v>
      </c>
      <c r="AA768" t="s">
        <v>14894</v>
      </c>
      <c r="AB768" t="s">
        <v>14895</v>
      </c>
      <c r="AC768" t="s">
        <v>14896</v>
      </c>
      <c r="AD768" t="s">
        <v>14897</v>
      </c>
      <c r="AE768" t="s">
        <v>14898</v>
      </c>
      <c r="AF768" t="s">
        <v>74</v>
      </c>
      <c r="AG768">
        <v>83</v>
      </c>
      <c r="AH768">
        <v>16</v>
      </c>
      <c r="AI768">
        <v>17</v>
      </c>
      <c r="AJ768">
        <v>3</v>
      </c>
      <c r="AK768">
        <v>31</v>
      </c>
      <c r="AL768" t="s">
        <v>397</v>
      </c>
      <c r="AM768" t="s">
        <v>398</v>
      </c>
      <c r="AN768" t="s">
        <v>399</v>
      </c>
      <c r="AO768" t="s">
        <v>3732</v>
      </c>
      <c r="AP768" t="s">
        <v>3733</v>
      </c>
      <c r="AQ768" t="s">
        <v>74</v>
      </c>
      <c r="AR768" t="s">
        <v>3734</v>
      </c>
      <c r="AS768" t="s">
        <v>3735</v>
      </c>
      <c r="AT768" t="s">
        <v>11811</v>
      </c>
      <c r="AU768">
        <v>2018</v>
      </c>
      <c r="AV768">
        <v>165</v>
      </c>
      <c r="AW768">
        <v>3</v>
      </c>
      <c r="AX768" t="s">
        <v>74</v>
      </c>
      <c r="AY768" t="s">
        <v>74</v>
      </c>
      <c r="AZ768" t="s">
        <v>74</v>
      </c>
      <c r="BA768" t="s">
        <v>74</v>
      </c>
      <c r="BB768" t="s">
        <v>74</v>
      </c>
      <c r="BC768" t="s">
        <v>74</v>
      </c>
      <c r="BD768">
        <v>55</v>
      </c>
      <c r="BE768" t="s">
        <v>14899</v>
      </c>
      <c r="BF768" t="str">
        <f>HYPERLINK("http://dx.doi.org/10.1007/s00227-018-3316-0","http://dx.doi.org/10.1007/s00227-018-3316-0")</f>
        <v>http://dx.doi.org/10.1007/s00227-018-3316-0</v>
      </c>
      <c r="BG768" t="s">
        <v>74</v>
      </c>
      <c r="BH768" t="s">
        <v>74</v>
      </c>
      <c r="BI768">
        <v>16</v>
      </c>
      <c r="BJ768" t="s">
        <v>3737</v>
      </c>
      <c r="BK768" t="s">
        <v>101</v>
      </c>
      <c r="BL768" t="s">
        <v>3737</v>
      </c>
      <c r="BM768" t="s">
        <v>14900</v>
      </c>
      <c r="BN768" t="s">
        <v>74</v>
      </c>
      <c r="BO768" t="s">
        <v>1085</v>
      </c>
      <c r="BP768" t="s">
        <v>74</v>
      </c>
      <c r="BQ768" t="s">
        <v>74</v>
      </c>
      <c r="BR768" t="s">
        <v>105</v>
      </c>
      <c r="BS768" t="s">
        <v>14901</v>
      </c>
      <c r="BT768" t="str">
        <f>HYPERLINK("https%3A%2F%2Fwww.webofscience.com%2Fwos%2Fwoscc%2Ffull-record%2FWOS:000426765000002","View Full Record in Web of Science")</f>
        <v>View Full Record in Web of Science</v>
      </c>
    </row>
    <row r="769" spans="1:72" x14ac:dyDescent="0.15">
      <c r="A769" t="s">
        <v>72</v>
      </c>
      <c r="B769" t="s">
        <v>14902</v>
      </c>
      <c r="C769" t="s">
        <v>74</v>
      </c>
      <c r="D769" t="s">
        <v>74</v>
      </c>
      <c r="E769" t="s">
        <v>74</v>
      </c>
      <c r="F769" t="s">
        <v>14903</v>
      </c>
      <c r="G769" t="s">
        <v>74</v>
      </c>
      <c r="H769" t="s">
        <v>74</v>
      </c>
      <c r="I769" t="s">
        <v>14904</v>
      </c>
      <c r="J769" t="s">
        <v>3720</v>
      </c>
      <c r="K769" t="s">
        <v>74</v>
      </c>
      <c r="L769" t="s">
        <v>74</v>
      </c>
      <c r="M769" t="s">
        <v>78</v>
      </c>
      <c r="N769" t="s">
        <v>79</v>
      </c>
      <c r="O769" t="s">
        <v>74</v>
      </c>
      <c r="P769" t="s">
        <v>74</v>
      </c>
      <c r="Q769" t="s">
        <v>74</v>
      </c>
      <c r="R769" t="s">
        <v>74</v>
      </c>
      <c r="S769" t="s">
        <v>74</v>
      </c>
      <c r="T769" t="s">
        <v>74</v>
      </c>
      <c r="U769" t="s">
        <v>14905</v>
      </c>
      <c r="V769" t="s">
        <v>14906</v>
      </c>
      <c r="W769" t="s">
        <v>14907</v>
      </c>
      <c r="X769" t="s">
        <v>14908</v>
      </c>
      <c r="Y769" t="s">
        <v>14909</v>
      </c>
      <c r="Z769" t="s">
        <v>14910</v>
      </c>
      <c r="AA769" t="s">
        <v>74</v>
      </c>
      <c r="AB769" t="s">
        <v>74</v>
      </c>
      <c r="AC769" t="s">
        <v>14911</v>
      </c>
      <c r="AD769" t="s">
        <v>14912</v>
      </c>
      <c r="AE769" t="s">
        <v>14913</v>
      </c>
      <c r="AF769" t="s">
        <v>74</v>
      </c>
      <c r="AG769">
        <v>68</v>
      </c>
      <c r="AH769">
        <v>17</v>
      </c>
      <c r="AI769">
        <v>18</v>
      </c>
      <c r="AJ769">
        <v>0</v>
      </c>
      <c r="AK769">
        <v>25</v>
      </c>
      <c r="AL769" t="s">
        <v>397</v>
      </c>
      <c r="AM769" t="s">
        <v>398</v>
      </c>
      <c r="AN769" t="s">
        <v>399</v>
      </c>
      <c r="AO769" t="s">
        <v>3732</v>
      </c>
      <c r="AP769" t="s">
        <v>3733</v>
      </c>
      <c r="AQ769" t="s">
        <v>74</v>
      </c>
      <c r="AR769" t="s">
        <v>3734</v>
      </c>
      <c r="AS769" t="s">
        <v>3735</v>
      </c>
      <c r="AT769" t="s">
        <v>11811</v>
      </c>
      <c r="AU769">
        <v>2018</v>
      </c>
      <c r="AV769">
        <v>165</v>
      </c>
      <c r="AW769">
        <v>3</v>
      </c>
      <c r="AX769" t="s">
        <v>74</v>
      </c>
      <c r="AY769" t="s">
        <v>74</v>
      </c>
      <c r="AZ769" t="s">
        <v>74</v>
      </c>
      <c r="BA769" t="s">
        <v>74</v>
      </c>
      <c r="BB769" t="s">
        <v>74</v>
      </c>
      <c r="BC769" t="s">
        <v>74</v>
      </c>
      <c r="BD769">
        <v>58</v>
      </c>
      <c r="BE769" t="s">
        <v>14914</v>
      </c>
      <c r="BF769" t="str">
        <f>HYPERLINK("http://dx.doi.org/10.1007/s00227-018-3299-x","http://dx.doi.org/10.1007/s00227-018-3299-x")</f>
        <v>http://dx.doi.org/10.1007/s00227-018-3299-x</v>
      </c>
      <c r="BG769" t="s">
        <v>74</v>
      </c>
      <c r="BH769" t="s">
        <v>74</v>
      </c>
      <c r="BI769">
        <v>13</v>
      </c>
      <c r="BJ769" t="s">
        <v>3737</v>
      </c>
      <c r="BK769" t="s">
        <v>101</v>
      </c>
      <c r="BL769" t="s">
        <v>3737</v>
      </c>
      <c r="BM769" t="s">
        <v>14900</v>
      </c>
      <c r="BN769" t="s">
        <v>74</v>
      </c>
      <c r="BO769" t="s">
        <v>74</v>
      </c>
      <c r="BP769" t="s">
        <v>74</v>
      </c>
      <c r="BQ769" t="s">
        <v>74</v>
      </c>
      <c r="BR769" t="s">
        <v>105</v>
      </c>
      <c r="BS769" t="s">
        <v>14915</v>
      </c>
      <c r="BT769" t="str">
        <f>HYPERLINK("https%3A%2F%2Fwww.webofscience.com%2Fwos%2Fwoscc%2Ffull-record%2FWOS:000426765000015","View Full Record in Web of Science")</f>
        <v>View Full Record in Web of Science</v>
      </c>
    </row>
    <row r="770" spans="1:72" x14ac:dyDescent="0.15">
      <c r="A770" t="s">
        <v>72</v>
      </c>
      <c r="B770" t="s">
        <v>14916</v>
      </c>
      <c r="C770" t="s">
        <v>74</v>
      </c>
      <c r="D770" t="s">
        <v>74</v>
      </c>
      <c r="E770" t="s">
        <v>74</v>
      </c>
      <c r="F770" t="s">
        <v>14917</v>
      </c>
      <c r="G770" t="s">
        <v>74</v>
      </c>
      <c r="H770" t="s">
        <v>74</v>
      </c>
      <c r="I770" t="s">
        <v>14918</v>
      </c>
      <c r="J770" t="s">
        <v>3743</v>
      </c>
      <c r="K770" t="s">
        <v>74</v>
      </c>
      <c r="L770" t="s">
        <v>74</v>
      </c>
      <c r="M770" t="s">
        <v>78</v>
      </c>
      <c r="N770" t="s">
        <v>79</v>
      </c>
      <c r="O770" t="s">
        <v>74</v>
      </c>
      <c r="P770" t="s">
        <v>74</v>
      </c>
      <c r="Q770" t="s">
        <v>74</v>
      </c>
      <c r="R770" t="s">
        <v>74</v>
      </c>
      <c r="S770" t="s">
        <v>74</v>
      </c>
      <c r="T770" t="s">
        <v>14919</v>
      </c>
      <c r="U770" t="s">
        <v>14920</v>
      </c>
      <c r="V770" t="s">
        <v>14921</v>
      </c>
      <c r="W770" t="s">
        <v>14922</v>
      </c>
      <c r="X770" t="s">
        <v>14573</v>
      </c>
      <c r="Y770" t="s">
        <v>14923</v>
      </c>
      <c r="Z770" t="s">
        <v>14924</v>
      </c>
      <c r="AA770" t="s">
        <v>14925</v>
      </c>
      <c r="AB770" t="s">
        <v>14926</v>
      </c>
      <c r="AC770" t="s">
        <v>14927</v>
      </c>
      <c r="AD770" t="s">
        <v>14928</v>
      </c>
      <c r="AE770" t="s">
        <v>14929</v>
      </c>
      <c r="AF770" t="s">
        <v>74</v>
      </c>
      <c r="AG770">
        <v>67</v>
      </c>
      <c r="AH770">
        <v>55</v>
      </c>
      <c r="AI770">
        <v>58</v>
      </c>
      <c r="AJ770">
        <v>5</v>
      </c>
      <c r="AK770">
        <v>61</v>
      </c>
      <c r="AL770" t="s">
        <v>277</v>
      </c>
      <c r="AM770" t="s">
        <v>278</v>
      </c>
      <c r="AN770" t="s">
        <v>279</v>
      </c>
      <c r="AO770" t="s">
        <v>3756</v>
      </c>
      <c r="AP770" t="s">
        <v>3757</v>
      </c>
      <c r="AQ770" t="s">
        <v>74</v>
      </c>
      <c r="AR770" t="s">
        <v>3758</v>
      </c>
      <c r="AS770" t="s">
        <v>3759</v>
      </c>
      <c r="AT770" t="s">
        <v>11811</v>
      </c>
      <c r="AU770">
        <v>2018</v>
      </c>
      <c r="AV770">
        <v>128</v>
      </c>
      <c r="AW770" t="s">
        <v>74</v>
      </c>
      <c r="AX770" t="s">
        <v>74</v>
      </c>
      <c r="AY770" t="s">
        <v>74</v>
      </c>
      <c r="AZ770" t="s">
        <v>74</v>
      </c>
      <c r="BA770" t="s">
        <v>74</v>
      </c>
      <c r="BB770">
        <v>175</v>
      </c>
      <c r="BC770">
        <v>184</v>
      </c>
      <c r="BD770" t="s">
        <v>74</v>
      </c>
      <c r="BE770" t="s">
        <v>14930</v>
      </c>
      <c r="BF770" t="str">
        <f>HYPERLINK("http://dx.doi.org/10.1016/j.marpolbul.2018.01.023","http://dx.doi.org/10.1016/j.marpolbul.2018.01.023")</f>
        <v>http://dx.doi.org/10.1016/j.marpolbul.2018.01.023</v>
      </c>
      <c r="BG770" t="s">
        <v>74</v>
      </c>
      <c r="BH770" t="s">
        <v>74</v>
      </c>
      <c r="BI770">
        <v>10</v>
      </c>
      <c r="BJ770" t="s">
        <v>2159</v>
      </c>
      <c r="BK770" t="s">
        <v>101</v>
      </c>
      <c r="BL770" t="s">
        <v>1268</v>
      </c>
      <c r="BM770" t="s">
        <v>14931</v>
      </c>
      <c r="BN770">
        <v>29571361</v>
      </c>
      <c r="BO770" t="s">
        <v>74</v>
      </c>
      <c r="BP770" t="s">
        <v>74</v>
      </c>
      <c r="BQ770" t="s">
        <v>74</v>
      </c>
      <c r="BR770" t="s">
        <v>105</v>
      </c>
      <c r="BS770" t="s">
        <v>14932</v>
      </c>
      <c r="BT770" t="str">
        <f>HYPERLINK("https%3A%2F%2Fwww.webofscience.com%2Fwos%2Fwoscc%2Ffull-record%2FWOS:000430645600020","View Full Record in Web of Science")</f>
        <v>View Full Record in Web of Science</v>
      </c>
    </row>
    <row r="771" spans="1:72" x14ac:dyDescent="0.15">
      <c r="A771" t="s">
        <v>72</v>
      </c>
      <c r="B771" t="s">
        <v>14933</v>
      </c>
      <c r="C771" t="s">
        <v>74</v>
      </c>
      <c r="D771" t="s">
        <v>74</v>
      </c>
      <c r="E771" t="s">
        <v>74</v>
      </c>
      <c r="F771" t="s">
        <v>14934</v>
      </c>
      <c r="G771" t="s">
        <v>74</v>
      </c>
      <c r="H771" t="s">
        <v>74</v>
      </c>
      <c r="I771" t="s">
        <v>14935</v>
      </c>
      <c r="J771" t="s">
        <v>14936</v>
      </c>
      <c r="K771" t="s">
        <v>74</v>
      </c>
      <c r="L771" t="s">
        <v>74</v>
      </c>
      <c r="M771" t="s">
        <v>78</v>
      </c>
      <c r="N771" t="s">
        <v>79</v>
      </c>
      <c r="O771" t="s">
        <v>74</v>
      </c>
      <c r="P771" t="s">
        <v>74</v>
      </c>
      <c r="Q771" t="s">
        <v>74</v>
      </c>
      <c r="R771" t="s">
        <v>74</v>
      </c>
      <c r="S771" t="s">
        <v>74</v>
      </c>
      <c r="T771" t="s">
        <v>74</v>
      </c>
      <c r="U771" t="s">
        <v>14937</v>
      </c>
      <c r="V771" t="s">
        <v>14938</v>
      </c>
      <c r="W771" t="s">
        <v>14939</v>
      </c>
      <c r="X771" t="s">
        <v>14940</v>
      </c>
      <c r="Y771" t="s">
        <v>14941</v>
      </c>
      <c r="Z771" t="s">
        <v>14942</v>
      </c>
      <c r="AA771" t="s">
        <v>14943</v>
      </c>
      <c r="AB771" t="s">
        <v>14944</v>
      </c>
      <c r="AC771" t="s">
        <v>14945</v>
      </c>
      <c r="AD771" t="s">
        <v>14946</v>
      </c>
      <c r="AE771" t="s">
        <v>14947</v>
      </c>
      <c r="AF771" t="s">
        <v>74</v>
      </c>
      <c r="AG771">
        <v>39</v>
      </c>
      <c r="AH771">
        <v>23</v>
      </c>
      <c r="AI771">
        <v>24</v>
      </c>
      <c r="AJ771">
        <v>0</v>
      </c>
      <c r="AK771">
        <v>18</v>
      </c>
      <c r="AL771" t="s">
        <v>14948</v>
      </c>
      <c r="AM771" t="s">
        <v>14949</v>
      </c>
      <c r="AN771" t="s">
        <v>14950</v>
      </c>
      <c r="AO771" t="s">
        <v>14951</v>
      </c>
      <c r="AP771" t="s">
        <v>14952</v>
      </c>
      <c r="AQ771" t="s">
        <v>74</v>
      </c>
      <c r="AR771" t="s">
        <v>14953</v>
      </c>
      <c r="AS771" t="s">
        <v>14954</v>
      </c>
      <c r="AT771" t="s">
        <v>11811</v>
      </c>
      <c r="AU771">
        <v>2018</v>
      </c>
      <c r="AV771">
        <v>39</v>
      </c>
      <c r="AW771">
        <v>1</v>
      </c>
      <c r="AX771" t="s">
        <v>74</v>
      </c>
      <c r="AY771" t="s">
        <v>74</v>
      </c>
      <c r="AZ771" t="s">
        <v>74</v>
      </c>
      <c r="BA771" t="s">
        <v>74</v>
      </c>
      <c r="BB771">
        <v>28</v>
      </c>
      <c r="BC771">
        <v>32</v>
      </c>
      <c r="BD771" t="s">
        <v>74</v>
      </c>
      <c r="BE771" t="s">
        <v>14955</v>
      </c>
      <c r="BF771" t="str">
        <f>HYPERLINK("http://dx.doi.org/10.1071/MA18008","http://dx.doi.org/10.1071/MA18008")</f>
        <v>http://dx.doi.org/10.1071/MA18008</v>
      </c>
      <c r="BG771" t="s">
        <v>74</v>
      </c>
      <c r="BH771" t="s">
        <v>74</v>
      </c>
      <c r="BI771">
        <v>5</v>
      </c>
      <c r="BJ771" t="s">
        <v>510</v>
      </c>
      <c r="BK771" t="s">
        <v>261</v>
      </c>
      <c r="BL771" t="s">
        <v>510</v>
      </c>
      <c r="BM771" t="s">
        <v>14956</v>
      </c>
      <c r="BN771" t="s">
        <v>74</v>
      </c>
      <c r="BO771" t="s">
        <v>1933</v>
      </c>
      <c r="BP771" t="s">
        <v>74</v>
      </c>
      <c r="BQ771" t="s">
        <v>74</v>
      </c>
      <c r="BR771" t="s">
        <v>105</v>
      </c>
      <c r="BS771" t="s">
        <v>14957</v>
      </c>
      <c r="BT771" t="str">
        <f>HYPERLINK("https%3A%2F%2Fwww.webofscience.com%2Fwos%2Fwoscc%2Ffull-record%2FWOS:000427028900008","View Full Record in Web of Science")</f>
        <v>View Full Record in Web of Science</v>
      </c>
    </row>
    <row r="772" spans="1:72" x14ac:dyDescent="0.15">
      <c r="A772" t="s">
        <v>72</v>
      </c>
      <c r="B772" t="s">
        <v>14958</v>
      </c>
      <c r="C772" t="s">
        <v>74</v>
      </c>
      <c r="D772" t="s">
        <v>74</v>
      </c>
      <c r="E772" t="s">
        <v>74</v>
      </c>
      <c r="F772" t="s">
        <v>14959</v>
      </c>
      <c r="G772" t="s">
        <v>74</v>
      </c>
      <c r="H772" t="s">
        <v>74</v>
      </c>
      <c r="I772" t="s">
        <v>14960</v>
      </c>
      <c r="J772" t="s">
        <v>77</v>
      </c>
      <c r="K772" t="s">
        <v>74</v>
      </c>
      <c r="L772" t="s">
        <v>74</v>
      </c>
      <c r="M772" t="s">
        <v>78</v>
      </c>
      <c r="N772" t="s">
        <v>79</v>
      </c>
      <c r="O772" t="s">
        <v>74</v>
      </c>
      <c r="P772" t="s">
        <v>74</v>
      </c>
      <c r="Q772" t="s">
        <v>74</v>
      </c>
      <c r="R772" t="s">
        <v>74</v>
      </c>
      <c r="S772" t="s">
        <v>74</v>
      </c>
      <c r="T772" t="s">
        <v>14961</v>
      </c>
      <c r="U772" t="s">
        <v>14962</v>
      </c>
      <c r="V772" t="s">
        <v>14963</v>
      </c>
      <c r="W772" t="s">
        <v>14964</v>
      </c>
      <c r="X772" t="s">
        <v>14965</v>
      </c>
      <c r="Y772" t="s">
        <v>14966</v>
      </c>
      <c r="Z772" t="s">
        <v>14967</v>
      </c>
      <c r="AA772" t="s">
        <v>14968</v>
      </c>
      <c r="AB772" t="s">
        <v>14969</v>
      </c>
      <c r="AC772" t="s">
        <v>14970</v>
      </c>
      <c r="AD772" t="s">
        <v>14971</v>
      </c>
      <c r="AE772" t="s">
        <v>14972</v>
      </c>
      <c r="AF772" t="s">
        <v>74</v>
      </c>
      <c r="AG772">
        <v>87</v>
      </c>
      <c r="AH772">
        <v>17</v>
      </c>
      <c r="AI772">
        <v>18</v>
      </c>
      <c r="AJ772">
        <v>2</v>
      </c>
      <c r="AK772">
        <v>94</v>
      </c>
      <c r="AL772" t="s">
        <v>91</v>
      </c>
      <c r="AM772" t="s">
        <v>92</v>
      </c>
      <c r="AN772" t="s">
        <v>93</v>
      </c>
      <c r="AO772" t="s">
        <v>94</v>
      </c>
      <c r="AP772" t="s">
        <v>95</v>
      </c>
      <c r="AQ772" t="s">
        <v>74</v>
      </c>
      <c r="AR772" t="s">
        <v>96</v>
      </c>
      <c r="AS772" t="s">
        <v>97</v>
      </c>
      <c r="AT772" t="s">
        <v>11811</v>
      </c>
      <c r="AU772">
        <v>2018</v>
      </c>
      <c r="AV772">
        <v>41</v>
      </c>
      <c r="AW772">
        <v>3</v>
      </c>
      <c r="AX772" t="s">
        <v>74</v>
      </c>
      <c r="AY772" t="s">
        <v>74</v>
      </c>
      <c r="AZ772" t="s">
        <v>74</v>
      </c>
      <c r="BA772" t="s">
        <v>74</v>
      </c>
      <c r="BB772">
        <v>399</v>
      </c>
      <c r="BC772">
        <v>413</v>
      </c>
      <c r="BD772" t="s">
        <v>74</v>
      </c>
      <c r="BE772" t="s">
        <v>14973</v>
      </c>
      <c r="BF772" t="str">
        <f>HYPERLINK("http://dx.doi.org/10.1007/s00300-017-2186-0","http://dx.doi.org/10.1007/s00300-017-2186-0")</f>
        <v>http://dx.doi.org/10.1007/s00300-017-2186-0</v>
      </c>
      <c r="BG772" t="s">
        <v>74</v>
      </c>
      <c r="BH772" t="s">
        <v>74</v>
      </c>
      <c r="BI772">
        <v>15</v>
      </c>
      <c r="BJ772" t="s">
        <v>100</v>
      </c>
      <c r="BK772" t="s">
        <v>101</v>
      </c>
      <c r="BL772" t="s">
        <v>102</v>
      </c>
      <c r="BM772" t="s">
        <v>12518</v>
      </c>
      <c r="BN772">
        <v>31983801</v>
      </c>
      <c r="BO772" t="s">
        <v>2416</v>
      </c>
      <c r="BP772" t="s">
        <v>74</v>
      </c>
      <c r="BQ772" t="s">
        <v>74</v>
      </c>
      <c r="BR772" t="s">
        <v>105</v>
      </c>
      <c r="BS772" t="s">
        <v>14974</v>
      </c>
      <c r="BT772" t="str">
        <f>HYPERLINK("https%3A%2F%2Fwww.webofscience.com%2Fwos%2Fwoscc%2Ffull-record%2FWOS:000425956700002","View Full Record in Web of Science")</f>
        <v>View Full Record in Web of Science</v>
      </c>
    </row>
    <row r="773" spans="1:72" x14ac:dyDescent="0.15">
      <c r="A773" t="s">
        <v>72</v>
      </c>
      <c r="B773" t="s">
        <v>14975</v>
      </c>
      <c r="C773" t="s">
        <v>74</v>
      </c>
      <c r="D773" t="s">
        <v>74</v>
      </c>
      <c r="E773" t="s">
        <v>74</v>
      </c>
      <c r="F773" t="s">
        <v>14976</v>
      </c>
      <c r="G773" t="s">
        <v>74</v>
      </c>
      <c r="H773" t="s">
        <v>74</v>
      </c>
      <c r="I773" t="s">
        <v>14977</v>
      </c>
      <c r="J773" t="s">
        <v>77</v>
      </c>
      <c r="K773" t="s">
        <v>74</v>
      </c>
      <c r="L773" t="s">
        <v>74</v>
      </c>
      <c r="M773" t="s">
        <v>78</v>
      </c>
      <c r="N773" t="s">
        <v>79</v>
      </c>
      <c r="O773" t="s">
        <v>74</v>
      </c>
      <c r="P773" t="s">
        <v>74</v>
      </c>
      <c r="Q773" t="s">
        <v>74</v>
      </c>
      <c r="R773" t="s">
        <v>74</v>
      </c>
      <c r="S773" t="s">
        <v>74</v>
      </c>
      <c r="T773" t="s">
        <v>14978</v>
      </c>
      <c r="U773" t="s">
        <v>14979</v>
      </c>
      <c r="V773" t="s">
        <v>14980</v>
      </c>
      <c r="W773" t="s">
        <v>14981</v>
      </c>
      <c r="X773" t="s">
        <v>14982</v>
      </c>
      <c r="Y773" t="s">
        <v>14983</v>
      </c>
      <c r="Z773" t="s">
        <v>14984</v>
      </c>
      <c r="AA773" t="s">
        <v>14985</v>
      </c>
      <c r="AB773" t="s">
        <v>14986</v>
      </c>
      <c r="AC773" t="s">
        <v>14987</v>
      </c>
      <c r="AD773" t="s">
        <v>14988</v>
      </c>
      <c r="AE773" t="s">
        <v>14989</v>
      </c>
      <c r="AF773" t="s">
        <v>74</v>
      </c>
      <c r="AG773">
        <v>22</v>
      </c>
      <c r="AH773">
        <v>26</v>
      </c>
      <c r="AI773">
        <v>29</v>
      </c>
      <c r="AJ773">
        <v>5</v>
      </c>
      <c r="AK773">
        <v>61</v>
      </c>
      <c r="AL773" t="s">
        <v>91</v>
      </c>
      <c r="AM773" t="s">
        <v>92</v>
      </c>
      <c r="AN773" t="s">
        <v>93</v>
      </c>
      <c r="AO773" t="s">
        <v>94</v>
      </c>
      <c r="AP773" t="s">
        <v>95</v>
      </c>
      <c r="AQ773" t="s">
        <v>74</v>
      </c>
      <c r="AR773" t="s">
        <v>96</v>
      </c>
      <c r="AS773" t="s">
        <v>97</v>
      </c>
      <c r="AT773" t="s">
        <v>11811</v>
      </c>
      <c r="AU773">
        <v>2018</v>
      </c>
      <c r="AV773">
        <v>41</v>
      </c>
      <c r="AW773">
        <v>3</v>
      </c>
      <c r="AX773" t="s">
        <v>74</v>
      </c>
      <c r="AY773" t="s">
        <v>74</v>
      </c>
      <c r="AZ773" t="s">
        <v>74</v>
      </c>
      <c r="BA773" t="s">
        <v>74</v>
      </c>
      <c r="BB773">
        <v>417</v>
      </c>
      <c r="BC773">
        <v>421</v>
      </c>
      <c r="BD773" t="s">
        <v>74</v>
      </c>
      <c r="BE773" t="s">
        <v>14990</v>
      </c>
      <c r="BF773" t="str">
        <f>HYPERLINK("http://dx.doi.org/10.1007/s00300-017-2198-9","http://dx.doi.org/10.1007/s00300-017-2198-9")</f>
        <v>http://dx.doi.org/10.1007/s00300-017-2198-9</v>
      </c>
      <c r="BG773" t="s">
        <v>74</v>
      </c>
      <c r="BH773" t="s">
        <v>74</v>
      </c>
      <c r="BI773">
        <v>5</v>
      </c>
      <c r="BJ773" t="s">
        <v>100</v>
      </c>
      <c r="BK773" t="s">
        <v>101</v>
      </c>
      <c r="BL773" t="s">
        <v>102</v>
      </c>
      <c r="BM773" t="s">
        <v>12518</v>
      </c>
      <c r="BN773" t="s">
        <v>74</v>
      </c>
      <c r="BO773" t="s">
        <v>1421</v>
      </c>
      <c r="BP773" t="s">
        <v>74</v>
      </c>
      <c r="BQ773" t="s">
        <v>74</v>
      </c>
      <c r="BR773" t="s">
        <v>105</v>
      </c>
      <c r="BS773" t="s">
        <v>14991</v>
      </c>
      <c r="BT773" t="str">
        <f>HYPERLINK("https%3A%2F%2Fwww.webofscience.com%2Fwos%2Fwoscc%2Ffull-record%2FWOS:000425956700004","View Full Record in Web of Science")</f>
        <v>View Full Record in Web of Science</v>
      </c>
    </row>
    <row r="774" spans="1:72" x14ac:dyDescent="0.15">
      <c r="A774" t="s">
        <v>72</v>
      </c>
      <c r="B774" t="s">
        <v>14992</v>
      </c>
      <c r="C774" t="s">
        <v>74</v>
      </c>
      <c r="D774" t="s">
        <v>74</v>
      </c>
      <c r="E774" t="s">
        <v>74</v>
      </c>
      <c r="F774" t="s">
        <v>14993</v>
      </c>
      <c r="G774" t="s">
        <v>74</v>
      </c>
      <c r="H774" t="s">
        <v>74</v>
      </c>
      <c r="I774" t="s">
        <v>14994</v>
      </c>
      <c r="J774" t="s">
        <v>5468</v>
      </c>
      <c r="K774" t="s">
        <v>74</v>
      </c>
      <c r="L774" t="s">
        <v>74</v>
      </c>
      <c r="M774" t="s">
        <v>78</v>
      </c>
      <c r="N774" t="s">
        <v>371</v>
      </c>
      <c r="O774" t="s">
        <v>74</v>
      </c>
      <c r="P774" t="s">
        <v>74</v>
      </c>
      <c r="Q774" t="s">
        <v>74</v>
      </c>
      <c r="R774" t="s">
        <v>74</v>
      </c>
      <c r="S774" t="s">
        <v>74</v>
      </c>
      <c r="T774" t="s">
        <v>74</v>
      </c>
      <c r="U774" t="s">
        <v>74</v>
      </c>
      <c r="V774" t="s">
        <v>14995</v>
      </c>
      <c r="W774" t="s">
        <v>14996</v>
      </c>
      <c r="X774" t="s">
        <v>74</v>
      </c>
      <c r="Y774" t="s">
        <v>14997</v>
      </c>
      <c r="Z774" t="s">
        <v>14998</v>
      </c>
      <c r="AA774" t="s">
        <v>74</v>
      </c>
      <c r="AB774" t="s">
        <v>74</v>
      </c>
      <c r="AC774" t="s">
        <v>74</v>
      </c>
      <c r="AD774" t="s">
        <v>74</v>
      </c>
      <c r="AE774" t="s">
        <v>74</v>
      </c>
      <c r="AF774" t="s">
        <v>74</v>
      </c>
      <c r="AG774">
        <v>3</v>
      </c>
      <c r="AH774">
        <v>0</v>
      </c>
      <c r="AI774">
        <v>0</v>
      </c>
      <c r="AJ774">
        <v>0</v>
      </c>
      <c r="AK774">
        <v>2</v>
      </c>
      <c r="AL774" t="s">
        <v>372</v>
      </c>
      <c r="AM774" t="s">
        <v>92</v>
      </c>
      <c r="AN774" t="s">
        <v>373</v>
      </c>
      <c r="AO774" t="s">
        <v>5474</v>
      </c>
      <c r="AP774" t="s">
        <v>5475</v>
      </c>
      <c r="AQ774" t="s">
        <v>74</v>
      </c>
      <c r="AR774" t="s">
        <v>5476</v>
      </c>
      <c r="AS774" t="s">
        <v>5477</v>
      </c>
      <c r="AT774" t="s">
        <v>11811</v>
      </c>
      <c r="AU774">
        <v>2018</v>
      </c>
      <c r="AV774">
        <v>54</v>
      </c>
      <c r="AW774">
        <v>2</v>
      </c>
      <c r="AX774" t="s">
        <v>74</v>
      </c>
      <c r="AY774" t="s">
        <v>74</v>
      </c>
      <c r="AZ774" t="s">
        <v>74</v>
      </c>
      <c r="BA774" t="s">
        <v>74</v>
      </c>
      <c r="BB774">
        <v>152</v>
      </c>
      <c r="BC774">
        <v>157</v>
      </c>
      <c r="BD774" t="s">
        <v>74</v>
      </c>
      <c r="BE774" t="s">
        <v>14999</v>
      </c>
      <c r="BF774" t="str">
        <f>HYPERLINK("http://dx.doi.org/10.1017/S003224741800030X","http://dx.doi.org/10.1017/S003224741800030X")</f>
        <v>http://dx.doi.org/10.1017/S003224741800030X</v>
      </c>
      <c r="BG774" t="s">
        <v>74</v>
      </c>
      <c r="BH774" t="s">
        <v>74</v>
      </c>
      <c r="BI774">
        <v>6</v>
      </c>
      <c r="BJ774" t="s">
        <v>5479</v>
      </c>
      <c r="BK774" t="s">
        <v>101</v>
      </c>
      <c r="BL774" t="s">
        <v>315</v>
      </c>
      <c r="BM774" t="s">
        <v>12674</v>
      </c>
      <c r="BN774" t="s">
        <v>74</v>
      </c>
      <c r="BO774" t="s">
        <v>162</v>
      </c>
      <c r="BP774" t="s">
        <v>74</v>
      </c>
      <c r="BQ774" t="s">
        <v>74</v>
      </c>
      <c r="BR774" t="s">
        <v>105</v>
      </c>
      <c r="BS774" t="s">
        <v>15000</v>
      </c>
      <c r="BT774" t="str">
        <f>HYPERLINK("https%3A%2F%2Fwww.webofscience.com%2Fwos%2Fwoscc%2Ffull-record%2FWOS:000440667400005","View Full Record in Web of Science")</f>
        <v>View Full Record in Web of Science</v>
      </c>
    </row>
    <row r="775" spans="1:72" x14ac:dyDescent="0.15">
      <c r="A775" t="s">
        <v>72</v>
      </c>
      <c r="B775" t="s">
        <v>15001</v>
      </c>
      <c r="C775" t="s">
        <v>74</v>
      </c>
      <c r="D775" t="s">
        <v>74</v>
      </c>
      <c r="E775" t="s">
        <v>74</v>
      </c>
      <c r="F775" t="s">
        <v>15002</v>
      </c>
      <c r="G775" t="s">
        <v>74</v>
      </c>
      <c r="H775" t="s">
        <v>74</v>
      </c>
      <c r="I775" t="s">
        <v>15003</v>
      </c>
      <c r="J775" t="s">
        <v>321</v>
      </c>
      <c r="K775" t="s">
        <v>74</v>
      </c>
      <c r="L775" t="s">
        <v>74</v>
      </c>
      <c r="M775" t="s">
        <v>78</v>
      </c>
      <c r="N775" t="s">
        <v>79</v>
      </c>
      <c r="O775" t="s">
        <v>74</v>
      </c>
      <c r="P775" t="s">
        <v>74</v>
      </c>
      <c r="Q775" t="s">
        <v>74</v>
      </c>
      <c r="R775" t="s">
        <v>74</v>
      </c>
      <c r="S775" t="s">
        <v>74</v>
      </c>
      <c r="T775" t="s">
        <v>15004</v>
      </c>
      <c r="U775" t="s">
        <v>15005</v>
      </c>
      <c r="V775" t="s">
        <v>15006</v>
      </c>
      <c r="W775" t="s">
        <v>15007</v>
      </c>
      <c r="X775" t="s">
        <v>15008</v>
      </c>
      <c r="Y775" t="s">
        <v>15009</v>
      </c>
      <c r="Z775" t="s">
        <v>15010</v>
      </c>
      <c r="AA775" t="s">
        <v>15011</v>
      </c>
      <c r="AB775" t="s">
        <v>74</v>
      </c>
      <c r="AC775" t="s">
        <v>15012</v>
      </c>
      <c r="AD775" t="s">
        <v>15013</v>
      </c>
      <c r="AE775" t="s">
        <v>15014</v>
      </c>
      <c r="AF775" t="s">
        <v>74</v>
      </c>
      <c r="AG775">
        <v>63</v>
      </c>
      <c r="AH775">
        <v>70</v>
      </c>
      <c r="AI775">
        <v>73</v>
      </c>
      <c r="AJ775">
        <v>1</v>
      </c>
      <c r="AK775">
        <v>14</v>
      </c>
      <c r="AL775" t="s">
        <v>277</v>
      </c>
      <c r="AM775" t="s">
        <v>278</v>
      </c>
      <c r="AN775" t="s">
        <v>279</v>
      </c>
      <c r="AO775" t="s">
        <v>333</v>
      </c>
      <c r="AP775" t="s">
        <v>74</v>
      </c>
      <c r="AQ775" t="s">
        <v>74</v>
      </c>
      <c r="AR775" t="s">
        <v>335</v>
      </c>
      <c r="AS775" t="s">
        <v>336</v>
      </c>
      <c r="AT775" t="s">
        <v>11841</v>
      </c>
      <c r="AU775">
        <v>2018</v>
      </c>
      <c r="AV775">
        <v>183</v>
      </c>
      <c r="AW775" t="s">
        <v>74</v>
      </c>
      <c r="AX775" t="s">
        <v>74</v>
      </c>
      <c r="AY775" t="s">
        <v>74</v>
      </c>
      <c r="AZ775" t="s">
        <v>74</v>
      </c>
      <c r="BA775" t="s">
        <v>74</v>
      </c>
      <c r="BB775">
        <v>76</v>
      </c>
      <c r="BC775">
        <v>87</v>
      </c>
      <c r="BD775" t="s">
        <v>74</v>
      </c>
      <c r="BE775" t="s">
        <v>15015</v>
      </c>
      <c r="BF775" t="str">
        <f>HYPERLINK("http://dx.doi.org/10.1016/j.quascirev.2017.12.021","http://dx.doi.org/10.1016/j.quascirev.2017.12.021")</f>
        <v>http://dx.doi.org/10.1016/j.quascirev.2017.12.021</v>
      </c>
      <c r="BG775" t="s">
        <v>74</v>
      </c>
      <c r="BH775" t="s">
        <v>74</v>
      </c>
      <c r="BI775">
        <v>12</v>
      </c>
      <c r="BJ775" t="s">
        <v>338</v>
      </c>
      <c r="BK775" t="s">
        <v>101</v>
      </c>
      <c r="BL775" t="s">
        <v>339</v>
      </c>
      <c r="BM775" t="s">
        <v>12589</v>
      </c>
      <c r="BN775" t="s">
        <v>74</v>
      </c>
      <c r="BO775" t="s">
        <v>74</v>
      </c>
      <c r="BP775" t="s">
        <v>74</v>
      </c>
      <c r="BQ775" t="s">
        <v>74</v>
      </c>
      <c r="BR775" t="s">
        <v>105</v>
      </c>
      <c r="BS775" t="s">
        <v>15016</v>
      </c>
      <c r="BT775" t="str">
        <f>HYPERLINK("https%3A%2F%2Fwww.webofscience.com%2Fwos%2Fwoscc%2Ffull-record%2FWOS:000427101000005","View Full Record in Web of Science")</f>
        <v>View Full Record in Web of Science</v>
      </c>
    </row>
    <row r="776" spans="1:72" x14ac:dyDescent="0.15">
      <c r="A776" t="s">
        <v>72</v>
      </c>
      <c r="B776" t="s">
        <v>15017</v>
      </c>
      <c r="C776" t="s">
        <v>74</v>
      </c>
      <c r="D776" t="s">
        <v>74</v>
      </c>
      <c r="E776" t="s">
        <v>74</v>
      </c>
      <c r="F776" t="s">
        <v>15018</v>
      </c>
      <c r="G776" t="s">
        <v>74</v>
      </c>
      <c r="H776" t="s">
        <v>74</v>
      </c>
      <c r="I776" t="s">
        <v>15019</v>
      </c>
      <c r="J776" t="s">
        <v>321</v>
      </c>
      <c r="K776" t="s">
        <v>74</v>
      </c>
      <c r="L776" t="s">
        <v>74</v>
      </c>
      <c r="M776" t="s">
        <v>78</v>
      </c>
      <c r="N776" t="s">
        <v>79</v>
      </c>
      <c r="O776" t="s">
        <v>74</v>
      </c>
      <c r="P776" t="s">
        <v>74</v>
      </c>
      <c r="Q776" t="s">
        <v>74</v>
      </c>
      <c r="R776" t="s">
        <v>74</v>
      </c>
      <c r="S776" t="s">
        <v>74</v>
      </c>
      <c r="T776" t="s">
        <v>15020</v>
      </c>
      <c r="U776" t="s">
        <v>15021</v>
      </c>
      <c r="V776" t="s">
        <v>15022</v>
      </c>
      <c r="W776" t="s">
        <v>15023</v>
      </c>
      <c r="X776" t="s">
        <v>15024</v>
      </c>
      <c r="Y776" t="s">
        <v>15025</v>
      </c>
      <c r="Z776" t="s">
        <v>15026</v>
      </c>
      <c r="AA776" t="s">
        <v>15027</v>
      </c>
      <c r="AB776" t="s">
        <v>15028</v>
      </c>
      <c r="AC776" t="s">
        <v>14058</v>
      </c>
      <c r="AD776" t="s">
        <v>14059</v>
      </c>
      <c r="AE776" t="s">
        <v>15029</v>
      </c>
      <c r="AF776" t="s">
        <v>74</v>
      </c>
      <c r="AG776">
        <v>75</v>
      </c>
      <c r="AH776">
        <v>19</v>
      </c>
      <c r="AI776">
        <v>21</v>
      </c>
      <c r="AJ776">
        <v>2</v>
      </c>
      <c r="AK776">
        <v>22</v>
      </c>
      <c r="AL776" t="s">
        <v>277</v>
      </c>
      <c r="AM776" t="s">
        <v>278</v>
      </c>
      <c r="AN776" t="s">
        <v>279</v>
      </c>
      <c r="AO776" t="s">
        <v>333</v>
      </c>
      <c r="AP776" t="s">
        <v>334</v>
      </c>
      <c r="AQ776" t="s">
        <v>74</v>
      </c>
      <c r="AR776" t="s">
        <v>335</v>
      </c>
      <c r="AS776" t="s">
        <v>336</v>
      </c>
      <c r="AT776" t="s">
        <v>11841</v>
      </c>
      <c r="AU776">
        <v>2018</v>
      </c>
      <c r="AV776">
        <v>183</v>
      </c>
      <c r="AW776" t="s">
        <v>74</v>
      </c>
      <c r="AX776" t="s">
        <v>74</v>
      </c>
      <c r="AY776" t="s">
        <v>74</v>
      </c>
      <c r="AZ776" t="s">
        <v>74</v>
      </c>
      <c r="BA776" t="s">
        <v>74</v>
      </c>
      <c r="BB776">
        <v>188</v>
      </c>
      <c r="BC776">
        <v>203</v>
      </c>
      <c r="BD776" t="s">
        <v>74</v>
      </c>
      <c r="BE776" t="s">
        <v>15030</v>
      </c>
      <c r="BF776" t="str">
        <f>HYPERLINK("http://dx.doi.org/10.1016/j.quascirev.2017.03.018","http://dx.doi.org/10.1016/j.quascirev.2017.03.018")</f>
        <v>http://dx.doi.org/10.1016/j.quascirev.2017.03.018</v>
      </c>
      <c r="BG776" t="s">
        <v>74</v>
      </c>
      <c r="BH776" t="s">
        <v>74</v>
      </c>
      <c r="BI776">
        <v>16</v>
      </c>
      <c r="BJ776" t="s">
        <v>338</v>
      </c>
      <c r="BK776" t="s">
        <v>101</v>
      </c>
      <c r="BL776" t="s">
        <v>339</v>
      </c>
      <c r="BM776" t="s">
        <v>12589</v>
      </c>
      <c r="BN776" t="s">
        <v>74</v>
      </c>
      <c r="BO776" t="s">
        <v>1421</v>
      </c>
      <c r="BP776" t="s">
        <v>74</v>
      </c>
      <c r="BQ776" t="s">
        <v>74</v>
      </c>
      <c r="BR776" t="s">
        <v>105</v>
      </c>
      <c r="BS776" t="s">
        <v>15031</v>
      </c>
      <c r="BT776" t="str">
        <f>HYPERLINK("https%3A%2F%2Fwww.webofscience.com%2Fwos%2Fwoscc%2Ffull-record%2FWOS:000427101000013","View Full Record in Web of Science")</f>
        <v>View Full Record in Web of Science</v>
      </c>
    </row>
    <row r="777" spans="1:72" x14ac:dyDescent="0.15">
      <c r="A777" t="s">
        <v>72</v>
      </c>
      <c r="B777" t="s">
        <v>15032</v>
      </c>
      <c r="C777" t="s">
        <v>74</v>
      </c>
      <c r="D777" t="s">
        <v>74</v>
      </c>
      <c r="E777" t="s">
        <v>74</v>
      </c>
      <c r="F777" t="s">
        <v>15033</v>
      </c>
      <c r="G777" t="s">
        <v>74</v>
      </c>
      <c r="H777" t="s">
        <v>74</v>
      </c>
      <c r="I777" t="s">
        <v>15034</v>
      </c>
      <c r="J777" t="s">
        <v>879</v>
      </c>
      <c r="K777" t="s">
        <v>74</v>
      </c>
      <c r="L777" t="s">
        <v>74</v>
      </c>
      <c r="M777" t="s">
        <v>78</v>
      </c>
      <c r="N777" t="s">
        <v>466</v>
      </c>
      <c r="O777" t="s">
        <v>74</v>
      </c>
      <c r="P777" t="s">
        <v>74</v>
      </c>
      <c r="Q777" t="s">
        <v>74</v>
      </c>
      <c r="R777" t="s">
        <v>74</v>
      </c>
      <c r="S777" t="s">
        <v>74</v>
      </c>
      <c r="T777" t="s">
        <v>15035</v>
      </c>
      <c r="U777" t="s">
        <v>15036</v>
      </c>
      <c r="V777" t="s">
        <v>15037</v>
      </c>
      <c r="W777" t="s">
        <v>15038</v>
      </c>
      <c r="X777" t="s">
        <v>15039</v>
      </c>
      <c r="Y777" t="s">
        <v>15040</v>
      </c>
      <c r="Z777" t="s">
        <v>15041</v>
      </c>
      <c r="AA777" t="s">
        <v>15042</v>
      </c>
      <c r="AB777" t="s">
        <v>15043</v>
      </c>
      <c r="AC777" t="s">
        <v>15044</v>
      </c>
      <c r="AD777" t="s">
        <v>15045</v>
      </c>
      <c r="AE777" t="s">
        <v>15046</v>
      </c>
      <c r="AF777" t="s">
        <v>74</v>
      </c>
      <c r="AG777">
        <v>337</v>
      </c>
      <c r="AH777">
        <v>88</v>
      </c>
      <c r="AI777">
        <v>100</v>
      </c>
      <c r="AJ777">
        <v>5</v>
      </c>
      <c r="AK777">
        <v>57</v>
      </c>
      <c r="AL777" t="s">
        <v>574</v>
      </c>
      <c r="AM777" t="s">
        <v>575</v>
      </c>
      <c r="AN777" t="s">
        <v>576</v>
      </c>
      <c r="AO777" t="s">
        <v>891</v>
      </c>
      <c r="AP777" t="s">
        <v>892</v>
      </c>
      <c r="AQ777" t="s">
        <v>74</v>
      </c>
      <c r="AR777" t="s">
        <v>893</v>
      </c>
      <c r="AS777" t="s">
        <v>894</v>
      </c>
      <c r="AT777" t="s">
        <v>11811</v>
      </c>
      <c r="AU777">
        <v>2018</v>
      </c>
      <c r="AV777">
        <v>56</v>
      </c>
      <c r="AW777">
        <v>1</v>
      </c>
      <c r="AX777" t="s">
        <v>74</v>
      </c>
      <c r="AY777" t="s">
        <v>74</v>
      </c>
      <c r="AZ777" t="s">
        <v>74</v>
      </c>
      <c r="BA777" t="s">
        <v>74</v>
      </c>
      <c r="BB777">
        <v>142</v>
      </c>
      <c r="BC777">
        <v>184</v>
      </c>
      <c r="BD777" t="s">
        <v>74</v>
      </c>
      <c r="BE777" t="s">
        <v>15047</v>
      </c>
      <c r="BF777" t="str">
        <f>HYPERLINK("http://dx.doi.org/10.1002/2016RG000546","http://dx.doi.org/10.1002/2016RG000546")</f>
        <v>http://dx.doi.org/10.1002/2016RG000546</v>
      </c>
      <c r="BG777" t="s">
        <v>74</v>
      </c>
      <c r="BH777" t="s">
        <v>74</v>
      </c>
      <c r="BI777">
        <v>43</v>
      </c>
      <c r="BJ777" t="s">
        <v>260</v>
      </c>
      <c r="BK777" t="s">
        <v>101</v>
      </c>
      <c r="BL777" t="s">
        <v>260</v>
      </c>
      <c r="BM777" t="s">
        <v>15048</v>
      </c>
      <c r="BN777" t="s">
        <v>74</v>
      </c>
      <c r="BO777" t="s">
        <v>341</v>
      </c>
      <c r="BP777" t="s">
        <v>74</v>
      </c>
      <c r="BQ777" t="s">
        <v>74</v>
      </c>
      <c r="BR777" t="s">
        <v>105</v>
      </c>
      <c r="BS777" t="s">
        <v>15049</v>
      </c>
      <c r="BT777" t="str">
        <f>HYPERLINK("https%3A%2F%2Fwww.webofscience.com%2Fwos%2Fwoscc%2Ffull-record%2FWOS:000430130800005","View Full Record in Web of Science")</f>
        <v>View Full Record in Web of Science</v>
      </c>
    </row>
    <row r="778" spans="1:72" x14ac:dyDescent="0.15">
      <c r="A778" t="s">
        <v>72</v>
      </c>
      <c r="B778" t="s">
        <v>15050</v>
      </c>
      <c r="C778" t="s">
        <v>74</v>
      </c>
      <c r="D778" t="s">
        <v>74</v>
      </c>
      <c r="E778" t="s">
        <v>74</v>
      </c>
      <c r="F778" t="s">
        <v>15051</v>
      </c>
      <c r="G778" t="s">
        <v>74</v>
      </c>
      <c r="H778" t="s">
        <v>74</v>
      </c>
      <c r="I778" t="s">
        <v>15052</v>
      </c>
      <c r="J778" t="s">
        <v>15053</v>
      </c>
      <c r="K778" t="s">
        <v>74</v>
      </c>
      <c r="L778" t="s">
        <v>74</v>
      </c>
      <c r="M778" t="s">
        <v>78</v>
      </c>
      <c r="N778" t="s">
        <v>79</v>
      </c>
      <c r="O778" t="s">
        <v>74</v>
      </c>
      <c r="P778" t="s">
        <v>74</v>
      </c>
      <c r="Q778" t="s">
        <v>74</v>
      </c>
      <c r="R778" t="s">
        <v>74</v>
      </c>
      <c r="S778" t="s">
        <v>74</v>
      </c>
      <c r="T778" t="s">
        <v>15054</v>
      </c>
      <c r="U778" t="s">
        <v>15055</v>
      </c>
      <c r="V778" t="s">
        <v>15056</v>
      </c>
      <c r="W778" t="s">
        <v>15057</v>
      </c>
      <c r="X778" t="s">
        <v>15058</v>
      </c>
      <c r="Y778" t="s">
        <v>15059</v>
      </c>
      <c r="Z778" t="s">
        <v>15060</v>
      </c>
      <c r="AA778" t="s">
        <v>15061</v>
      </c>
      <c r="AB778" t="s">
        <v>15062</v>
      </c>
      <c r="AC778" t="s">
        <v>74</v>
      </c>
      <c r="AD778" t="s">
        <v>74</v>
      </c>
      <c r="AE778" t="s">
        <v>74</v>
      </c>
      <c r="AF778" t="s">
        <v>74</v>
      </c>
      <c r="AG778">
        <v>86</v>
      </c>
      <c r="AH778">
        <v>11</v>
      </c>
      <c r="AI778">
        <v>11</v>
      </c>
      <c r="AJ778">
        <v>0</v>
      </c>
      <c r="AK778">
        <v>20</v>
      </c>
      <c r="AL778" t="s">
        <v>865</v>
      </c>
      <c r="AM778" t="s">
        <v>92</v>
      </c>
      <c r="AN778" t="s">
        <v>3907</v>
      </c>
      <c r="AO778" t="s">
        <v>15063</v>
      </c>
      <c r="AP778" t="s">
        <v>15064</v>
      </c>
      <c r="AQ778" t="s">
        <v>74</v>
      </c>
      <c r="AR778" t="s">
        <v>15065</v>
      </c>
      <c r="AS778" t="s">
        <v>15066</v>
      </c>
      <c r="AT778" t="s">
        <v>11811</v>
      </c>
      <c r="AU778">
        <v>2018</v>
      </c>
      <c r="AV778">
        <v>217</v>
      </c>
      <c r="AW778" t="s">
        <v>74</v>
      </c>
      <c r="AX778" t="s">
        <v>74</v>
      </c>
      <c r="AY778" t="s">
        <v>74</v>
      </c>
      <c r="AZ778" t="s">
        <v>74</v>
      </c>
      <c r="BA778" t="s">
        <v>74</v>
      </c>
      <c r="BB778">
        <v>43</v>
      </c>
      <c r="BC778">
        <v>54</v>
      </c>
      <c r="BD778" t="s">
        <v>74</v>
      </c>
      <c r="BE778" t="s">
        <v>15067</v>
      </c>
      <c r="BF778" t="str">
        <f>HYPERLINK("http://dx.doi.org/10.1016/j.cbpa.2017.12.012","http://dx.doi.org/10.1016/j.cbpa.2017.12.012")</f>
        <v>http://dx.doi.org/10.1016/j.cbpa.2017.12.012</v>
      </c>
      <c r="BG778" t="s">
        <v>74</v>
      </c>
      <c r="BH778" t="s">
        <v>74</v>
      </c>
      <c r="BI778">
        <v>12</v>
      </c>
      <c r="BJ778" t="s">
        <v>15068</v>
      </c>
      <c r="BK778" t="s">
        <v>101</v>
      </c>
      <c r="BL778" t="s">
        <v>15068</v>
      </c>
      <c r="BM778" t="s">
        <v>15069</v>
      </c>
      <c r="BN778">
        <v>29288768</v>
      </c>
      <c r="BO778" t="s">
        <v>980</v>
      </c>
      <c r="BP778" t="s">
        <v>74</v>
      </c>
      <c r="BQ778" t="s">
        <v>74</v>
      </c>
      <c r="BR778" t="s">
        <v>105</v>
      </c>
      <c r="BS778" t="s">
        <v>15070</v>
      </c>
      <c r="BT778" t="str">
        <f>HYPERLINK("https%3A%2F%2Fwww.webofscience.com%2Fwos%2Fwoscc%2Ffull-record%2FWOS:000425204800006","View Full Record in Web of Science")</f>
        <v>View Full Record in Web of Science</v>
      </c>
    </row>
    <row r="779" spans="1:72" x14ac:dyDescent="0.15">
      <c r="A779" t="s">
        <v>72</v>
      </c>
      <c r="B779" t="s">
        <v>15071</v>
      </c>
      <c r="C779" t="s">
        <v>74</v>
      </c>
      <c r="D779" t="s">
        <v>74</v>
      </c>
      <c r="E779" t="s">
        <v>74</v>
      </c>
      <c r="F779" t="s">
        <v>15072</v>
      </c>
      <c r="G779" t="s">
        <v>74</v>
      </c>
      <c r="H779" t="s">
        <v>74</v>
      </c>
      <c r="I779" t="s">
        <v>15073</v>
      </c>
      <c r="J779" t="s">
        <v>15074</v>
      </c>
      <c r="K779" t="s">
        <v>74</v>
      </c>
      <c r="L779" t="s">
        <v>74</v>
      </c>
      <c r="M779" t="s">
        <v>78</v>
      </c>
      <c r="N779" t="s">
        <v>79</v>
      </c>
      <c r="O779" t="s">
        <v>74</v>
      </c>
      <c r="P779" t="s">
        <v>74</v>
      </c>
      <c r="Q779" t="s">
        <v>74</v>
      </c>
      <c r="R779" t="s">
        <v>74</v>
      </c>
      <c r="S779" t="s">
        <v>74</v>
      </c>
      <c r="T779" t="s">
        <v>15075</v>
      </c>
      <c r="U779" t="s">
        <v>15076</v>
      </c>
      <c r="V779" t="s">
        <v>15077</v>
      </c>
      <c r="W779" t="s">
        <v>15078</v>
      </c>
      <c r="X779" t="s">
        <v>15079</v>
      </c>
      <c r="Y779" t="s">
        <v>15080</v>
      </c>
      <c r="Z779" t="s">
        <v>15081</v>
      </c>
      <c r="AA779" t="s">
        <v>74</v>
      </c>
      <c r="AB779" t="s">
        <v>15082</v>
      </c>
      <c r="AC779" t="s">
        <v>15083</v>
      </c>
      <c r="AD779" t="s">
        <v>15084</v>
      </c>
      <c r="AE779" t="s">
        <v>15085</v>
      </c>
      <c r="AF779" t="s">
        <v>74</v>
      </c>
      <c r="AG779">
        <v>56</v>
      </c>
      <c r="AH779">
        <v>38</v>
      </c>
      <c r="AI779">
        <v>44</v>
      </c>
      <c r="AJ779">
        <v>4</v>
      </c>
      <c r="AK779">
        <v>44</v>
      </c>
      <c r="AL779" t="s">
        <v>7397</v>
      </c>
      <c r="AM779" t="s">
        <v>575</v>
      </c>
      <c r="AN779" t="s">
        <v>7398</v>
      </c>
      <c r="AO779" t="s">
        <v>15086</v>
      </c>
      <c r="AP779" t="s">
        <v>15087</v>
      </c>
      <c r="AQ779" t="s">
        <v>74</v>
      </c>
      <c r="AR779" t="s">
        <v>15088</v>
      </c>
      <c r="AS779" t="s">
        <v>15089</v>
      </c>
      <c r="AT779" t="s">
        <v>11811</v>
      </c>
      <c r="AU779">
        <v>2018</v>
      </c>
      <c r="AV779">
        <v>84</v>
      </c>
      <c r="AW779">
        <v>5</v>
      </c>
      <c r="AX779" t="s">
        <v>74</v>
      </c>
      <c r="AY779" t="s">
        <v>74</v>
      </c>
      <c r="AZ779" t="s">
        <v>74</v>
      </c>
      <c r="BA779" t="s">
        <v>74</v>
      </c>
      <c r="BB779" t="s">
        <v>74</v>
      </c>
      <c r="BC779" t="s">
        <v>74</v>
      </c>
      <c r="BD779" t="s">
        <v>15090</v>
      </c>
      <c r="BE779" t="s">
        <v>15091</v>
      </c>
      <c r="BF779" t="str">
        <f>HYPERLINK("http://dx.doi.org/10.1128/AEM.02574-17","http://dx.doi.org/10.1128/AEM.02574-17")</f>
        <v>http://dx.doi.org/10.1128/AEM.02574-17</v>
      </c>
      <c r="BG779" t="s">
        <v>74</v>
      </c>
      <c r="BH779" t="s">
        <v>74</v>
      </c>
      <c r="BI779">
        <v>15</v>
      </c>
      <c r="BJ779" t="s">
        <v>1158</v>
      </c>
      <c r="BK779" t="s">
        <v>101</v>
      </c>
      <c r="BL779" t="s">
        <v>1158</v>
      </c>
      <c r="BM779" t="s">
        <v>15092</v>
      </c>
      <c r="BN779">
        <v>29269499</v>
      </c>
      <c r="BO779" t="s">
        <v>2416</v>
      </c>
      <c r="BP779" t="s">
        <v>74</v>
      </c>
      <c r="BQ779" t="s">
        <v>74</v>
      </c>
      <c r="BR779" t="s">
        <v>105</v>
      </c>
      <c r="BS779" t="s">
        <v>15093</v>
      </c>
      <c r="BT779" t="str">
        <f>HYPERLINK("https%3A%2F%2Fwww.webofscience.com%2Fwos%2Fwoscc%2Ffull-record%2FWOS:000425012100023","View Full Record in Web of Science")</f>
        <v>View Full Record in Web of Science</v>
      </c>
    </row>
    <row r="780" spans="1:72" x14ac:dyDescent="0.15">
      <c r="A780" t="s">
        <v>72</v>
      </c>
      <c r="B780" t="s">
        <v>15094</v>
      </c>
      <c r="C780" t="s">
        <v>74</v>
      </c>
      <c r="D780" t="s">
        <v>74</v>
      </c>
      <c r="E780" t="s">
        <v>74</v>
      </c>
      <c r="F780" t="s">
        <v>15095</v>
      </c>
      <c r="G780" t="s">
        <v>74</v>
      </c>
      <c r="H780" t="s">
        <v>74</v>
      </c>
      <c r="I780" t="s">
        <v>15096</v>
      </c>
      <c r="J780" t="s">
        <v>927</v>
      </c>
      <c r="K780" t="s">
        <v>74</v>
      </c>
      <c r="L780" t="s">
        <v>74</v>
      </c>
      <c r="M780" t="s">
        <v>78</v>
      </c>
      <c r="N780" t="s">
        <v>79</v>
      </c>
      <c r="O780" t="s">
        <v>74</v>
      </c>
      <c r="P780" t="s">
        <v>74</v>
      </c>
      <c r="Q780" t="s">
        <v>74</v>
      </c>
      <c r="R780" t="s">
        <v>74</v>
      </c>
      <c r="S780" t="s">
        <v>74</v>
      </c>
      <c r="T780" t="s">
        <v>15097</v>
      </c>
      <c r="U780" t="s">
        <v>15098</v>
      </c>
      <c r="V780" t="s">
        <v>15099</v>
      </c>
      <c r="W780" t="s">
        <v>15100</v>
      </c>
      <c r="X780" t="s">
        <v>15101</v>
      </c>
      <c r="Y780" t="s">
        <v>15102</v>
      </c>
      <c r="Z780" t="s">
        <v>15103</v>
      </c>
      <c r="AA780" t="s">
        <v>74</v>
      </c>
      <c r="AB780" t="s">
        <v>74</v>
      </c>
      <c r="AC780" t="s">
        <v>15104</v>
      </c>
      <c r="AD780" t="s">
        <v>15105</v>
      </c>
      <c r="AE780" t="s">
        <v>15106</v>
      </c>
      <c r="AF780" t="s">
        <v>74</v>
      </c>
      <c r="AG780">
        <v>62</v>
      </c>
      <c r="AH780">
        <v>6</v>
      </c>
      <c r="AI780">
        <v>7</v>
      </c>
      <c r="AJ780">
        <v>0</v>
      </c>
      <c r="AK780">
        <v>26</v>
      </c>
      <c r="AL780" t="s">
        <v>914</v>
      </c>
      <c r="AM780" t="s">
        <v>452</v>
      </c>
      <c r="AN780" t="s">
        <v>915</v>
      </c>
      <c r="AO780" t="s">
        <v>940</v>
      </c>
      <c r="AP780" t="s">
        <v>941</v>
      </c>
      <c r="AQ780" t="s">
        <v>74</v>
      </c>
      <c r="AR780" t="s">
        <v>942</v>
      </c>
      <c r="AS780" t="s">
        <v>943</v>
      </c>
      <c r="AT780" t="s">
        <v>11841</v>
      </c>
      <c r="AU780">
        <v>2018</v>
      </c>
      <c r="AV780">
        <v>485</v>
      </c>
      <c r="AW780" t="s">
        <v>74</v>
      </c>
      <c r="AX780" t="s">
        <v>74</v>
      </c>
      <c r="AY780" t="s">
        <v>74</v>
      </c>
      <c r="AZ780" t="s">
        <v>74</v>
      </c>
      <c r="BA780" t="s">
        <v>74</v>
      </c>
      <c r="BB780">
        <v>43</v>
      </c>
      <c r="BC780">
        <v>54</v>
      </c>
      <c r="BD780" t="s">
        <v>74</v>
      </c>
      <c r="BE780" t="s">
        <v>15107</v>
      </c>
      <c r="BF780" t="str">
        <f>HYPERLINK("http://dx.doi.org/10.1016/j.epsl.2017.12.041","http://dx.doi.org/10.1016/j.epsl.2017.12.041")</f>
        <v>http://dx.doi.org/10.1016/j.epsl.2017.12.041</v>
      </c>
      <c r="BG780" t="s">
        <v>74</v>
      </c>
      <c r="BH780" t="s">
        <v>74</v>
      </c>
      <c r="BI780">
        <v>12</v>
      </c>
      <c r="BJ780" t="s">
        <v>260</v>
      </c>
      <c r="BK780" t="s">
        <v>101</v>
      </c>
      <c r="BL780" t="s">
        <v>260</v>
      </c>
      <c r="BM780" t="s">
        <v>15108</v>
      </c>
      <c r="BN780" t="s">
        <v>74</v>
      </c>
      <c r="BO780" t="s">
        <v>341</v>
      </c>
      <c r="BP780" t="s">
        <v>74</v>
      </c>
      <c r="BQ780" t="s">
        <v>74</v>
      </c>
      <c r="BR780" t="s">
        <v>105</v>
      </c>
      <c r="BS780" t="s">
        <v>15109</v>
      </c>
      <c r="BT780" t="str">
        <f>HYPERLINK("https%3A%2F%2Fwww.webofscience.com%2Fwos%2Fwoscc%2Ffull-record%2FWOS:000425070200005","View Full Record in Web of Science")</f>
        <v>View Full Record in Web of Science</v>
      </c>
    </row>
    <row r="781" spans="1:72" x14ac:dyDescent="0.15">
      <c r="A781" t="s">
        <v>72</v>
      </c>
      <c r="B781" t="s">
        <v>15110</v>
      </c>
      <c r="C781" t="s">
        <v>74</v>
      </c>
      <c r="D781" t="s">
        <v>74</v>
      </c>
      <c r="E781" t="s">
        <v>74</v>
      </c>
      <c r="F781" t="s">
        <v>15111</v>
      </c>
      <c r="G781" t="s">
        <v>74</v>
      </c>
      <c r="H781" t="s">
        <v>74</v>
      </c>
      <c r="I781" t="s">
        <v>15112</v>
      </c>
      <c r="J781" t="s">
        <v>15113</v>
      </c>
      <c r="K781" t="s">
        <v>74</v>
      </c>
      <c r="L781" t="s">
        <v>74</v>
      </c>
      <c r="M781" t="s">
        <v>78</v>
      </c>
      <c r="N781" t="s">
        <v>79</v>
      </c>
      <c r="O781" t="s">
        <v>74</v>
      </c>
      <c r="P781" t="s">
        <v>74</v>
      </c>
      <c r="Q781" t="s">
        <v>74</v>
      </c>
      <c r="R781" t="s">
        <v>74</v>
      </c>
      <c r="S781" t="s">
        <v>74</v>
      </c>
      <c r="T781" t="s">
        <v>15114</v>
      </c>
      <c r="U781" t="s">
        <v>15115</v>
      </c>
      <c r="V781" t="s">
        <v>15116</v>
      </c>
      <c r="W781" t="s">
        <v>15117</v>
      </c>
      <c r="X781" t="s">
        <v>15118</v>
      </c>
      <c r="Y781" t="s">
        <v>15119</v>
      </c>
      <c r="Z781" t="s">
        <v>15120</v>
      </c>
      <c r="AA781" t="s">
        <v>15121</v>
      </c>
      <c r="AB781" t="s">
        <v>15122</v>
      </c>
      <c r="AC781" t="s">
        <v>15123</v>
      </c>
      <c r="AD781" t="s">
        <v>15124</v>
      </c>
      <c r="AE781" t="s">
        <v>15125</v>
      </c>
      <c r="AF781" t="s">
        <v>74</v>
      </c>
      <c r="AG781">
        <v>64</v>
      </c>
      <c r="AH781">
        <v>41</v>
      </c>
      <c r="AI781">
        <v>46</v>
      </c>
      <c r="AJ781">
        <v>11</v>
      </c>
      <c r="AK781">
        <v>139</v>
      </c>
      <c r="AL781" t="s">
        <v>277</v>
      </c>
      <c r="AM781" t="s">
        <v>278</v>
      </c>
      <c r="AN781" t="s">
        <v>279</v>
      </c>
      <c r="AO781" t="s">
        <v>15126</v>
      </c>
      <c r="AP781" t="s">
        <v>15127</v>
      </c>
      <c r="AQ781" t="s">
        <v>74</v>
      </c>
      <c r="AR781" t="s">
        <v>15128</v>
      </c>
      <c r="AS781" t="s">
        <v>15129</v>
      </c>
      <c r="AT781" t="s">
        <v>11811</v>
      </c>
      <c r="AU781">
        <v>2018</v>
      </c>
      <c r="AV781">
        <v>147</v>
      </c>
      <c r="AW781" t="s">
        <v>74</v>
      </c>
      <c r="AX781" t="s">
        <v>74</v>
      </c>
      <c r="AY781" t="s">
        <v>74</v>
      </c>
      <c r="AZ781" t="s">
        <v>74</v>
      </c>
      <c r="BA781" t="s">
        <v>74</v>
      </c>
      <c r="BB781">
        <v>95</v>
      </c>
      <c r="BC781">
        <v>103</v>
      </c>
      <c r="BD781" t="s">
        <v>74</v>
      </c>
      <c r="BE781" t="s">
        <v>15130</v>
      </c>
      <c r="BF781" t="str">
        <f>HYPERLINK("http://dx.doi.org/10.1016/j.envexpbot.2017.11.014","http://dx.doi.org/10.1016/j.envexpbot.2017.11.014")</f>
        <v>http://dx.doi.org/10.1016/j.envexpbot.2017.11.014</v>
      </c>
      <c r="BG781" t="s">
        <v>74</v>
      </c>
      <c r="BH781" t="s">
        <v>74</v>
      </c>
      <c r="BI781">
        <v>9</v>
      </c>
      <c r="BJ781" t="s">
        <v>15131</v>
      </c>
      <c r="BK781" t="s">
        <v>101</v>
      </c>
      <c r="BL781" t="s">
        <v>15132</v>
      </c>
      <c r="BM781" t="s">
        <v>15133</v>
      </c>
      <c r="BN781" t="s">
        <v>74</v>
      </c>
      <c r="BO781" t="s">
        <v>74</v>
      </c>
      <c r="BP781" t="s">
        <v>74</v>
      </c>
      <c r="BQ781" t="s">
        <v>74</v>
      </c>
      <c r="BR781" t="s">
        <v>105</v>
      </c>
      <c r="BS781" t="s">
        <v>15134</v>
      </c>
      <c r="BT781" t="str">
        <f>HYPERLINK("https%3A%2F%2Fwww.webofscience.com%2Fwos%2Fwoscc%2Ffull-record%2FWOS:000424181300010","View Full Record in Web of Science")</f>
        <v>View Full Record in Web of Science</v>
      </c>
    </row>
    <row r="782" spans="1:72" x14ac:dyDescent="0.15">
      <c r="A782" t="s">
        <v>72</v>
      </c>
      <c r="B782" t="s">
        <v>15135</v>
      </c>
      <c r="C782" t="s">
        <v>74</v>
      </c>
      <c r="D782" t="s">
        <v>74</v>
      </c>
      <c r="E782" t="s">
        <v>74</v>
      </c>
      <c r="F782" t="s">
        <v>15136</v>
      </c>
      <c r="G782" t="s">
        <v>74</v>
      </c>
      <c r="H782" t="s">
        <v>74</v>
      </c>
      <c r="I782" t="s">
        <v>15137</v>
      </c>
      <c r="J782" t="s">
        <v>15138</v>
      </c>
      <c r="K782" t="s">
        <v>74</v>
      </c>
      <c r="L782" t="s">
        <v>74</v>
      </c>
      <c r="M782" t="s">
        <v>78</v>
      </c>
      <c r="N782" t="s">
        <v>79</v>
      </c>
      <c r="O782" t="s">
        <v>74</v>
      </c>
      <c r="P782" t="s">
        <v>74</v>
      </c>
      <c r="Q782" t="s">
        <v>74</v>
      </c>
      <c r="R782" t="s">
        <v>74</v>
      </c>
      <c r="S782" t="s">
        <v>74</v>
      </c>
      <c r="T782" t="s">
        <v>15139</v>
      </c>
      <c r="U782" t="s">
        <v>15140</v>
      </c>
      <c r="V782" t="s">
        <v>15141</v>
      </c>
      <c r="W782" t="s">
        <v>15142</v>
      </c>
      <c r="X782" t="s">
        <v>15143</v>
      </c>
      <c r="Y782" t="s">
        <v>15144</v>
      </c>
      <c r="Z782" t="s">
        <v>15145</v>
      </c>
      <c r="AA782" t="s">
        <v>15146</v>
      </c>
      <c r="AB782" t="s">
        <v>15147</v>
      </c>
      <c r="AC782" t="s">
        <v>15148</v>
      </c>
      <c r="AD782" t="s">
        <v>15149</v>
      </c>
      <c r="AE782" t="s">
        <v>15150</v>
      </c>
      <c r="AF782" t="s">
        <v>74</v>
      </c>
      <c r="AG782">
        <v>24</v>
      </c>
      <c r="AH782">
        <v>8</v>
      </c>
      <c r="AI782">
        <v>8</v>
      </c>
      <c r="AJ782">
        <v>1</v>
      </c>
      <c r="AK782">
        <v>24</v>
      </c>
      <c r="AL782" t="s">
        <v>425</v>
      </c>
      <c r="AM782" t="s">
        <v>278</v>
      </c>
      <c r="AN782" t="s">
        <v>426</v>
      </c>
      <c r="AO782" t="s">
        <v>15151</v>
      </c>
      <c r="AP782" t="s">
        <v>15152</v>
      </c>
      <c r="AQ782" t="s">
        <v>74</v>
      </c>
      <c r="AR782" t="s">
        <v>15153</v>
      </c>
      <c r="AS782" t="s">
        <v>15154</v>
      </c>
      <c r="AT782" t="s">
        <v>11811</v>
      </c>
      <c r="AU782">
        <v>2018</v>
      </c>
      <c r="AV782">
        <v>183</v>
      </c>
      <c r="AW782" t="s">
        <v>74</v>
      </c>
      <c r="AX782" t="s">
        <v>74</v>
      </c>
      <c r="AY782" t="s">
        <v>74</v>
      </c>
      <c r="AZ782" t="s">
        <v>74</v>
      </c>
      <c r="BA782" t="s">
        <v>74</v>
      </c>
      <c r="BB782">
        <v>7</v>
      </c>
      <c r="BC782">
        <v>16</v>
      </c>
      <c r="BD782" t="s">
        <v>74</v>
      </c>
      <c r="BE782" t="s">
        <v>15155</v>
      </c>
      <c r="BF782" t="str">
        <f>HYPERLINK("http://dx.doi.org/10.1016/j.jenvrad.2017.12.008","http://dx.doi.org/10.1016/j.jenvrad.2017.12.008")</f>
        <v>http://dx.doi.org/10.1016/j.jenvrad.2017.12.008</v>
      </c>
      <c r="BG782" t="s">
        <v>74</v>
      </c>
      <c r="BH782" t="s">
        <v>74</v>
      </c>
      <c r="BI782">
        <v>10</v>
      </c>
      <c r="BJ782" t="s">
        <v>921</v>
      </c>
      <c r="BK782" t="s">
        <v>101</v>
      </c>
      <c r="BL782" t="s">
        <v>315</v>
      </c>
      <c r="BM782" t="s">
        <v>15156</v>
      </c>
      <c r="BN782">
        <v>29274798</v>
      </c>
      <c r="BO782" t="s">
        <v>74</v>
      </c>
      <c r="BP782" t="s">
        <v>74</v>
      </c>
      <c r="BQ782" t="s">
        <v>74</v>
      </c>
      <c r="BR782" t="s">
        <v>105</v>
      </c>
      <c r="BS782" t="s">
        <v>15157</v>
      </c>
      <c r="BT782" t="str">
        <f>HYPERLINK("https%3A%2F%2Fwww.webofscience.com%2Fwos%2Fwoscc%2Ffull-record%2FWOS:000424182000002","View Full Record in Web of Science")</f>
        <v>View Full Record in Web of Science</v>
      </c>
    </row>
    <row r="783" spans="1:72" x14ac:dyDescent="0.15">
      <c r="A783" t="s">
        <v>72</v>
      </c>
      <c r="B783" t="s">
        <v>15158</v>
      </c>
      <c r="C783" t="s">
        <v>74</v>
      </c>
      <c r="D783" t="s">
        <v>74</v>
      </c>
      <c r="E783" t="s">
        <v>74</v>
      </c>
      <c r="F783" t="s">
        <v>15159</v>
      </c>
      <c r="G783" t="s">
        <v>74</v>
      </c>
      <c r="H783" t="s">
        <v>74</v>
      </c>
      <c r="I783" t="s">
        <v>15160</v>
      </c>
      <c r="J783" t="s">
        <v>7290</v>
      </c>
      <c r="K783" t="s">
        <v>74</v>
      </c>
      <c r="L783" t="s">
        <v>74</v>
      </c>
      <c r="M783" t="s">
        <v>78</v>
      </c>
      <c r="N783" t="s">
        <v>466</v>
      </c>
      <c r="O783" t="s">
        <v>74</v>
      </c>
      <c r="P783" t="s">
        <v>74</v>
      </c>
      <c r="Q783" t="s">
        <v>74</v>
      </c>
      <c r="R783" t="s">
        <v>74</v>
      </c>
      <c r="S783" t="s">
        <v>74</v>
      </c>
      <c r="T783" t="s">
        <v>15161</v>
      </c>
      <c r="U783" t="s">
        <v>15162</v>
      </c>
      <c r="V783" t="s">
        <v>15163</v>
      </c>
      <c r="W783" t="s">
        <v>15164</v>
      </c>
      <c r="X783" t="s">
        <v>15165</v>
      </c>
      <c r="Y783" t="s">
        <v>10081</v>
      </c>
      <c r="Z783" t="s">
        <v>10082</v>
      </c>
      <c r="AA783" t="s">
        <v>15166</v>
      </c>
      <c r="AB783" t="s">
        <v>15167</v>
      </c>
      <c r="AC783" t="s">
        <v>15168</v>
      </c>
      <c r="AD783" t="s">
        <v>15169</v>
      </c>
      <c r="AE783" t="s">
        <v>15170</v>
      </c>
      <c r="AF783" t="s">
        <v>74</v>
      </c>
      <c r="AG783">
        <v>93</v>
      </c>
      <c r="AH783">
        <v>27</v>
      </c>
      <c r="AI783">
        <v>28</v>
      </c>
      <c r="AJ783">
        <v>0</v>
      </c>
      <c r="AK783">
        <v>74</v>
      </c>
      <c r="AL783" t="s">
        <v>277</v>
      </c>
      <c r="AM783" t="s">
        <v>278</v>
      </c>
      <c r="AN783" t="s">
        <v>279</v>
      </c>
      <c r="AO783" t="s">
        <v>7303</v>
      </c>
      <c r="AP783" t="s">
        <v>7304</v>
      </c>
      <c r="AQ783" t="s">
        <v>74</v>
      </c>
      <c r="AR783" t="s">
        <v>7290</v>
      </c>
      <c r="AS783" t="s">
        <v>7305</v>
      </c>
      <c r="AT783" t="s">
        <v>11811</v>
      </c>
      <c r="AU783">
        <v>2018</v>
      </c>
      <c r="AV783">
        <v>194</v>
      </c>
      <c r="AW783" t="s">
        <v>74</v>
      </c>
      <c r="AX783" t="s">
        <v>74</v>
      </c>
      <c r="AY783" t="s">
        <v>74</v>
      </c>
      <c r="AZ783" t="s">
        <v>74</v>
      </c>
      <c r="BA783" t="s">
        <v>74</v>
      </c>
      <c r="BB783">
        <v>200</v>
      </c>
      <c r="BC783">
        <v>210</v>
      </c>
      <c r="BD783" t="s">
        <v>74</v>
      </c>
      <c r="BE783" t="s">
        <v>15171</v>
      </c>
      <c r="BF783" t="str">
        <f>HYPERLINK("http://dx.doi.org/10.1016/j.chemosphere.2017.11.157","http://dx.doi.org/10.1016/j.chemosphere.2017.11.157")</f>
        <v>http://dx.doi.org/10.1016/j.chemosphere.2017.11.157</v>
      </c>
      <c r="BG783" t="s">
        <v>74</v>
      </c>
      <c r="BH783" t="s">
        <v>74</v>
      </c>
      <c r="BI783">
        <v>11</v>
      </c>
      <c r="BJ783" t="s">
        <v>921</v>
      </c>
      <c r="BK783" t="s">
        <v>101</v>
      </c>
      <c r="BL783" t="s">
        <v>315</v>
      </c>
      <c r="BM783" t="s">
        <v>15172</v>
      </c>
      <c r="BN783">
        <v>29207352</v>
      </c>
      <c r="BO783" t="s">
        <v>74</v>
      </c>
      <c r="BP783" t="s">
        <v>74</v>
      </c>
      <c r="BQ783" t="s">
        <v>74</v>
      </c>
      <c r="BR783" t="s">
        <v>105</v>
      </c>
      <c r="BS783" t="s">
        <v>15173</v>
      </c>
      <c r="BT783" t="str">
        <f>HYPERLINK("https%3A%2F%2Fwww.webofscience.com%2Fwos%2Fwoscc%2Ffull-record%2FWOS:000423890700023","View Full Record in Web of Science")</f>
        <v>View Full Record in Web of Science</v>
      </c>
    </row>
    <row r="784" spans="1:72" x14ac:dyDescent="0.15">
      <c r="A784" t="s">
        <v>72</v>
      </c>
      <c r="B784" t="s">
        <v>15174</v>
      </c>
      <c r="C784" t="s">
        <v>74</v>
      </c>
      <c r="D784" t="s">
        <v>74</v>
      </c>
      <c r="E784" t="s">
        <v>74</v>
      </c>
      <c r="F784" t="s">
        <v>15175</v>
      </c>
      <c r="G784" t="s">
        <v>74</v>
      </c>
      <c r="H784" t="s">
        <v>74</v>
      </c>
      <c r="I784" t="s">
        <v>15176</v>
      </c>
      <c r="J784" t="s">
        <v>15177</v>
      </c>
      <c r="K784" t="s">
        <v>74</v>
      </c>
      <c r="L784" t="s">
        <v>74</v>
      </c>
      <c r="M784" t="s">
        <v>78</v>
      </c>
      <c r="N784" t="s">
        <v>79</v>
      </c>
      <c r="O784" t="s">
        <v>74</v>
      </c>
      <c r="P784" t="s">
        <v>74</v>
      </c>
      <c r="Q784" t="s">
        <v>74</v>
      </c>
      <c r="R784" t="s">
        <v>74</v>
      </c>
      <c r="S784" t="s">
        <v>74</v>
      </c>
      <c r="T784" t="s">
        <v>15178</v>
      </c>
      <c r="U784" t="s">
        <v>15179</v>
      </c>
      <c r="V784" t="s">
        <v>15180</v>
      </c>
      <c r="W784" t="s">
        <v>15181</v>
      </c>
      <c r="X784" t="s">
        <v>15182</v>
      </c>
      <c r="Y784" t="s">
        <v>15183</v>
      </c>
      <c r="Z784" t="s">
        <v>15184</v>
      </c>
      <c r="AA784" t="s">
        <v>15185</v>
      </c>
      <c r="AB784" t="s">
        <v>15186</v>
      </c>
      <c r="AC784" t="s">
        <v>15187</v>
      </c>
      <c r="AD784" t="s">
        <v>15188</v>
      </c>
      <c r="AE784" t="s">
        <v>15189</v>
      </c>
      <c r="AF784" t="s">
        <v>74</v>
      </c>
      <c r="AG784">
        <v>38</v>
      </c>
      <c r="AH784">
        <v>11</v>
      </c>
      <c r="AI784">
        <v>11</v>
      </c>
      <c r="AJ784">
        <v>4</v>
      </c>
      <c r="AK784">
        <v>87</v>
      </c>
      <c r="AL784" t="s">
        <v>15190</v>
      </c>
      <c r="AM784" t="s">
        <v>15191</v>
      </c>
      <c r="AN784" t="s">
        <v>15192</v>
      </c>
      <c r="AO784" t="s">
        <v>15193</v>
      </c>
      <c r="AP784" t="s">
        <v>15194</v>
      </c>
      <c r="AQ784" t="s">
        <v>74</v>
      </c>
      <c r="AR784" t="s">
        <v>15195</v>
      </c>
      <c r="AS784" t="s">
        <v>15196</v>
      </c>
      <c r="AT784" t="s">
        <v>11811</v>
      </c>
      <c r="AU784">
        <v>2018</v>
      </c>
      <c r="AV784">
        <v>144</v>
      </c>
      <c r="AW784">
        <v>3</v>
      </c>
      <c r="AX784" t="s">
        <v>74</v>
      </c>
      <c r="AY784" t="s">
        <v>74</v>
      </c>
      <c r="AZ784" t="s">
        <v>74</v>
      </c>
      <c r="BA784" t="s">
        <v>74</v>
      </c>
      <c r="BB784" t="s">
        <v>74</v>
      </c>
      <c r="BC784" t="s">
        <v>74</v>
      </c>
      <c r="BD784">
        <v>4017107</v>
      </c>
      <c r="BE784" t="s">
        <v>15197</v>
      </c>
      <c r="BF784" t="str">
        <f>HYPERLINK("http://dx.doi.org/10.1061/(ASCE)EE.1943-7870.0001293","http://dx.doi.org/10.1061/(ASCE)EE.1943-7870.0001293")</f>
        <v>http://dx.doi.org/10.1061/(ASCE)EE.1943-7870.0001293</v>
      </c>
      <c r="BG784" t="s">
        <v>74</v>
      </c>
      <c r="BH784" t="s">
        <v>74</v>
      </c>
      <c r="BI784">
        <v>7</v>
      </c>
      <c r="BJ784" t="s">
        <v>15198</v>
      </c>
      <c r="BK784" t="s">
        <v>101</v>
      </c>
      <c r="BL784" t="s">
        <v>8918</v>
      </c>
      <c r="BM784" t="s">
        <v>15199</v>
      </c>
      <c r="BN784" t="s">
        <v>74</v>
      </c>
      <c r="BO784" t="s">
        <v>74</v>
      </c>
      <c r="BP784" t="s">
        <v>74</v>
      </c>
      <c r="BQ784" t="s">
        <v>74</v>
      </c>
      <c r="BR784" t="s">
        <v>105</v>
      </c>
      <c r="BS784" t="s">
        <v>15200</v>
      </c>
      <c r="BT784" t="str">
        <f>HYPERLINK("https%3A%2F%2Fwww.webofscience.com%2Fwos%2Fwoscc%2Ffull-record%2FWOS:000422803400002","View Full Record in Web of Science")</f>
        <v>View Full Record in Web of Science</v>
      </c>
    </row>
    <row r="785" spans="1:72" x14ac:dyDescent="0.15">
      <c r="A785" t="s">
        <v>72</v>
      </c>
      <c r="B785" t="s">
        <v>15201</v>
      </c>
      <c r="C785" t="s">
        <v>74</v>
      </c>
      <c r="D785" t="s">
        <v>74</v>
      </c>
      <c r="E785" t="s">
        <v>74</v>
      </c>
      <c r="F785" t="s">
        <v>15202</v>
      </c>
      <c r="G785" t="s">
        <v>74</v>
      </c>
      <c r="H785" t="s">
        <v>74</v>
      </c>
      <c r="I785" t="s">
        <v>15203</v>
      </c>
      <c r="J785" t="s">
        <v>1749</v>
      </c>
      <c r="K785" t="s">
        <v>74</v>
      </c>
      <c r="L785" t="s">
        <v>74</v>
      </c>
      <c r="M785" t="s">
        <v>78</v>
      </c>
      <c r="N785" t="s">
        <v>79</v>
      </c>
      <c r="O785" t="s">
        <v>74</v>
      </c>
      <c r="P785" t="s">
        <v>74</v>
      </c>
      <c r="Q785" t="s">
        <v>74</v>
      </c>
      <c r="R785" t="s">
        <v>74</v>
      </c>
      <c r="S785" t="s">
        <v>74</v>
      </c>
      <c r="T785" t="s">
        <v>15204</v>
      </c>
      <c r="U785" t="s">
        <v>15205</v>
      </c>
      <c r="V785" t="s">
        <v>15206</v>
      </c>
      <c r="W785" t="s">
        <v>15207</v>
      </c>
      <c r="X785" t="s">
        <v>15208</v>
      </c>
      <c r="Y785" t="s">
        <v>15209</v>
      </c>
      <c r="Z785" t="s">
        <v>15210</v>
      </c>
      <c r="AA785" t="s">
        <v>15211</v>
      </c>
      <c r="AB785" t="s">
        <v>15212</v>
      </c>
      <c r="AC785" t="s">
        <v>15213</v>
      </c>
      <c r="AD785" t="s">
        <v>15214</v>
      </c>
      <c r="AE785" t="s">
        <v>15215</v>
      </c>
      <c r="AF785" t="s">
        <v>74</v>
      </c>
      <c r="AG785">
        <v>31</v>
      </c>
      <c r="AH785">
        <v>11</v>
      </c>
      <c r="AI785">
        <v>11</v>
      </c>
      <c r="AJ785">
        <v>1</v>
      </c>
      <c r="AK785">
        <v>22</v>
      </c>
      <c r="AL785" t="s">
        <v>574</v>
      </c>
      <c r="AM785" t="s">
        <v>575</v>
      </c>
      <c r="AN785" t="s">
        <v>576</v>
      </c>
      <c r="AO785" t="s">
        <v>1761</v>
      </c>
      <c r="AP785" t="s">
        <v>1762</v>
      </c>
      <c r="AQ785" t="s">
        <v>74</v>
      </c>
      <c r="AR785" t="s">
        <v>1763</v>
      </c>
      <c r="AS785" t="s">
        <v>1764</v>
      </c>
      <c r="AT785" t="s">
        <v>15216</v>
      </c>
      <c r="AU785">
        <v>2018</v>
      </c>
      <c r="AV785">
        <v>45</v>
      </c>
      <c r="AW785">
        <v>4</v>
      </c>
      <c r="AX785" t="s">
        <v>74</v>
      </c>
      <c r="AY785" t="s">
        <v>74</v>
      </c>
      <c r="AZ785" t="s">
        <v>74</v>
      </c>
      <c r="BA785" t="s">
        <v>74</v>
      </c>
      <c r="BB785">
        <v>1997</v>
      </c>
      <c r="BC785">
        <v>2004</v>
      </c>
      <c r="BD785" t="s">
        <v>74</v>
      </c>
      <c r="BE785" t="s">
        <v>15217</v>
      </c>
      <c r="BF785" t="str">
        <f>HYPERLINK("http://dx.doi.org/10.1002/2017GL076668","http://dx.doi.org/10.1002/2017GL076668")</f>
        <v>http://dx.doi.org/10.1002/2017GL076668</v>
      </c>
      <c r="BG785" t="s">
        <v>74</v>
      </c>
      <c r="BH785" t="s">
        <v>74</v>
      </c>
      <c r="BI785">
        <v>8</v>
      </c>
      <c r="BJ785" t="s">
        <v>1243</v>
      </c>
      <c r="BK785" t="s">
        <v>101</v>
      </c>
      <c r="BL785" t="s">
        <v>1181</v>
      </c>
      <c r="BM785" t="s">
        <v>15218</v>
      </c>
      <c r="BN785" t="s">
        <v>74</v>
      </c>
      <c r="BO785" t="s">
        <v>15219</v>
      </c>
      <c r="BP785" t="s">
        <v>74</v>
      </c>
      <c r="BQ785" t="s">
        <v>74</v>
      </c>
      <c r="BR785" t="s">
        <v>105</v>
      </c>
      <c r="BS785" t="s">
        <v>15220</v>
      </c>
      <c r="BT785" t="str">
        <f>HYPERLINK("https%3A%2F%2Fwww.webofscience.com%2Fwos%2Fwoscc%2Ffull-record%2FWOS:000427564300035","View Full Record in Web of Science")</f>
        <v>View Full Record in Web of Science</v>
      </c>
    </row>
    <row r="786" spans="1:72" x14ac:dyDescent="0.15">
      <c r="A786" t="s">
        <v>72</v>
      </c>
      <c r="B786" t="s">
        <v>15221</v>
      </c>
      <c r="C786" t="s">
        <v>74</v>
      </c>
      <c r="D786" t="s">
        <v>74</v>
      </c>
      <c r="E786" t="s">
        <v>74</v>
      </c>
      <c r="F786" t="s">
        <v>15222</v>
      </c>
      <c r="G786" t="s">
        <v>74</v>
      </c>
      <c r="H786" t="s">
        <v>74</v>
      </c>
      <c r="I786" t="s">
        <v>15223</v>
      </c>
      <c r="J786" t="s">
        <v>1749</v>
      </c>
      <c r="K786" t="s">
        <v>74</v>
      </c>
      <c r="L786" t="s">
        <v>74</v>
      </c>
      <c r="M786" t="s">
        <v>78</v>
      </c>
      <c r="N786" t="s">
        <v>79</v>
      </c>
      <c r="O786" t="s">
        <v>74</v>
      </c>
      <c r="P786" t="s">
        <v>74</v>
      </c>
      <c r="Q786" t="s">
        <v>74</v>
      </c>
      <c r="R786" t="s">
        <v>74</v>
      </c>
      <c r="S786" t="s">
        <v>74</v>
      </c>
      <c r="T786" t="s">
        <v>15224</v>
      </c>
      <c r="U786" t="s">
        <v>15225</v>
      </c>
      <c r="V786" t="s">
        <v>15226</v>
      </c>
      <c r="W786" t="s">
        <v>15227</v>
      </c>
      <c r="X786" t="s">
        <v>15228</v>
      </c>
      <c r="Y786" t="s">
        <v>15229</v>
      </c>
      <c r="Z786" t="s">
        <v>15230</v>
      </c>
      <c r="AA786" t="s">
        <v>15231</v>
      </c>
      <c r="AB786" t="s">
        <v>15232</v>
      </c>
      <c r="AC786" t="s">
        <v>15233</v>
      </c>
      <c r="AD786" t="s">
        <v>15234</v>
      </c>
      <c r="AE786" t="s">
        <v>15235</v>
      </c>
      <c r="AF786" t="s">
        <v>74</v>
      </c>
      <c r="AG786">
        <v>60</v>
      </c>
      <c r="AH786">
        <v>11</v>
      </c>
      <c r="AI786">
        <v>12</v>
      </c>
      <c r="AJ786">
        <v>0</v>
      </c>
      <c r="AK786">
        <v>17</v>
      </c>
      <c r="AL786" t="s">
        <v>574</v>
      </c>
      <c r="AM786" t="s">
        <v>575</v>
      </c>
      <c r="AN786" t="s">
        <v>576</v>
      </c>
      <c r="AO786" t="s">
        <v>1761</v>
      </c>
      <c r="AP786" t="s">
        <v>1762</v>
      </c>
      <c r="AQ786" t="s">
        <v>74</v>
      </c>
      <c r="AR786" t="s">
        <v>1763</v>
      </c>
      <c r="AS786" t="s">
        <v>1764</v>
      </c>
      <c r="AT786" t="s">
        <v>15216</v>
      </c>
      <c r="AU786">
        <v>2018</v>
      </c>
      <c r="AV786">
        <v>45</v>
      </c>
      <c r="AW786">
        <v>4</v>
      </c>
      <c r="AX786" t="s">
        <v>74</v>
      </c>
      <c r="AY786" t="s">
        <v>74</v>
      </c>
      <c r="AZ786" t="s">
        <v>74</v>
      </c>
      <c r="BA786" t="s">
        <v>74</v>
      </c>
      <c r="BB786">
        <v>2115</v>
      </c>
      <c r="BC786">
        <v>2124</v>
      </c>
      <c r="BD786" t="s">
        <v>74</v>
      </c>
      <c r="BE786" t="s">
        <v>15236</v>
      </c>
      <c r="BF786" t="str">
        <f>HYPERLINK("http://dx.doi.org/10.1002/2017GL075966","http://dx.doi.org/10.1002/2017GL075966")</f>
        <v>http://dx.doi.org/10.1002/2017GL075966</v>
      </c>
      <c r="BG786" t="s">
        <v>74</v>
      </c>
      <c r="BH786" t="s">
        <v>74</v>
      </c>
      <c r="BI786">
        <v>10</v>
      </c>
      <c r="BJ786" t="s">
        <v>1243</v>
      </c>
      <c r="BK786" t="s">
        <v>101</v>
      </c>
      <c r="BL786" t="s">
        <v>1181</v>
      </c>
      <c r="BM786" t="s">
        <v>15218</v>
      </c>
      <c r="BN786" t="s">
        <v>74</v>
      </c>
      <c r="BO786" t="s">
        <v>15237</v>
      </c>
      <c r="BP786" t="s">
        <v>74</v>
      </c>
      <c r="BQ786" t="s">
        <v>74</v>
      </c>
      <c r="BR786" t="s">
        <v>105</v>
      </c>
      <c r="BS786" t="s">
        <v>15238</v>
      </c>
      <c r="BT786" t="str">
        <f>HYPERLINK("https%3A%2F%2Fwww.webofscience.com%2Fwos%2Fwoscc%2Ffull-record%2FWOS:000427564300049","View Full Record in Web of Science")</f>
        <v>View Full Record in Web of Science</v>
      </c>
    </row>
    <row r="787" spans="1:72" x14ac:dyDescent="0.15">
      <c r="A787" t="s">
        <v>72</v>
      </c>
      <c r="B787" t="s">
        <v>15239</v>
      </c>
      <c r="C787" t="s">
        <v>74</v>
      </c>
      <c r="D787" t="s">
        <v>74</v>
      </c>
      <c r="E787" t="s">
        <v>74</v>
      </c>
      <c r="F787" t="s">
        <v>15240</v>
      </c>
      <c r="G787" t="s">
        <v>74</v>
      </c>
      <c r="H787" t="s">
        <v>74</v>
      </c>
      <c r="I787" t="s">
        <v>15241</v>
      </c>
      <c r="J787" t="s">
        <v>15242</v>
      </c>
      <c r="K787" t="s">
        <v>74</v>
      </c>
      <c r="L787" t="s">
        <v>74</v>
      </c>
      <c r="M787" t="s">
        <v>78</v>
      </c>
      <c r="N787" t="s">
        <v>79</v>
      </c>
      <c r="O787" t="s">
        <v>74</v>
      </c>
      <c r="P787" t="s">
        <v>74</v>
      </c>
      <c r="Q787" t="s">
        <v>74</v>
      </c>
      <c r="R787" t="s">
        <v>74</v>
      </c>
      <c r="S787" t="s">
        <v>74</v>
      </c>
      <c r="T787" t="s">
        <v>15243</v>
      </c>
      <c r="U787" t="s">
        <v>15244</v>
      </c>
      <c r="V787" t="s">
        <v>15245</v>
      </c>
      <c r="W787" t="s">
        <v>15246</v>
      </c>
      <c r="X787" t="s">
        <v>15247</v>
      </c>
      <c r="Y787" t="s">
        <v>15248</v>
      </c>
      <c r="Z787" t="s">
        <v>15249</v>
      </c>
      <c r="AA787" t="s">
        <v>15250</v>
      </c>
      <c r="AB787" t="s">
        <v>15251</v>
      </c>
      <c r="AC787" t="s">
        <v>74</v>
      </c>
      <c r="AD787" t="s">
        <v>74</v>
      </c>
      <c r="AE787" t="s">
        <v>74</v>
      </c>
      <c r="AF787" t="s">
        <v>74</v>
      </c>
      <c r="AG787">
        <v>28</v>
      </c>
      <c r="AH787">
        <v>8</v>
      </c>
      <c r="AI787">
        <v>8</v>
      </c>
      <c r="AJ787">
        <v>0</v>
      </c>
      <c r="AK787">
        <v>5</v>
      </c>
      <c r="AL787" t="s">
        <v>15252</v>
      </c>
      <c r="AM787" t="s">
        <v>15253</v>
      </c>
      <c r="AN787" t="s">
        <v>15254</v>
      </c>
      <c r="AO787" t="s">
        <v>15255</v>
      </c>
      <c r="AP787" t="s">
        <v>74</v>
      </c>
      <c r="AQ787" t="s">
        <v>74</v>
      </c>
      <c r="AR787" t="s">
        <v>15256</v>
      </c>
      <c r="AS787" t="s">
        <v>15257</v>
      </c>
      <c r="AT787" t="s">
        <v>15216</v>
      </c>
      <c r="AU787">
        <v>2018</v>
      </c>
      <c r="AV787" t="s">
        <v>74</v>
      </c>
      <c r="AW787" t="s">
        <v>74</v>
      </c>
      <c r="AX787" t="s">
        <v>74</v>
      </c>
      <c r="AY787" t="s">
        <v>74</v>
      </c>
      <c r="AZ787" t="s">
        <v>74</v>
      </c>
      <c r="BA787" t="s">
        <v>74</v>
      </c>
      <c r="BB787" t="s">
        <v>74</v>
      </c>
      <c r="BC787" t="s">
        <v>74</v>
      </c>
      <c r="BD787">
        <v>56</v>
      </c>
      <c r="BE787" t="s">
        <v>74</v>
      </c>
      <c r="BF787" t="s">
        <v>74</v>
      </c>
      <c r="BG787" t="s">
        <v>74</v>
      </c>
      <c r="BH787" t="s">
        <v>74</v>
      </c>
      <c r="BI787">
        <v>12</v>
      </c>
      <c r="BJ787" t="s">
        <v>1133</v>
      </c>
      <c r="BK787" t="s">
        <v>101</v>
      </c>
      <c r="BL787" t="s">
        <v>1134</v>
      </c>
      <c r="BM787" t="s">
        <v>15258</v>
      </c>
      <c r="BN787" t="s">
        <v>74</v>
      </c>
      <c r="BO787" t="s">
        <v>74</v>
      </c>
      <c r="BP787" t="s">
        <v>74</v>
      </c>
      <c r="BQ787" t="s">
        <v>74</v>
      </c>
      <c r="BR787" t="s">
        <v>105</v>
      </c>
      <c r="BS787" t="s">
        <v>15259</v>
      </c>
      <c r="BT787" t="str">
        <f>HYPERLINK("https%3A%2F%2Fwww.webofscience.com%2Fwos%2Fwoscc%2Ffull-record%2FWOS:000427095300001","View Full Record in Web of Science")</f>
        <v>View Full Record in Web of Science</v>
      </c>
    </row>
    <row r="788" spans="1:72" x14ac:dyDescent="0.15">
      <c r="A788" t="s">
        <v>72</v>
      </c>
      <c r="B788" t="s">
        <v>15260</v>
      </c>
      <c r="C788" t="s">
        <v>74</v>
      </c>
      <c r="D788" t="s">
        <v>74</v>
      </c>
      <c r="E788" t="s">
        <v>74</v>
      </c>
      <c r="F788" t="s">
        <v>15261</v>
      </c>
      <c r="G788" t="s">
        <v>74</v>
      </c>
      <c r="H788" t="s">
        <v>74</v>
      </c>
      <c r="I788" t="s">
        <v>15262</v>
      </c>
      <c r="J788" t="s">
        <v>15263</v>
      </c>
      <c r="K788" t="s">
        <v>74</v>
      </c>
      <c r="L788" t="s">
        <v>74</v>
      </c>
      <c r="M788" t="s">
        <v>78</v>
      </c>
      <c r="N788" t="s">
        <v>79</v>
      </c>
      <c r="O788" t="s">
        <v>74</v>
      </c>
      <c r="P788" t="s">
        <v>74</v>
      </c>
      <c r="Q788" t="s">
        <v>74</v>
      </c>
      <c r="R788" t="s">
        <v>74</v>
      </c>
      <c r="S788" t="s">
        <v>74</v>
      </c>
      <c r="T788" t="s">
        <v>15264</v>
      </c>
      <c r="U788" t="s">
        <v>15265</v>
      </c>
      <c r="V788" t="s">
        <v>15266</v>
      </c>
      <c r="W788" t="s">
        <v>15267</v>
      </c>
      <c r="X788" t="s">
        <v>15268</v>
      </c>
      <c r="Y788" t="s">
        <v>15269</v>
      </c>
      <c r="Z788" t="s">
        <v>15270</v>
      </c>
      <c r="AA788" t="s">
        <v>15271</v>
      </c>
      <c r="AB788" t="s">
        <v>15272</v>
      </c>
      <c r="AC788" t="s">
        <v>15273</v>
      </c>
      <c r="AD788" t="s">
        <v>15274</v>
      </c>
      <c r="AE788" t="s">
        <v>15275</v>
      </c>
      <c r="AF788" t="s">
        <v>74</v>
      </c>
      <c r="AG788">
        <v>68</v>
      </c>
      <c r="AH788">
        <v>9</v>
      </c>
      <c r="AI788">
        <v>9</v>
      </c>
      <c r="AJ788">
        <v>0</v>
      </c>
      <c r="AK788">
        <v>6</v>
      </c>
      <c r="AL788" t="s">
        <v>2815</v>
      </c>
      <c r="AM788" t="s">
        <v>2816</v>
      </c>
      <c r="AN788" t="s">
        <v>2817</v>
      </c>
      <c r="AO788" t="s">
        <v>15276</v>
      </c>
      <c r="AP788" t="s">
        <v>15277</v>
      </c>
      <c r="AQ788" t="s">
        <v>74</v>
      </c>
      <c r="AR788" t="s">
        <v>15278</v>
      </c>
      <c r="AS788" t="s">
        <v>15279</v>
      </c>
      <c r="AT788" t="s">
        <v>15216</v>
      </c>
      <c r="AU788">
        <v>2018</v>
      </c>
      <c r="AV788">
        <v>73</v>
      </c>
      <c r="AW788" t="s">
        <v>74</v>
      </c>
      <c r="AX788" t="s">
        <v>74</v>
      </c>
      <c r="AY788" t="s">
        <v>74</v>
      </c>
      <c r="AZ788" t="s">
        <v>74</v>
      </c>
      <c r="BA788" t="s">
        <v>74</v>
      </c>
      <c r="BB788">
        <v>39</v>
      </c>
      <c r="BC788">
        <v>51</v>
      </c>
      <c r="BD788" t="s">
        <v>74</v>
      </c>
      <c r="BE788" t="s">
        <v>15280</v>
      </c>
      <c r="BF788" t="str">
        <f>HYPERLINK("http://dx.doi.org/10.1016/j.niox.2017.12.006","http://dx.doi.org/10.1016/j.niox.2017.12.006")</f>
        <v>http://dx.doi.org/10.1016/j.niox.2017.12.006</v>
      </c>
      <c r="BG788" t="s">
        <v>74</v>
      </c>
      <c r="BH788" t="s">
        <v>74</v>
      </c>
      <c r="BI788">
        <v>13</v>
      </c>
      <c r="BJ788" t="s">
        <v>15281</v>
      </c>
      <c r="BK788" t="s">
        <v>101</v>
      </c>
      <c r="BL788" t="s">
        <v>15281</v>
      </c>
      <c r="BM788" t="s">
        <v>15282</v>
      </c>
      <c r="BN788">
        <v>29275194</v>
      </c>
      <c r="BO788" t="s">
        <v>1085</v>
      </c>
      <c r="BP788" t="s">
        <v>74</v>
      </c>
      <c r="BQ788" t="s">
        <v>74</v>
      </c>
      <c r="BR788" t="s">
        <v>105</v>
      </c>
      <c r="BS788" t="s">
        <v>15283</v>
      </c>
      <c r="BT788" t="str">
        <f>HYPERLINK("https%3A%2F%2Fwww.webofscience.com%2Fwos%2Fwoscc%2Ffull-record%2FWOS:000425706800005","View Full Record in Web of Science")</f>
        <v>View Full Record in Web of Science</v>
      </c>
    </row>
    <row r="789" spans="1:72" x14ac:dyDescent="0.15">
      <c r="A789" t="s">
        <v>72</v>
      </c>
      <c r="B789" t="s">
        <v>15284</v>
      </c>
      <c r="C789" t="s">
        <v>74</v>
      </c>
      <c r="D789" t="s">
        <v>74</v>
      </c>
      <c r="E789" t="s">
        <v>74</v>
      </c>
      <c r="F789" t="s">
        <v>15285</v>
      </c>
      <c r="G789" t="s">
        <v>74</v>
      </c>
      <c r="H789" t="s">
        <v>74</v>
      </c>
      <c r="I789" t="s">
        <v>15286</v>
      </c>
      <c r="J789" t="s">
        <v>1598</v>
      </c>
      <c r="K789" t="s">
        <v>74</v>
      </c>
      <c r="L789" t="s">
        <v>74</v>
      </c>
      <c r="M789" t="s">
        <v>78</v>
      </c>
      <c r="N789" t="s">
        <v>79</v>
      </c>
      <c r="O789" t="s">
        <v>74</v>
      </c>
      <c r="P789" t="s">
        <v>74</v>
      </c>
      <c r="Q789" t="s">
        <v>74</v>
      </c>
      <c r="R789" t="s">
        <v>74</v>
      </c>
      <c r="S789" t="s">
        <v>74</v>
      </c>
      <c r="T789" t="s">
        <v>15287</v>
      </c>
      <c r="U789" t="s">
        <v>15288</v>
      </c>
      <c r="V789" t="s">
        <v>15289</v>
      </c>
      <c r="W789" t="s">
        <v>15290</v>
      </c>
      <c r="X789" t="s">
        <v>15291</v>
      </c>
      <c r="Y789" t="s">
        <v>15292</v>
      </c>
      <c r="Z789" t="s">
        <v>15293</v>
      </c>
      <c r="AA789" t="s">
        <v>74</v>
      </c>
      <c r="AB789" t="s">
        <v>74</v>
      </c>
      <c r="AC789" t="s">
        <v>15294</v>
      </c>
      <c r="AD789" t="s">
        <v>15294</v>
      </c>
      <c r="AE789" t="s">
        <v>15295</v>
      </c>
      <c r="AF789" t="s">
        <v>74</v>
      </c>
      <c r="AG789">
        <v>29</v>
      </c>
      <c r="AH789">
        <v>15</v>
      </c>
      <c r="AI789">
        <v>16</v>
      </c>
      <c r="AJ789">
        <v>1</v>
      </c>
      <c r="AK789">
        <v>7</v>
      </c>
      <c r="AL789" t="s">
        <v>123</v>
      </c>
      <c r="AM789" t="s">
        <v>124</v>
      </c>
      <c r="AN789" t="s">
        <v>125</v>
      </c>
      <c r="AO789" t="s">
        <v>1609</v>
      </c>
      <c r="AP789" t="s">
        <v>1610</v>
      </c>
      <c r="AQ789" t="s">
        <v>74</v>
      </c>
      <c r="AR789" t="s">
        <v>1611</v>
      </c>
      <c r="AS789" t="s">
        <v>1612</v>
      </c>
      <c r="AT789" t="s">
        <v>15296</v>
      </c>
      <c r="AU789">
        <v>2018</v>
      </c>
      <c r="AV789">
        <v>50</v>
      </c>
      <c r="AW789">
        <v>1</v>
      </c>
      <c r="AX789" t="s">
        <v>74</v>
      </c>
      <c r="AY789" t="s">
        <v>74</v>
      </c>
      <c r="AZ789" t="s">
        <v>74</v>
      </c>
      <c r="BA789" t="s">
        <v>74</v>
      </c>
      <c r="BB789" t="s">
        <v>74</v>
      </c>
      <c r="BC789" t="s">
        <v>74</v>
      </c>
      <c r="BD789" t="s">
        <v>15297</v>
      </c>
      <c r="BE789" t="s">
        <v>15298</v>
      </c>
      <c r="BF789" t="str">
        <f>HYPERLINK("http://dx.doi.org/10.1080/15230430.2017.1415626","http://dx.doi.org/10.1080/15230430.2017.1415626")</f>
        <v>http://dx.doi.org/10.1080/15230430.2017.1415626</v>
      </c>
      <c r="BG789" t="s">
        <v>74</v>
      </c>
      <c r="BH789" t="s">
        <v>74</v>
      </c>
      <c r="BI789">
        <v>9</v>
      </c>
      <c r="BJ789" t="s">
        <v>1616</v>
      </c>
      <c r="BK789" t="s">
        <v>101</v>
      </c>
      <c r="BL789" t="s">
        <v>1617</v>
      </c>
      <c r="BM789" t="s">
        <v>15299</v>
      </c>
      <c r="BN789" t="s">
        <v>74</v>
      </c>
      <c r="BO789" t="s">
        <v>133</v>
      </c>
      <c r="BP789" t="s">
        <v>74</v>
      </c>
      <c r="BQ789" t="s">
        <v>74</v>
      </c>
      <c r="BR789" t="s">
        <v>105</v>
      </c>
      <c r="BS789" t="s">
        <v>15300</v>
      </c>
      <c r="BT789" t="str">
        <f>HYPERLINK("https%3A%2F%2Fwww.webofscience.com%2Fwos%2Fwoscc%2Ffull-record%2FWOS:000438727400001","View Full Record in Web of Science")</f>
        <v>View Full Record in Web of Science</v>
      </c>
    </row>
    <row r="790" spans="1:72" x14ac:dyDescent="0.15">
      <c r="A790" t="s">
        <v>72</v>
      </c>
      <c r="B790" t="s">
        <v>15301</v>
      </c>
      <c r="C790" t="s">
        <v>74</v>
      </c>
      <c r="D790" t="s">
        <v>74</v>
      </c>
      <c r="E790" t="s">
        <v>74</v>
      </c>
      <c r="F790" t="s">
        <v>15302</v>
      </c>
      <c r="G790" t="s">
        <v>74</v>
      </c>
      <c r="H790" t="s">
        <v>74</v>
      </c>
      <c r="I790" t="s">
        <v>15303</v>
      </c>
      <c r="J790" t="s">
        <v>1938</v>
      </c>
      <c r="K790" t="s">
        <v>74</v>
      </c>
      <c r="L790" t="s">
        <v>74</v>
      </c>
      <c r="M790" t="s">
        <v>78</v>
      </c>
      <c r="N790" t="s">
        <v>79</v>
      </c>
      <c r="O790" t="s">
        <v>74</v>
      </c>
      <c r="P790" t="s">
        <v>74</v>
      </c>
      <c r="Q790" t="s">
        <v>74</v>
      </c>
      <c r="R790" t="s">
        <v>74</v>
      </c>
      <c r="S790" t="s">
        <v>74</v>
      </c>
      <c r="T790" t="s">
        <v>74</v>
      </c>
      <c r="U790" t="s">
        <v>15304</v>
      </c>
      <c r="V790" t="s">
        <v>15305</v>
      </c>
      <c r="W790" t="s">
        <v>15306</v>
      </c>
      <c r="X790" t="s">
        <v>15307</v>
      </c>
      <c r="Y790" t="s">
        <v>15308</v>
      </c>
      <c r="Z790" t="s">
        <v>15309</v>
      </c>
      <c r="AA790" t="s">
        <v>15310</v>
      </c>
      <c r="AB790" t="s">
        <v>15311</v>
      </c>
      <c r="AC790" t="s">
        <v>15312</v>
      </c>
      <c r="AD790" t="s">
        <v>15313</v>
      </c>
      <c r="AE790" t="s">
        <v>15314</v>
      </c>
      <c r="AF790" t="s">
        <v>74</v>
      </c>
      <c r="AG790">
        <v>48</v>
      </c>
      <c r="AH790">
        <v>10</v>
      </c>
      <c r="AI790">
        <v>10</v>
      </c>
      <c r="AJ790">
        <v>0</v>
      </c>
      <c r="AK790">
        <v>19</v>
      </c>
      <c r="AL790" t="s">
        <v>574</v>
      </c>
      <c r="AM790" t="s">
        <v>575</v>
      </c>
      <c r="AN790" t="s">
        <v>576</v>
      </c>
      <c r="AO790" t="s">
        <v>1951</v>
      </c>
      <c r="AP790" t="s">
        <v>1952</v>
      </c>
      <c r="AQ790" t="s">
        <v>74</v>
      </c>
      <c r="AR790" t="s">
        <v>1953</v>
      </c>
      <c r="AS790" t="s">
        <v>1954</v>
      </c>
      <c r="AT790" t="s">
        <v>15296</v>
      </c>
      <c r="AU790">
        <v>2018</v>
      </c>
      <c r="AV790">
        <v>123</v>
      </c>
      <c r="AW790">
        <v>4</v>
      </c>
      <c r="AX790" t="s">
        <v>74</v>
      </c>
      <c r="AY790" t="s">
        <v>74</v>
      </c>
      <c r="AZ790" t="s">
        <v>74</v>
      </c>
      <c r="BA790" t="s">
        <v>74</v>
      </c>
      <c r="BB790">
        <v>2098</v>
      </c>
      <c r="BC790">
        <v>2110</v>
      </c>
      <c r="BD790" t="s">
        <v>74</v>
      </c>
      <c r="BE790" t="s">
        <v>15315</v>
      </c>
      <c r="BF790" t="str">
        <f>HYPERLINK("http://dx.doi.org/10.1002/2017JD027562","http://dx.doi.org/10.1002/2017JD027562")</f>
        <v>http://dx.doi.org/10.1002/2017JD027562</v>
      </c>
      <c r="BG790" t="s">
        <v>74</v>
      </c>
      <c r="BH790" t="s">
        <v>74</v>
      </c>
      <c r="BI790">
        <v>13</v>
      </c>
      <c r="BJ790" t="s">
        <v>131</v>
      </c>
      <c r="BK790" t="s">
        <v>101</v>
      </c>
      <c r="BL790" t="s">
        <v>131</v>
      </c>
      <c r="BM790" t="s">
        <v>15316</v>
      </c>
      <c r="BN790" t="s">
        <v>74</v>
      </c>
      <c r="BO790" t="s">
        <v>980</v>
      </c>
      <c r="BP790" t="s">
        <v>74</v>
      </c>
      <c r="BQ790" t="s">
        <v>74</v>
      </c>
      <c r="BR790" t="s">
        <v>105</v>
      </c>
      <c r="BS790" t="s">
        <v>15317</v>
      </c>
      <c r="BT790" t="str">
        <f>HYPERLINK("https%3A%2F%2Fwww.webofscience.com%2Fwos%2Fwoscc%2Ffull-record%2FWOS:000427774500013","View Full Record in Web of Science")</f>
        <v>View Full Record in Web of Science</v>
      </c>
    </row>
    <row r="791" spans="1:72" x14ac:dyDescent="0.15">
      <c r="A791" t="s">
        <v>72</v>
      </c>
      <c r="B791" t="s">
        <v>15318</v>
      </c>
      <c r="C791" t="s">
        <v>74</v>
      </c>
      <c r="D791" t="s">
        <v>74</v>
      </c>
      <c r="E791" t="s">
        <v>74</v>
      </c>
      <c r="F791" t="s">
        <v>15319</v>
      </c>
      <c r="G791" t="s">
        <v>74</v>
      </c>
      <c r="H791" t="s">
        <v>74</v>
      </c>
      <c r="I791" t="s">
        <v>15320</v>
      </c>
      <c r="J791" t="s">
        <v>10761</v>
      </c>
      <c r="K791" t="s">
        <v>74</v>
      </c>
      <c r="L791" t="s">
        <v>74</v>
      </c>
      <c r="M791" t="s">
        <v>78</v>
      </c>
      <c r="N791" t="s">
        <v>79</v>
      </c>
      <c r="O791" t="s">
        <v>74</v>
      </c>
      <c r="P791" t="s">
        <v>74</v>
      </c>
      <c r="Q791" t="s">
        <v>74</v>
      </c>
      <c r="R791" t="s">
        <v>74</v>
      </c>
      <c r="S791" t="s">
        <v>74</v>
      </c>
      <c r="T791" t="s">
        <v>15321</v>
      </c>
      <c r="U791" t="s">
        <v>15322</v>
      </c>
      <c r="V791" t="s">
        <v>15323</v>
      </c>
      <c r="W791" t="s">
        <v>15324</v>
      </c>
      <c r="X791" t="s">
        <v>15325</v>
      </c>
      <c r="Y791" t="s">
        <v>15326</v>
      </c>
      <c r="Z791" t="s">
        <v>15327</v>
      </c>
      <c r="AA791" t="s">
        <v>15328</v>
      </c>
      <c r="AB791" t="s">
        <v>15329</v>
      </c>
      <c r="AC791" t="s">
        <v>15330</v>
      </c>
      <c r="AD791" t="s">
        <v>15331</v>
      </c>
      <c r="AE791" t="s">
        <v>15332</v>
      </c>
      <c r="AF791" t="s">
        <v>74</v>
      </c>
      <c r="AG791">
        <v>36</v>
      </c>
      <c r="AH791">
        <v>6</v>
      </c>
      <c r="AI791">
        <v>7</v>
      </c>
      <c r="AJ791">
        <v>1</v>
      </c>
      <c r="AK791">
        <v>2</v>
      </c>
      <c r="AL791" t="s">
        <v>1563</v>
      </c>
      <c r="AM791" t="s">
        <v>1564</v>
      </c>
      <c r="AN791" t="s">
        <v>1565</v>
      </c>
      <c r="AO791" t="s">
        <v>10774</v>
      </c>
      <c r="AP791" t="s">
        <v>10775</v>
      </c>
      <c r="AQ791" t="s">
        <v>74</v>
      </c>
      <c r="AR791" t="s">
        <v>10776</v>
      </c>
      <c r="AS791" t="s">
        <v>10777</v>
      </c>
      <c r="AT791" t="s">
        <v>15296</v>
      </c>
      <c r="AU791">
        <v>2018</v>
      </c>
      <c r="AV791">
        <v>36</v>
      </c>
      <c r="AW791">
        <v>1</v>
      </c>
      <c r="AX791" t="s">
        <v>74</v>
      </c>
      <c r="AY791" t="s">
        <v>74</v>
      </c>
      <c r="AZ791" t="s">
        <v>74</v>
      </c>
      <c r="BA791" t="s">
        <v>74</v>
      </c>
      <c r="BB791">
        <v>253</v>
      </c>
      <c r="BC791">
        <v>264</v>
      </c>
      <c r="BD791" t="s">
        <v>74</v>
      </c>
      <c r="BE791" t="s">
        <v>15333</v>
      </c>
      <c r="BF791" t="str">
        <f>HYPERLINK("http://dx.doi.org/10.5194/angeo-36-253-2018","http://dx.doi.org/10.5194/angeo-36-253-2018")</f>
        <v>http://dx.doi.org/10.5194/angeo-36-253-2018</v>
      </c>
      <c r="BG791" t="s">
        <v>74</v>
      </c>
      <c r="BH791" t="s">
        <v>74</v>
      </c>
      <c r="BI791">
        <v>12</v>
      </c>
      <c r="BJ791" t="s">
        <v>10780</v>
      </c>
      <c r="BK791" t="s">
        <v>101</v>
      </c>
      <c r="BL791" t="s">
        <v>10781</v>
      </c>
      <c r="BM791" t="s">
        <v>15334</v>
      </c>
      <c r="BN791" t="s">
        <v>74</v>
      </c>
      <c r="BO791" t="s">
        <v>830</v>
      </c>
      <c r="BP791" t="s">
        <v>74</v>
      </c>
      <c r="BQ791" t="s">
        <v>74</v>
      </c>
      <c r="BR791" t="s">
        <v>105</v>
      </c>
      <c r="BS791" t="s">
        <v>15335</v>
      </c>
      <c r="BT791" t="str">
        <f>HYPERLINK("https%3A%2F%2Fwww.webofscience.com%2Fwos%2Fwoscc%2Ffull-record%2FWOS:000426209600001","View Full Record in Web of Science")</f>
        <v>View Full Record in Web of Science</v>
      </c>
    </row>
    <row r="792" spans="1:72" x14ac:dyDescent="0.15">
      <c r="A792" t="s">
        <v>72</v>
      </c>
      <c r="B792" t="s">
        <v>15336</v>
      </c>
      <c r="C792" t="s">
        <v>74</v>
      </c>
      <c r="D792" t="s">
        <v>74</v>
      </c>
      <c r="E792" t="s">
        <v>74</v>
      </c>
      <c r="F792" t="s">
        <v>15337</v>
      </c>
      <c r="G792" t="s">
        <v>74</v>
      </c>
      <c r="H792" t="s">
        <v>74</v>
      </c>
      <c r="I792" t="s">
        <v>15338</v>
      </c>
      <c r="J792" t="s">
        <v>1623</v>
      </c>
      <c r="K792" t="s">
        <v>74</v>
      </c>
      <c r="L792" t="s">
        <v>74</v>
      </c>
      <c r="M792" t="s">
        <v>78</v>
      </c>
      <c r="N792" t="s">
        <v>79</v>
      </c>
      <c r="O792" t="s">
        <v>74</v>
      </c>
      <c r="P792" t="s">
        <v>74</v>
      </c>
      <c r="Q792" t="s">
        <v>74</v>
      </c>
      <c r="R792" t="s">
        <v>74</v>
      </c>
      <c r="S792" t="s">
        <v>74</v>
      </c>
      <c r="T792" t="s">
        <v>15339</v>
      </c>
      <c r="U792" t="s">
        <v>15340</v>
      </c>
      <c r="V792" t="s">
        <v>15341</v>
      </c>
      <c r="W792" t="s">
        <v>15342</v>
      </c>
      <c r="X792" t="s">
        <v>15343</v>
      </c>
      <c r="Y792" t="s">
        <v>15344</v>
      </c>
      <c r="Z792" t="s">
        <v>15345</v>
      </c>
      <c r="AA792" t="s">
        <v>15346</v>
      </c>
      <c r="AB792" t="s">
        <v>15347</v>
      </c>
      <c r="AC792" t="s">
        <v>15348</v>
      </c>
      <c r="AD792" t="s">
        <v>15349</v>
      </c>
      <c r="AE792" t="s">
        <v>15350</v>
      </c>
      <c r="AF792" t="s">
        <v>74</v>
      </c>
      <c r="AG792">
        <v>52</v>
      </c>
      <c r="AH792">
        <v>5</v>
      </c>
      <c r="AI792">
        <v>5</v>
      </c>
      <c r="AJ792">
        <v>4</v>
      </c>
      <c r="AK792">
        <v>22</v>
      </c>
      <c r="AL792" t="s">
        <v>1636</v>
      </c>
      <c r="AM792" t="s">
        <v>1637</v>
      </c>
      <c r="AN792" t="s">
        <v>1638</v>
      </c>
      <c r="AO792" t="s">
        <v>1639</v>
      </c>
      <c r="AP792" t="s">
        <v>1640</v>
      </c>
      <c r="AQ792" t="s">
        <v>74</v>
      </c>
      <c r="AR792" t="s">
        <v>1641</v>
      </c>
      <c r="AS792" t="s">
        <v>1642</v>
      </c>
      <c r="AT792" t="s">
        <v>15296</v>
      </c>
      <c r="AU792">
        <v>2018</v>
      </c>
      <c r="AV792">
        <v>37</v>
      </c>
      <c r="AW792" t="s">
        <v>74</v>
      </c>
      <c r="AX792" t="s">
        <v>74</v>
      </c>
      <c r="AY792" t="s">
        <v>74</v>
      </c>
      <c r="AZ792" t="s">
        <v>74</v>
      </c>
      <c r="BA792" t="s">
        <v>74</v>
      </c>
      <c r="BB792" t="s">
        <v>74</v>
      </c>
      <c r="BC792" t="s">
        <v>74</v>
      </c>
      <c r="BD792">
        <v>1435107</v>
      </c>
      <c r="BE792" t="s">
        <v>15351</v>
      </c>
      <c r="BF792" t="str">
        <f>HYPERLINK("http://dx.doi.org/10.1080/17518369.2018.1435107","http://dx.doi.org/10.1080/17518369.2018.1435107")</f>
        <v>http://dx.doi.org/10.1080/17518369.2018.1435107</v>
      </c>
      <c r="BG792" t="s">
        <v>74</v>
      </c>
      <c r="BH792" t="s">
        <v>74</v>
      </c>
      <c r="BI792">
        <v>7</v>
      </c>
      <c r="BJ792" t="s">
        <v>1644</v>
      </c>
      <c r="BK792" t="s">
        <v>101</v>
      </c>
      <c r="BL792" t="s">
        <v>1645</v>
      </c>
      <c r="BM792" t="s">
        <v>15352</v>
      </c>
      <c r="BN792" t="s">
        <v>74</v>
      </c>
      <c r="BO792" t="s">
        <v>133</v>
      </c>
      <c r="BP792" t="s">
        <v>74</v>
      </c>
      <c r="BQ792" t="s">
        <v>74</v>
      </c>
      <c r="BR792" t="s">
        <v>105</v>
      </c>
      <c r="BS792" t="s">
        <v>15353</v>
      </c>
      <c r="BT792" t="str">
        <f>HYPERLINK("https%3A%2F%2Fwww.webofscience.com%2Fwos%2Fwoscc%2Ffull-record%2FWOS:000426148800001","View Full Record in Web of Science")</f>
        <v>View Full Record in Web of Science</v>
      </c>
    </row>
    <row r="793" spans="1:72" x14ac:dyDescent="0.15">
      <c r="A793" t="s">
        <v>72</v>
      </c>
      <c r="B793" t="s">
        <v>15354</v>
      </c>
      <c r="C793" t="s">
        <v>74</v>
      </c>
      <c r="D793" t="s">
        <v>74</v>
      </c>
      <c r="E793" t="s">
        <v>74</v>
      </c>
      <c r="F793" t="s">
        <v>15355</v>
      </c>
      <c r="G793" t="s">
        <v>74</v>
      </c>
      <c r="H793" t="s">
        <v>74</v>
      </c>
      <c r="I793" t="s">
        <v>15356</v>
      </c>
      <c r="J793" t="s">
        <v>1724</v>
      </c>
      <c r="K793" t="s">
        <v>74</v>
      </c>
      <c r="L793" t="s">
        <v>74</v>
      </c>
      <c r="M793" t="s">
        <v>78</v>
      </c>
      <c r="N793" t="s">
        <v>79</v>
      </c>
      <c r="O793" t="s">
        <v>74</v>
      </c>
      <c r="P793" t="s">
        <v>74</v>
      </c>
      <c r="Q793" t="s">
        <v>74</v>
      </c>
      <c r="R793" t="s">
        <v>74</v>
      </c>
      <c r="S793" t="s">
        <v>74</v>
      </c>
      <c r="T793" t="s">
        <v>15357</v>
      </c>
      <c r="U793" t="s">
        <v>15358</v>
      </c>
      <c r="V793" t="s">
        <v>15359</v>
      </c>
      <c r="W793" t="s">
        <v>15360</v>
      </c>
      <c r="X793" t="s">
        <v>15361</v>
      </c>
      <c r="Y793" t="s">
        <v>15362</v>
      </c>
      <c r="Z793" t="s">
        <v>15363</v>
      </c>
      <c r="AA793" t="s">
        <v>15364</v>
      </c>
      <c r="AB793" t="s">
        <v>15365</v>
      </c>
      <c r="AC793" t="s">
        <v>15366</v>
      </c>
      <c r="AD793" t="s">
        <v>15367</v>
      </c>
      <c r="AE793" t="s">
        <v>15368</v>
      </c>
      <c r="AF793" t="s">
        <v>74</v>
      </c>
      <c r="AG793">
        <v>61</v>
      </c>
      <c r="AH793">
        <v>18</v>
      </c>
      <c r="AI793">
        <v>24</v>
      </c>
      <c r="AJ793">
        <v>1</v>
      </c>
      <c r="AK793">
        <v>23</v>
      </c>
      <c r="AL793" t="s">
        <v>1734</v>
      </c>
      <c r="AM793" t="s">
        <v>575</v>
      </c>
      <c r="AN793" t="s">
        <v>1735</v>
      </c>
      <c r="AO793" t="s">
        <v>1736</v>
      </c>
      <c r="AP793" t="s">
        <v>74</v>
      </c>
      <c r="AQ793" t="s">
        <v>74</v>
      </c>
      <c r="AR793" t="s">
        <v>1738</v>
      </c>
      <c r="AS793" t="s">
        <v>1739</v>
      </c>
      <c r="AT793" t="s">
        <v>15296</v>
      </c>
      <c r="AU793">
        <v>2018</v>
      </c>
      <c r="AV793">
        <v>115</v>
      </c>
      <c r="AW793">
        <v>9</v>
      </c>
      <c r="AX793" t="s">
        <v>74</v>
      </c>
      <c r="AY793" t="s">
        <v>74</v>
      </c>
      <c r="AZ793" t="s">
        <v>74</v>
      </c>
      <c r="BA793" t="s">
        <v>74</v>
      </c>
      <c r="BB793">
        <v>2026</v>
      </c>
      <c r="BC793">
        <v>2031</v>
      </c>
      <c r="BD793" t="s">
        <v>74</v>
      </c>
      <c r="BE793" t="s">
        <v>15369</v>
      </c>
      <c r="BF793" t="str">
        <f>HYPERLINK("http://dx.doi.org/10.1073/pnas.1708174115","http://dx.doi.org/10.1073/pnas.1708174115")</f>
        <v>http://dx.doi.org/10.1073/pnas.1708174115</v>
      </c>
      <c r="BG793" t="s">
        <v>74</v>
      </c>
      <c r="BH793" t="s">
        <v>74</v>
      </c>
      <c r="BI793">
        <v>6</v>
      </c>
      <c r="BJ793" t="s">
        <v>1670</v>
      </c>
      <c r="BK793" t="s">
        <v>101</v>
      </c>
      <c r="BL793" t="s">
        <v>1671</v>
      </c>
      <c r="BM793" t="s">
        <v>15370</v>
      </c>
      <c r="BN793">
        <v>29440407</v>
      </c>
      <c r="BO793" t="s">
        <v>2416</v>
      </c>
      <c r="BP793" t="s">
        <v>74</v>
      </c>
      <c r="BQ793" t="s">
        <v>74</v>
      </c>
      <c r="BR793" t="s">
        <v>105</v>
      </c>
      <c r="BS793" t="s">
        <v>15371</v>
      </c>
      <c r="BT793" t="str">
        <f>HYPERLINK("https%3A%2F%2Fwww.webofscience.com%2Fwos%2Fwoscc%2Ffull-record%2FWOS:000426152500047","View Full Record in Web of Science")</f>
        <v>View Full Record in Web of Science</v>
      </c>
    </row>
    <row r="794" spans="1:72" x14ac:dyDescent="0.15">
      <c r="A794" t="s">
        <v>72</v>
      </c>
      <c r="B794" t="s">
        <v>15372</v>
      </c>
      <c r="C794" t="s">
        <v>74</v>
      </c>
      <c r="D794" t="s">
        <v>74</v>
      </c>
      <c r="E794" t="s">
        <v>74</v>
      </c>
      <c r="F794" t="s">
        <v>15373</v>
      </c>
      <c r="G794" t="s">
        <v>74</v>
      </c>
      <c r="H794" t="s">
        <v>74</v>
      </c>
      <c r="I794" t="s">
        <v>15374</v>
      </c>
      <c r="J794" t="s">
        <v>1651</v>
      </c>
      <c r="K794" t="s">
        <v>74</v>
      </c>
      <c r="L794" t="s">
        <v>74</v>
      </c>
      <c r="M794" t="s">
        <v>78</v>
      </c>
      <c r="N794" t="s">
        <v>79</v>
      </c>
      <c r="O794" t="s">
        <v>74</v>
      </c>
      <c r="P794" t="s">
        <v>74</v>
      </c>
      <c r="Q794" t="s">
        <v>74</v>
      </c>
      <c r="R794" t="s">
        <v>74</v>
      </c>
      <c r="S794" t="s">
        <v>74</v>
      </c>
      <c r="T794" t="s">
        <v>74</v>
      </c>
      <c r="U794" t="s">
        <v>15375</v>
      </c>
      <c r="V794" t="s">
        <v>15376</v>
      </c>
      <c r="W794" t="s">
        <v>15377</v>
      </c>
      <c r="X794" t="s">
        <v>15378</v>
      </c>
      <c r="Y794" t="s">
        <v>15379</v>
      </c>
      <c r="Z794" t="s">
        <v>15380</v>
      </c>
      <c r="AA794" t="s">
        <v>15381</v>
      </c>
      <c r="AB794" t="s">
        <v>15382</v>
      </c>
      <c r="AC794" t="s">
        <v>15383</v>
      </c>
      <c r="AD794" t="s">
        <v>15384</v>
      </c>
      <c r="AE794" t="s">
        <v>15385</v>
      </c>
      <c r="AF794" t="s">
        <v>74</v>
      </c>
      <c r="AG794">
        <v>56</v>
      </c>
      <c r="AH794">
        <v>15</v>
      </c>
      <c r="AI794">
        <v>17</v>
      </c>
      <c r="AJ794">
        <v>1</v>
      </c>
      <c r="AK794">
        <v>23</v>
      </c>
      <c r="AL794" t="s">
        <v>1663</v>
      </c>
      <c r="AM794" t="s">
        <v>1664</v>
      </c>
      <c r="AN794" t="s">
        <v>1665</v>
      </c>
      <c r="AO794" t="s">
        <v>1666</v>
      </c>
      <c r="AP794" t="s">
        <v>74</v>
      </c>
      <c r="AQ794" t="s">
        <v>74</v>
      </c>
      <c r="AR794" t="s">
        <v>1667</v>
      </c>
      <c r="AS794" t="s">
        <v>1668</v>
      </c>
      <c r="AT794" t="s">
        <v>15296</v>
      </c>
      <c r="AU794">
        <v>2018</v>
      </c>
      <c r="AV794">
        <v>8</v>
      </c>
      <c r="AW794" t="s">
        <v>74</v>
      </c>
      <c r="AX794" t="s">
        <v>74</v>
      </c>
      <c r="AY794" t="s">
        <v>74</v>
      </c>
      <c r="AZ794" t="s">
        <v>74</v>
      </c>
      <c r="BA794" t="s">
        <v>74</v>
      </c>
      <c r="BB794" t="s">
        <v>74</v>
      </c>
      <c r="BC794" t="s">
        <v>74</v>
      </c>
      <c r="BD794">
        <v>3716</v>
      </c>
      <c r="BE794" t="s">
        <v>15386</v>
      </c>
      <c r="BF794" t="str">
        <f>HYPERLINK("http://dx.doi.org/10.1038/s41598-018-21881-1","http://dx.doi.org/10.1038/s41598-018-21881-1")</f>
        <v>http://dx.doi.org/10.1038/s41598-018-21881-1</v>
      </c>
      <c r="BG794" t="s">
        <v>74</v>
      </c>
      <c r="BH794" t="s">
        <v>74</v>
      </c>
      <c r="BI794">
        <v>11</v>
      </c>
      <c r="BJ794" t="s">
        <v>1670</v>
      </c>
      <c r="BK794" t="s">
        <v>101</v>
      </c>
      <c r="BL794" t="s">
        <v>1671</v>
      </c>
      <c r="BM794" t="s">
        <v>15387</v>
      </c>
      <c r="BN794">
        <v>29487308</v>
      </c>
      <c r="BO794" t="s">
        <v>764</v>
      </c>
      <c r="BP794" t="s">
        <v>74</v>
      </c>
      <c r="BQ794" t="s">
        <v>74</v>
      </c>
      <c r="BR794" t="s">
        <v>105</v>
      </c>
      <c r="BS794" t="s">
        <v>15388</v>
      </c>
      <c r="BT794" t="str">
        <f>HYPERLINK("https%3A%2F%2Fwww.webofscience.com%2Fwos%2Fwoscc%2Ffull-record%2FWOS:000426151800049","View Full Record in Web of Science")</f>
        <v>View Full Record in Web of Science</v>
      </c>
    </row>
    <row r="795" spans="1:72" x14ac:dyDescent="0.15">
      <c r="A795" t="s">
        <v>72</v>
      </c>
      <c r="B795" t="s">
        <v>15389</v>
      </c>
      <c r="C795" t="s">
        <v>74</v>
      </c>
      <c r="D795" t="s">
        <v>74</v>
      </c>
      <c r="E795" t="s">
        <v>74</v>
      </c>
      <c r="F795" t="s">
        <v>15390</v>
      </c>
      <c r="G795" t="s">
        <v>74</v>
      </c>
      <c r="H795" t="s">
        <v>74</v>
      </c>
      <c r="I795" t="s">
        <v>15391</v>
      </c>
      <c r="J795" t="s">
        <v>1938</v>
      </c>
      <c r="K795" t="s">
        <v>74</v>
      </c>
      <c r="L795" t="s">
        <v>74</v>
      </c>
      <c r="M795" t="s">
        <v>78</v>
      </c>
      <c r="N795" t="s">
        <v>79</v>
      </c>
      <c r="O795" t="s">
        <v>74</v>
      </c>
      <c r="P795" t="s">
        <v>74</v>
      </c>
      <c r="Q795" t="s">
        <v>74</v>
      </c>
      <c r="R795" t="s">
        <v>74</v>
      </c>
      <c r="S795" t="s">
        <v>74</v>
      </c>
      <c r="T795" t="s">
        <v>74</v>
      </c>
      <c r="U795" t="s">
        <v>15392</v>
      </c>
      <c r="V795" t="s">
        <v>15393</v>
      </c>
      <c r="W795" t="s">
        <v>15394</v>
      </c>
      <c r="X795" t="s">
        <v>15395</v>
      </c>
      <c r="Y795" t="s">
        <v>15396</v>
      </c>
      <c r="Z795" t="s">
        <v>15397</v>
      </c>
      <c r="AA795" t="s">
        <v>15398</v>
      </c>
      <c r="AB795" t="s">
        <v>15399</v>
      </c>
      <c r="AC795" t="s">
        <v>15400</v>
      </c>
      <c r="AD795" t="s">
        <v>15401</v>
      </c>
      <c r="AE795" t="s">
        <v>15402</v>
      </c>
      <c r="AF795" t="s">
        <v>74</v>
      </c>
      <c r="AG795">
        <v>68</v>
      </c>
      <c r="AH795">
        <v>65</v>
      </c>
      <c r="AI795">
        <v>72</v>
      </c>
      <c r="AJ795">
        <v>2</v>
      </c>
      <c r="AK795">
        <v>29</v>
      </c>
      <c r="AL795" t="s">
        <v>574</v>
      </c>
      <c r="AM795" t="s">
        <v>575</v>
      </c>
      <c r="AN795" t="s">
        <v>576</v>
      </c>
      <c r="AO795" t="s">
        <v>1951</v>
      </c>
      <c r="AP795" t="s">
        <v>1952</v>
      </c>
      <c r="AQ795" t="s">
        <v>74</v>
      </c>
      <c r="AR795" t="s">
        <v>1953</v>
      </c>
      <c r="AS795" t="s">
        <v>1954</v>
      </c>
      <c r="AT795" t="s">
        <v>15296</v>
      </c>
      <c r="AU795">
        <v>2018</v>
      </c>
      <c r="AV795">
        <v>123</v>
      </c>
      <c r="AW795">
        <v>4</v>
      </c>
      <c r="AX795" t="s">
        <v>74</v>
      </c>
      <c r="AY795" t="s">
        <v>74</v>
      </c>
      <c r="AZ795" t="s">
        <v>74</v>
      </c>
      <c r="BA795" t="s">
        <v>74</v>
      </c>
      <c r="BB795">
        <v>2175</v>
      </c>
      <c r="BC795">
        <v>2193</v>
      </c>
      <c r="BD795" t="s">
        <v>74</v>
      </c>
      <c r="BE795" t="s">
        <v>15403</v>
      </c>
      <c r="BF795" t="str">
        <f>HYPERLINK("http://dx.doi.org/10.1002/2017JD027560","http://dx.doi.org/10.1002/2017JD027560")</f>
        <v>http://dx.doi.org/10.1002/2017JD027560</v>
      </c>
      <c r="BG795" t="s">
        <v>74</v>
      </c>
      <c r="BH795" t="s">
        <v>74</v>
      </c>
      <c r="BI795">
        <v>19</v>
      </c>
      <c r="BJ795" t="s">
        <v>131</v>
      </c>
      <c r="BK795" t="s">
        <v>101</v>
      </c>
      <c r="BL795" t="s">
        <v>131</v>
      </c>
      <c r="BM795" t="s">
        <v>15316</v>
      </c>
      <c r="BN795" t="s">
        <v>74</v>
      </c>
      <c r="BO795" t="s">
        <v>8485</v>
      </c>
      <c r="BP795" t="s">
        <v>74</v>
      </c>
      <c r="BQ795" t="s">
        <v>74</v>
      </c>
      <c r="BR795" t="s">
        <v>105</v>
      </c>
      <c r="BS795" t="s">
        <v>15404</v>
      </c>
      <c r="BT795" t="str">
        <f>HYPERLINK("https%3A%2F%2Fwww.webofscience.com%2Fwos%2Fwoscc%2Ffull-record%2FWOS:000427774500017","View Full Record in Web of Science")</f>
        <v>View Full Record in Web of Science</v>
      </c>
    </row>
    <row r="796" spans="1:72" x14ac:dyDescent="0.15">
      <c r="A796" t="s">
        <v>72</v>
      </c>
      <c r="B796" t="s">
        <v>15405</v>
      </c>
      <c r="C796" t="s">
        <v>74</v>
      </c>
      <c r="D796" t="s">
        <v>74</v>
      </c>
      <c r="E796" t="s">
        <v>74</v>
      </c>
      <c r="F796" t="s">
        <v>15406</v>
      </c>
      <c r="G796" t="s">
        <v>74</v>
      </c>
      <c r="H796" t="s">
        <v>74</v>
      </c>
      <c r="I796" t="s">
        <v>15407</v>
      </c>
      <c r="J796" t="s">
        <v>15408</v>
      </c>
      <c r="K796" t="s">
        <v>74</v>
      </c>
      <c r="L796" t="s">
        <v>74</v>
      </c>
      <c r="M796" t="s">
        <v>78</v>
      </c>
      <c r="N796" t="s">
        <v>79</v>
      </c>
      <c r="O796" t="s">
        <v>74</v>
      </c>
      <c r="P796" t="s">
        <v>74</v>
      </c>
      <c r="Q796" t="s">
        <v>74</v>
      </c>
      <c r="R796" t="s">
        <v>74</v>
      </c>
      <c r="S796" t="s">
        <v>74</v>
      </c>
      <c r="T796" t="s">
        <v>15409</v>
      </c>
      <c r="U796" t="s">
        <v>74</v>
      </c>
      <c r="V796" t="s">
        <v>15410</v>
      </c>
      <c r="W796" t="s">
        <v>15411</v>
      </c>
      <c r="X796" t="s">
        <v>15412</v>
      </c>
      <c r="Y796" t="s">
        <v>15413</v>
      </c>
      <c r="Z796" t="s">
        <v>15414</v>
      </c>
      <c r="AA796" t="s">
        <v>74</v>
      </c>
      <c r="AB796" t="s">
        <v>15415</v>
      </c>
      <c r="AC796" t="s">
        <v>15416</v>
      </c>
      <c r="AD796" t="s">
        <v>15417</v>
      </c>
      <c r="AE796" t="s">
        <v>15418</v>
      </c>
      <c r="AF796" t="s">
        <v>74</v>
      </c>
      <c r="AG796">
        <v>27</v>
      </c>
      <c r="AH796">
        <v>3</v>
      </c>
      <c r="AI796">
        <v>5</v>
      </c>
      <c r="AJ796">
        <v>1</v>
      </c>
      <c r="AK796">
        <v>9</v>
      </c>
      <c r="AL796" t="s">
        <v>15419</v>
      </c>
      <c r="AM796" t="s">
        <v>15420</v>
      </c>
      <c r="AN796" t="s">
        <v>15421</v>
      </c>
      <c r="AO796" t="s">
        <v>15422</v>
      </c>
      <c r="AP796" t="s">
        <v>15423</v>
      </c>
      <c r="AQ796" t="s">
        <v>74</v>
      </c>
      <c r="AR796" t="s">
        <v>15424</v>
      </c>
      <c r="AS796" t="s">
        <v>15425</v>
      </c>
      <c r="AT796" t="s">
        <v>15426</v>
      </c>
      <c r="AU796">
        <v>2018</v>
      </c>
      <c r="AV796">
        <v>12</v>
      </c>
      <c r="AW796">
        <v>3</v>
      </c>
      <c r="AX796" t="s">
        <v>74</v>
      </c>
      <c r="AY796" t="s">
        <v>74</v>
      </c>
      <c r="AZ796" t="s">
        <v>74</v>
      </c>
      <c r="BA796" t="s">
        <v>74</v>
      </c>
      <c r="BB796">
        <v>342</v>
      </c>
      <c r="BC796">
        <v>350</v>
      </c>
      <c r="BD796" t="s">
        <v>74</v>
      </c>
      <c r="BE796" t="s">
        <v>15427</v>
      </c>
      <c r="BF796" t="str">
        <f>HYPERLINK("http://dx.doi.org/10.1049/iet-rpg.2016.0528","http://dx.doi.org/10.1049/iet-rpg.2016.0528")</f>
        <v>http://dx.doi.org/10.1049/iet-rpg.2016.0528</v>
      </c>
      <c r="BG796" t="s">
        <v>74</v>
      </c>
      <c r="BH796" t="s">
        <v>74</v>
      </c>
      <c r="BI796">
        <v>9</v>
      </c>
      <c r="BJ796" t="s">
        <v>15428</v>
      </c>
      <c r="BK796" t="s">
        <v>101</v>
      </c>
      <c r="BL796" t="s">
        <v>5573</v>
      </c>
      <c r="BM796" t="s">
        <v>15429</v>
      </c>
      <c r="BN796" t="s">
        <v>74</v>
      </c>
      <c r="BO796" t="s">
        <v>288</v>
      </c>
      <c r="BP796" t="s">
        <v>74</v>
      </c>
      <c r="BQ796" t="s">
        <v>74</v>
      </c>
      <c r="BR796" t="s">
        <v>105</v>
      </c>
      <c r="BS796" t="s">
        <v>15430</v>
      </c>
      <c r="BT796" t="str">
        <f>HYPERLINK("https%3A%2F%2Fwww.webofscience.com%2Fwos%2Fwoscc%2Ffull-record%2FWOS:000424501400008","View Full Record in Web of Science")</f>
        <v>View Full Record in Web of Science</v>
      </c>
    </row>
    <row r="797" spans="1:72" x14ac:dyDescent="0.15">
      <c r="A797" t="s">
        <v>72</v>
      </c>
      <c r="B797" t="s">
        <v>15431</v>
      </c>
      <c r="C797" t="s">
        <v>74</v>
      </c>
      <c r="D797" t="s">
        <v>74</v>
      </c>
      <c r="E797" t="s">
        <v>74</v>
      </c>
      <c r="F797" t="s">
        <v>15432</v>
      </c>
      <c r="G797" t="s">
        <v>74</v>
      </c>
      <c r="H797" t="s">
        <v>74</v>
      </c>
      <c r="I797" t="s">
        <v>15433</v>
      </c>
      <c r="J797" t="s">
        <v>6914</v>
      </c>
      <c r="K797" t="s">
        <v>74</v>
      </c>
      <c r="L797" t="s">
        <v>74</v>
      </c>
      <c r="M797" t="s">
        <v>78</v>
      </c>
      <c r="N797" t="s">
        <v>79</v>
      </c>
      <c r="O797" t="s">
        <v>74</v>
      </c>
      <c r="P797" t="s">
        <v>74</v>
      </c>
      <c r="Q797" t="s">
        <v>74</v>
      </c>
      <c r="R797" t="s">
        <v>74</v>
      </c>
      <c r="S797" t="s">
        <v>74</v>
      </c>
      <c r="T797" t="s">
        <v>15434</v>
      </c>
      <c r="U797" t="s">
        <v>15435</v>
      </c>
      <c r="V797" t="s">
        <v>15436</v>
      </c>
      <c r="W797" t="s">
        <v>15437</v>
      </c>
      <c r="X797" t="s">
        <v>15438</v>
      </c>
      <c r="Y797" t="s">
        <v>15439</v>
      </c>
      <c r="Z797" t="s">
        <v>15440</v>
      </c>
      <c r="AA797" t="s">
        <v>15441</v>
      </c>
      <c r="AB797" t="s">
        <v>15442</v>
      </c>
      <c r="AC797" t="s">
        <v>15443</v>
      </c>
      <c r="AD797" t="s">
        <v>15444</v>
      </c>
      <c r="AE797" t="s">
        <v>15445</v>
      </c>
      <c r="AF797" t="s">
        <v>74</v>
      </c>
      <c r="AG797">
        <v>40</v>
      </c>
      <c r="AH797">
        <v>10</v>
      </c>
      <c r="AI797">
        <v>11</v>
      </c>
      <c r="AJ797">
        <v>3</v>
      </c>
      <c r="AK797">
        <v>13</v>
      </c>
      <c r="AL797" t="s">
        <v>151</v>
      </c>
      <c r="AM797" t="s">
        <v>152</v>
      </c>
      <c r="AN797" t="s">
        <v>153</v>
      </c>
      <c r="AO797" t="s">
        <v>6926</v>
      </c>
      <c r="AP797" t="s">
        <v>74</v>
      </c>
      <c r="AQ797" t="s">
        <v>74</v>
      </c>
      <c r="AR797" t="s">
        <v>6927</v>
      </c>
      <c r="AS797" t="s">
        <v>6928</v>
      </c>
      <c r="AT797" t="s">
        <v>15446</v>
      </c>
      <c r="AU797">
        <v>2018</v>
      </c>
      <c r="AV797">
        <v>114</v>
      </c>
      <c r="AW797">
        <v>4</v>
      </c>
      <c r="AX797" t="s">
        <v>74</v>
      </c>
      <c r="AY797" t="s">
        <v>74</v>
      </c>
      <c r="AZ797" t="s">
        <v>74</v>
      </c>
      <c r="BA797" t="s">
        <v>74</v>
      </c>
      <c r="BB797">
        <v>868</v>
      </c>
      <c r="BC797">
        <v>878</v>
      </c>
      <c r="BD797" t="s">
        <v>74</v>
      </c>
      <c r="BE797" t="s">
        <v>15447</v>
      </c>
      <c r="BF797" t="str">
        <f>HYPERLINK("http://dx.doi.org/10.18520/cs/v114/i04/868-878","http://dx.doi.org/10.18520/cs/v114/i04/868-878")</f>
        <v>http://dx.doi.org/10.18520/cs/v114/i04/868-878</v>
      </c>
      <c r="BG797" t="s">
        <v>74</v>
      </c>
      <c r="BH797" t="s">
        <v>74</v>
      </c>
      <c r="BI797">
        <v>11</v>
      </c>
      <c r="BJ797" t="s">
        <v>1670</v>
      </c>
      <c r="BK797" t="s">
        <v>101</v>
      </c>
      <c r="BL797" t="s">
        <v>1671</v>
      </c>
      <c r="BM797" t="s">
        <v>15448</v>
      </c>
      <c r="BN797" t="s">
        <v>74</v>
      </c>
      <c r="BO797" t="s">
        <v>162</v>
      </c>
      <c r="BP797" t="s">
        <v>74</v>
      </c>
      <c r="BQ797" t="s">
        <v>74</v>
      </c>
      <c r="BR797" t="s">
        <v>105</v>
      </c>
      <c r="BS797" t="s">
        <v>15449</v>
      </c>
      <c r="BT797" t="str">
        <f>HYPERLINK("https%3A%2F%2Fwww.webofscience.com%2Fwos%2Fwoscc%2Ffull-record%2FWOS:000425786600041","View Full Record in Web of Science")</f>
        <v>View Full Record in Web of Science</v>
      </c>
    </row>
    <row r="798" spans="1:72" x14ac:dyDescent="0.15">
      <c r="A798" t="s">
        <v>72</v>
      </c>
      <c r="B798" t="s">
        <v>15450</v>
      </c>
      <c r="C798" t="s">
        <v>74</v>
      </c>
      <c r="D798" t="s">
        <v>74</v>
      </c>
      <c r="E798" t="s">
        <v>74</v>
      </c>
      <c r="F798" t="s">
        <v>15451</v>
      </c>
      <c r="G798" t="s">
        <v>74</v>
      </c>
      <c r="H798" t="s">
        <v>74</v>
      </c>
      <c r="I798" t="s">
        <v>15452</v>
      </c>
      <c r="J798" t="s">
        <v>1807</v>
      </c>
      <c r="K798" t="s">
        <v>74</v>
      </c>
      <c r="L798" t="s">
        <v>74</v>
      </c>
      <c r="M798" t="s">
        <v>78</v>
      </c>
      <c r="N798" t="s">
        <v>79</v>
      </c>
      <c r="O798" t="s">
        <v>74</v>
      </c>
      <c r="P798" t="s">
        <v>74</v>
      </c>
      <c r="Q798" t="s">
        <v>74</v>
      </c>
      <c r="R798" t="s">
        <v>74</v>
      </c>
      <c r="S798" t="s">
        <v>74</v>
      </c>
      <c r="T798" t="s">
        <v>15453</v>
      </c>
      <c r="U798" t="s">
        <v>15454</v>
      </c>
      <c r="V798" t="s">
        <v>15455</v>
      </c>
      <c r="W798" t="s">
        <v>15456</v>
      </c>
      <c r="X798" t="s">
        <v>15457</v>
      </c>
      <c r="Y798" t="s">
        <v>15458</v>
      </c>
      <c r="Z798" t="s">
        <v>15459</v>
      </c>
      <c r="AA798" t="s">
        <v>15460</v>
      </c>
      <c r="AB798" t="s">
        <v>15461</v>
      </c>
      <c r="AC798" t="s">
        <v>15462</v>
      </c>
      <c r="AD798" t="s">
        <v>15463</v>
      </c>
      <c r="AE798" t="s">
        <v>15464</v>
      </c>
      <c r="AF798" t="s">
        <v>74</v>
      </c>
      <c r="AG798">
        <v>52</v>
      </c>
      <c r="AH798">
        <v>18</v>
      </c>
      <c r="AI798">
        <v>20</v>
      </c>
      <c r="AJ798">
        <v>1</v>
      </c>
      <c r="AK798">
        <v>56</v>
      </c>
      <c r="AL798" t="s">
        <v>1820</v>
      </c>
      <c r="AM798" t="s">
        <v>1821</v>
      </c>
      <c r="AN798" t="s">
        <v>1822</v>
      </c>
      <c r="AO798" t="s">
        <v>1823</v>
      </c>
      <c r="AP798" t="s">
        <v>1824</v>
      </c>
      <c r="AQ798" t="s">
        <v>74</v>
      </c>
      <c r="AR798" t="s">
        <v>1825</v>
      </c>
      <c r="AS798" t="s">
        <v>1826</v>
      </c>
      <c r="AT798" t="s">
        <v>15465</v>
      </c>
      <c r="AU798">
        <v>2018</v>
      </c>
      <c r="AV798">
        <v>589</v>
      </c>
      <c r="AW798" t="s">
        <v>74</v>
      </c>
      <c r="AX798" t="s">
        <v>74</v>
      </c>
      <c r="AY798" t="s">
        <v>74</v>
      </c>
      <c r="AZ798" t="s">
        <v>74</v>
      </c>
      <c r="BA798" t="s">
        <v>74</v>
      </c>
      <c r="BB798">
        <v>227</v>
      </c>
      <c r="BC798">
        <v>239</v>
      </c>
      <c r="BD798" t="s">
        <v>74</v>
      </c>
      <c r="BE798" t="s">
        <v>15466</v>
      </c>
      <c r="BF798" t="str">
        <f>HYPERLINK("http://dx.doi.org/10.3354/meps12438","http://dx.doi.org/10.3354/meps12438")</f>
        <v>http://dx.doi.org/10.3354/meps12438</v>
      </c>
      <c r="BG798" t="s">
        <v>74</v>
      </c>
      <c r="BH798" t="s">
        <v>74</v>
      </c>
      <c r="BI798">
        <v>13</v>
      </c>
      <c r="BJ798" t="s">
        <v>1828</v>
      </c>
      <c r="BK798" t="s">
        <v>101</v>
      </c>
      <c r="BL798" t="s">
        <v>1829</v>
      </c>
      <c r="BM798" t="s">
        <v>15467</v>
      </c>
      <c r="BN798" t="s">
        <v>74</v>
      </c>
      <c r="BO798" t="s">
        <v>288</v>
      </c>
      <c r="BP798" t="s">
        <v>74</v>
      </c>
      <c r="BQ798" t="s">
        <v>74</v>
      </c>
      <c r="BR798" t="s">
        <v>105</v>
      </c>
      <c r="BS798" t="s">
        <v>15468</v>
      </c>
      <c r="BT798" t="str">
        <f>HYPERLINK("https%3A%2F%2Fwww.webofscience.com%2Fwos%2Fwoscc%2Ffull-record%2FWOS:000426258800017","View Full Record in Web of Science")</f>
        <v>View Full Record in Web of Science</v>
      </c>
    </row>
    <row r="799" spans="1:72" x14ac:dyDescent="0.15">
      <c r="A799" t="s">
        <v>72</v>
      </c>
      <c r="B799" t="s">
        <v>15469</v>
      </c>
      <c r="C799" t="s">
        <v>74</v>
      </c>
      <c r="D799" t="s">
        <v>74</v>
      </c>
      <c r="E799" t="s">
        <v>74</v>
      </c>
      <c r="F799" t="s">
        <v>15470</v>
      </c>
      <c r="G799" t="s">
        <v>74</v>
      </c>
      <c r="H799" t="s">
        <v>74</v>
      </c>
      <c r="I799" t="s">
        <v>15471</v>
      </c>
      <c r="J799" t="s">
        <v>1807</v>
      </c>
      <c r="K799" t="s">
        <v>74</v>
      </c>
      <c r="L799" t="s">
        <v>74</v>
      </c>
      <c r="M799" t="s">
        <v>78</v>
      </c>
      <c r="N799" t="s">
        <v>79</v>
      </c>
      <c r="O799" t="s">
        <v>74</v>
      </c>
      <c r="P799" t="s">
        <v>74</v>
      </c>
      <c r="Q799" t="s">
        <v>74</v>
      </c>
      <c r="R799" t="s">
        <v>74</v>
      </c>
      <c r="S799" t="s">
        <v>74</v>
      </c>
      <c r="T799" t="s">
        <v>15472</v>
      </c>
      <c r="U799" t="s">
        <v>15473</v>
      </c>
      <c r="V799" t="s">
        <v>15474</v>
      </c>
      <c r="W799" t="s">
        <v>15475</v>
      </c>
      <c r="X799" t="s">
        <v>15476</v>
      </c>
      <c r="Y799" t="s">
        <v>15477</v>
      </c>
      <c r="Z799" t="s">
        <v>15478</v>
      </c>
      <c r="AA799" t="s">
        <v>15479</v>
      </c>
      <c r="AB799" t="s">
        <v>15480</v>
      </c>
      <c r="AC799" t="s">
        <v>15481</v>
      </c>
      <c r="AD799" t="s">
        <v>15482</v>
      </c>
      <c r="AE799" t="s">
        <v>15483</v>
      </c>
      <c r="AF799" t="s">
        <v>74</v>
      </c>
      <c r="AG799">
        <v>101</v>
      </c>
      <c r="AH799">
        <v>38</v>
      </c>
      <c r="AI799">
        <v>38</v>
      </c>
      <c r="AJ799">
        <v>0</v>
      </c>
      <c r="AK799">
        <v>45</v>
      </c>
      <c r="AL799" t="s">
        <v>1820</v>
      </c>
      <c r="AM799" t="s">
        <v>1821</v>
      </c>
      <c r="AN799" t="s">
        <v>1822</v>
      </c>
      <c r="AO799" t="s">
        <v>1823</v>
      </c>
      <c r="AP799" t="s">
        <v>1824</v>
      </c>
      <c r="AQ799" t="s">
        <v>74</v>
      </c>
      <c r="AR799" t="s">
        <v>1825</v>
      </c>
      <c r="AS799" t="s">
        <v>1826</v>
      </c>
      <c r="AT799" t="s">
        <v>15465</v>
      </c>
      <c r="AU799">
        <v>2018</v>
      </c>
      <c r="AV799">
        <v>589</v>
      </c>
      <c r="AW799" t="s">
        <v>74</v>
      </c>
      <c r="AX799" t="s">
        <v>74</v>
      </c>
      <c r="AY799" t="s">
        <v>74</v>
      </c>
      <c r="AZ799" t="s">
        <v>74</v>
      </c>
      <c r="BA799" t="s">
        <v>74</v>
      </c>
      <c r="BB799">
        <v>13</v>
      </c>
      <c r="BC799">
        <v>31</v>
      </c>
      <c r="BD799" t="s">
        <v>74</v>
      </c>
      <c r="BE799" t="s">
        <v>15484</v>
      </c>
      <c r="BF799" t="str">
        <f>HYPERLINK("http://dx.doi.org/10.3354/meps12420","http://dx.doi.org/10.3354/meps12420")</f>
        <v>http://dx.doi.org/10.3354/meps12420</v>
      </c>
      <c r="BG799" t="s">
        <v>74</v>
      </c>
      <c r="BH799" t="s">
        <v>74</v>
      </c>
      <c r="BI799">
        <v>19</v>
      </c>
      <c r="BJ799" t="s">
        <v>1828</v>
      </c>
      <c r="BK799" t="s">
        <v>101</v>
      </c>
      <c r="BL799" t="s">
        <v>1829</v>
      </c>
      <c r="BM799" t="s">
        <v>15467</v>
      </c>
      <c r="BN799" t="s">
        <v>74</v>
      </c>
      <c r="BO799" t="s">
        <v>74</v>
      </c>
      <c r="BP799" t="s">
        <v>74</v>
      </c>
      <c r="BQ799" t="s">
        <v>74</v>
      </c>
      <c r="BR799" t="s">
        <v>105</v>
      </c>
      <c r="BS799" t="s">
        <v>15485</v>
      </c>
      <c r="BT799" t="str">
        <f>HYPERLINK("https%3A%2F%2Fwww.webofscience.com%2Fwos%2Fwoscc%2Ffull-record%2FWOS:000426258800002","View Full Record in Web of Science")</f>
        <v>View Full Record in Web of Science</v>
      </c>
    </row>
    <row r="800" spans="1:72" x14ac:dyDescent="0.15">
      <c r="A800" t="s">
        <v>72</v>
      </c>
      <c r="B800" t="s">
        <v>15486</v>
      </c>
      <c r="C800" t="s">
        <v>74</v>
      </c>
      <c r="D800" t="s">
        <v>74</v>
      </c>
      <c r="E800" t="s">
        <v>74</v>
      </c>
      <c r="F800" t="s">
        <v>15487</v>
      </c>
      <c r="G800" t="s">
        <v>74</v>
      </c>
      <c r="H800" t="s">
        <v>74</v>
      </c>
      <c r="I800" t="s">
        <v>15488</v>
      </c>
      <c r="J800" t="s">
        <v>6048</v>
      </c>
      <c r="K800" t="s">
        <v>74</v>
      </c>
      <c r="L800" t="s">
        <v>74</v>
      </c>
      <c r="M800" t="s">
        <v>78</v>
      </c>
      <c r="N800" t="s">
        <v>79</v>
      </c>
      <c r="O800" t="s">
        <v>74</v>
      </c>
      <c r="P800" t="s">
        <v>74</v>
      </c>
      <c r="Q800" t="s">
        <v>74</v>
      </c>
      <c r="R800" t="s">
        <v>74</v>
      </c>
      <c r="S800" t="s">
        <v>74</v>
      </c>
      <c r="T800" t="s">
        <v>74</v>
      </c>
      <c r="U800" t="s">
        <v>15489</v>
      </c>
      <c r="V800" t="s">
        <v>15490</v>
      </c>
      <c r="W800" t="s">
        <v>15491</v>
      </c>
      <c r="X800" t="s">
        <v>15492</v>
      </c>
      <c r="Y800" t="s">
        <v>15493</v>
      </c>
      <c r="Z800" t="s">
        <v>15494</v>
      </c>
      <c r="AA800" t="s">
        <v>74</v>
      </c>
      <c r="AB800" t="s">
        <v>15495</v>
      </c>
      <c r="AC800" t="s">
        <v>15496</v>
      </c>
      <c r="AD800" t="s">
        <v>15497</v>
      </c>
      <c r="AE800" t="s">
        <v>15498</v>
      </c>
      <c r="AF800" t="s">
        <v>74</v>
      </c>
      <c r="AG800">
        <v>28</v>
      </c>
      <c r="AH800">
        <v>3</v>
      </c>
      <c r="AI800">
        <v>3</v>
      </c>
      <c r="AJ800">
        <v>1</v>
      </c>
      <c r="AK800">
        <v>8</v>
      </c>
      <c r="AL800" t="s">
        <v>1563</v>
      </c>
      <c r="AM800" t="s">
        <v>1564</v>
      </c>
      <c r="AN800" t="s">
        <v>1565</v>
      </c>
      <c r="AO800" t="s">
        <v>6060</v>
      </c>
      <c r="AP800" t="s">
        <v>6061</v>
      </c>
      <c r="AQ800" t="s">
        <v>74</v>
      </c>
      <c r="AR800" t="s">
        <v>6062</v>
      </c>
      <c r="AS800" t="s">
        <v>6063</v>
      </c>
      <c r="AT800" t="s">
        <v>15465</v>
      </c>
      <c r="AU800">
        <v>2018</v>
      </c>
      <c r="AV800">
        <v>11</v>
      </c>
      <c r="AW800">
        <v>2</v>
      </c>
      <c r="AX800" t="s">
        <v>74</v>
      </c>
      <c r="AY800" t="s">
        <v>74</v>
      </c>
      <c r="AZ800" t="s">
        <v>74</v>
      </c>
      <c r="BA800" t="s">
        <v>74</v>
      </c>
      <c r="BB800">
        <v>1099</v>
      </c>
      <c r="BC800">
        <v>1117</v>
      </c>
      <c r="BD800" t="s">
        <v>74</v>
      </c>
      <c r="BE800" t="s">
        <v>15499</v>
      </c>
      <c r="BF800" t="str">
        <f>HYPERLINK("http://dx.doi.org/10.5194/amt-11-1099-2018","http://dx.doi.org/10.5194/amt-11-1099-2018")</f>
        <v>http://dx.doi.org/10.5194/amt-11-1099-2018</v>
      </c>
      <c r="BG800" t="s">
        <v>74</v>
      </c>
      <c r="BH800" t="s">
        <v>74</v>
      </c>
      <c r="BI800">
        <v>19</v>
      </c>
      <c r="BJ800" t="s">
        <v>131</v>
      </c>
      <c r="BK800" t="s">
        <v>101</v>
      </c>
      <c r="BL800" t="s">
        <v>131</v>
      </c>
      <c r="BM800" t="s">
        <v>15500</v>
      </c>
      <c r="BN800" t="s">
        <v>74</v>
      </c>
      <c r="BO800" t="s">
        <v>2695</v>
      </c>
      <c r="BP800" t="s">
        <v>74</v>
      </c>
      <c r="BQ800" t="s">
        <v>74</v>
      </c>
      <c r="BR800" t="s">
        <v>105</v>
      </c>
      <c r="BS800" t="s">
        <v>15501</v>
      </c>
      <c r="BT800" t="str">
        <f>HYPERLINK("https%3A%2F%2Fwww.webofscience.com%2Fwos%2Fwoscc%2Ffull-record%2FWOS:000426010000004","View Full Record in Web of Science")</f>
        <v>View Full Record in Web of Science</v>
      </c>
    </row>
    <row r="801" spans="1:72" x14ac:dyDescent="0.15">
      <c r="A801" t="s">
        <v>72</v>
      </c>
      <c r="B801" t="s">
        <v>15502</v>
      </c>
      <c r="C801" t="s">
        <v>74</v>
      </c>
      <c r="D801" t="s">
        <v>74</v>
      </c>
      <c r="E801" t="s">
        <v>74</v>
      </c>
      <c r="F801" t="s">
        <v>15503</v>
      </c>
      <c r="G801" t="s">
        <v>74</v>
      </c>
      <c r="H801" t="s">
        <v>74</v>
      </c>
      <c r="I801" t="s">
        <v>15504</v>
      </c>
      <c r="J801" t="s">
        <v>2322</v>
      </c>
      <c r="K801" t="s">
        <v>74</v>
      </c>
      <c r="L801" t="s">
        <v>74</v>
      </c>
      <c r="M801" t="s">
        <v>78</v>
      </c>
      <c r="N801" t="s">
        <v>79</v>
      </c>
      <c r="O801" t="s">
        <v>74</v>
      </c>
      <c r="P801" t="s">
        <v>74</v>
      </c>
      <c r="Q801" t="s">
        <v>74</v>
      </c>
      <c r="R801" t="s">
        <v>74</v>
      </c>
      <c r="S801" t="s">
        <v>74</v>
      </c>
      <c r="T801" t="s">
        <v>74</v>
      </c>
      <c r="U801" t="s">
        <v>15505</v>
      </c>
      <c r="V801" t="s">
        <v>15506</v>
      </c>
      <c r="W801" t="s">
        <v>15507</v>
      </c>
      <c r="X801" t="s">
        <v>15508</v>
      </c>
      <c r="Y801" t="s">
        <v>15509</v>
      </c>
      <c r="Z801" t="s">
        <v>15510</v>
      </c>
      <c r="AA801" t="s">
        <v>74</v>
      </c>
      <c r="AB801" t="s">
        <v>15511</v>
      </c>
      <c r="AC801" t="s">
        <v>15512</v>
      </c>
      <c r="AD801" t="s">
        <v>15513</v>
      </c>
      <c r="AE801" t="s">
        <v>15514</v>
      </c>
      <c r="AF801" t="s">
        <v>74</v>
      </c>
      <c r="AG801">
        <v>76</v>
      </c>
      <c r="AH801">
        <v>16</v>
      </c>
      <c r="AI801">
        <v>17</v>
      </c>
      <c r="AJ801">
        <v>2</v>
      </c>
      <c r="AK801">
        <v>66</v>
      </c>
      <c r="AL801" t="s">
        <v>1563</v>
      </c>
      <c r="AM801" t="s">
        <v>1564</v>
      </c>
      <c r="AN801" t="s">
        <v>1565</v>
      </c>
      <c r="AO801" t="s">
        <v>2334</v>
      </c>
      <c r="AP801" t="s">
        <v>2335</v>
      </c>
      <c r="AQ801" t="s">
        <v>74</v>
      </c>
      <c r="AR801" t="s">
        <v>2322</v>
      </c>
      <c r="AS801" t="s">
        <v>2336</v>
      </c>
      <c r="AT801" t="s">
        <v>15465</v>
      </c>
      <c r="AU801">
        <v>2018</v>
      </c>
      <c r="AV801">
        <v>15</v>
      </c>
      <c r="AW801">
        <v>4</v>
      </c>
      <c r="AX801" t="s">
        <v>74</v>
      </c>
      <c r="AY801" t="s">
        <v>74</v>
      </c>
      <c r="AZ801" t="s">
        <v>74</v>
      </c>
      <c r="BA801" t="s">
        <v>74</v>
      </c>
      <c r="BB801">
        <v>1149</v>
      </c>
      <c r="BC801">
        <v>1160</v>
      </c>
      <c r="BD801" t="s">
        <v>74</v>
      </c>
      <c r="BE801" t="s">
        <v>15515</v>
      </c>
      <c r="BF801" t="str">
        <f>HYPERLINK("http://dx.doi.org/10.5194/bg-15-1149-2018","http://dx.doi.org/10.5194/bg-15-1149-2018")</f>
        <v>http://dx.doi.org/10.5194/bg-15-1149-2018</v>
      </c>
      <c r="BG801" t="s">
        <v>74</v>
      </c>
      <c r="BH801" t="s">
        <v>74</v>
      </c>
      <c r="BI801">
        <v>12</v>
      </c>
      <c r="BJ801" t="s">
        <v>803</v>
      </c>
      <c r="BK801" t="s">
        <v>101</v>
      </c>
      <c r="BL801" t="s">
        <v>804</v>
      </c>
      <c r="BM801" t="s">
        <v>15516</v>
      </c>
      <c r="BN801" t="s">
        <v>74</v>
      </c>
      <c r="BO801" t="s">
        <v>830</v>
      </c>
      <c r="BP801" t="s">
        <v>74</v>
      </c>
      <c r="BQ801" t="s">
        <v>74</v>
      </c>
      <c r="BR801" t="s">
        <v>105</v>
      </c>
      <c r="BS801" t="s">
        <v>15517</v>
      </c>
      <c r="BT801" t="str">
        <f>HYPERLINK("https%3A%2F%2Fwww.webofscience.com%2Fwos%2Fwoscc%2Ffull-record%2FWOS:000426012200003","View Full Record in Web of Science")</f>
        <v>View Full Record in Web of Science</v>
      </c>
    </row>
    <row r="802" spans="1:72" x14ac:dyDescent="0.15">
      <c r="A802" t="s">
        <v>72</v>
      </c>
      <c r="B802" t="s">
        <v>15518</v>
      </c>
      <c r="C802" t="s">
        <v>74</v>
      </c>
      <c r="D802" t="s">
        <v>74</v>
      </c>
      <c r="E802" t="s">
        <v>74</v>
      </c>
      <c r="F802" t="s">
        <v>15519</v>
      </c>
      <c r="G802" t="s">
        <v>74</v>
      </c>
      <c r="H802" t="s">
        <v>74</v>
      </c>
      <c r="I802" t="s">
        <v>15520</v>
      </c>
      <c r="J802" t="s">
        <v>3025</v>
      </c>
      <c r="K802" t="s">
        <v>74</v>
      </c>
      <c r="L802" t="s">
        <v>74</v>
      </c>
      <c r="M802" t="s">
        <v>78</v>
      </c>
      <c r="N802" t="s">
        <v>79</v>
      </c>
      <c r="O802" t="s">
        <v>74</v>
      </c>
      <c r="P802" t="s">
        <v>74</v>
      </c>
      <c r="Q802" t="s">
        <v>74</v>
      </c>
      <c r="R802" t="s">
        <v>74</v>
      </c>
      <c r="S802" t="s">
        <v>74</v>
      </c>
      <c r="T802" t="s">
        <v>15521</v>
      </c>
      <c r="U802" t="s">
        <v>15522</v>
      </c>
      <c r="V802" t="s">
        <v>15523</v>
      </c>
      <c r="W802" t="s">
        <v>15524</v>
      </c>
      <c r="X802" t="s">
        <v>15525</v>
      </c>
      <c r="Y802" t="s">
        <v>15526</v>
      </c>
      <c r="Z802" t="s">
        <v>15527</v>
      </c>
      <c r="AA802" t="s">
        <v>15528</v>
      </c>
      <c r="AB802" t="s">
        <v>74</v>
      </c>
      <c r="AC802" t="s">
        <v>15529</v>
      </c>
      <c r="AD802" t="s">
        <v>15530</v>
      </c>
      <c r="AE802" t="s">
        <v>15531</v>
      </c>
      <c r="AF802" t="s">
        <v>74</v>
      </c>
      <c r="AG802">
        <v>37</v>
      </c>
      <c r="AH802">
        <v>65</v>
      </c>
      <c r="AI802">
        <v>70</v>
      </c>
      <c r="AJ802">
        <v>2</v>
      </c>
      <c r="AK802">
        <v>63</v>
      </c>
      <c r="AL802" t="s">
        <v>2152</v>
      </c>
      <c r="AM802" t="s">
        <v>2153</v>
      </c>
      <c r="AN802" t="s">
        <v>2154</v>
      </c>
      <c r="AO802" t="s">
        <v>74</v>
      </c>
      <c r="AP802" t="s">
        <v>3038</v>
      </c>
      <c r="AQ802" t="s">
        <v>74</v>
      </c>
      <c r="AR802" t="s">
        <v>3039</v>
      </c>
      <c r="AS802" t="s">
        <v>3040</v>
      </c>
      <c r="AT802" t="s">
        <v>15465</v>
      </c>
      <c r="AU802">
        <v>2018</v>
      </c>
      <c r="AV802">
        <v>9</v>
      </c>
      <c r="AW802" t="s">
        <v>74</v>
      </c>
      <c r="AX802" t="s">
        <v>74</v>
      </c>
      <c r="AY802" t="s">
        <v>74</v>
      </c>
      <c r="AZ802" t="s">
        <v>74</v>
      </c>
      <c r="BA802" t="s">
        <v>74</v>
      </c>
      <c r="BB802" t="s">
        <v>74</v>
      </c>
      <c r="BC802" t="s">
        <v>74</v>
      </c>
      <c r="BD802">
        <v>253</v>
      </c>
      <c r="BE802" t="s">
        <v>15532</v>
      </c>
      <c r="BF802" t="str">
        <f>HYPERLINK("http://dx.doi.org/10.3389/fmicb.2018.00253","http://dx.doi.org/10.3389/fmicb.2018.00253")</f>
        <v>http://dx.doi.org/10.3389/fmicb.2018.00253</v>
      </c>
      <c r="BG802" t="s">
        <v>74</v>
      </c>
      <c r="BH802" t="s">
        <v>74</v>
      </c>
      <c r="BI802">
        <v>11</v>
      </c>
      <c r="BJ802" t="s">
        <v>510</v>
      </c>
      <c r="BK802" t="s">
        <v>101</v>
      </c>
      <c r="BL802" t="s">
        <v>510</v>
      </c>
      <c r="BM802" t="s">
        <v>15533</v>
      </c>
      <c r="BN802">
        <v>29599753</v>
      </c>
      <c r="BO802" t="s">
        <v>764</v>
      </c>
      <c r="BP802" t="s">
        <v>74</v>
      </c>
      <c r="BQ802" t="s">
        <v>74</v>
      </c>
      <c r="BR802" t="s">
        <v>105</v>
      </c>
      <c r="BS802" t="s">
        <v>15534</v>
      </c>
      <c r="BT802" t="str">
        <f>HYPERLINK("https%3A%2F%2Fwww.webofscience.com%2Fwos%2Fwoscc%2Ffull-record%2FWOS:000425948100001","View Full Record in Web of Science")</f>
        <v>View Full Record in Web of Science</v>
      </c>
    </row>
    <row r="803" spans="1:72" x14ac:dyDescent="0.15">
      <c r="A803" t="s">
        <v>72</v>
      </c>
      <c r="B803" t="s">
        <v>15535</v>
      </c>
      <c r="C803" t="s">
        <v>74</v>
      </c>
      <c r="D803" t="s">
        <v>74</v>
      </c>
      <c r="E803" t="s">
        <v>74</v>
      </c>
      <c r="F803" t="s">
        <v>15536</v>
      </c>
      <c r="G803" t="s">
        <v>74</v>
      </c>
      <c r="H803" t="s">
        <v>74</v>
      </c>
      <c r="I803" t="s">
        <v>15537</v>
      </c>
      <c r="J803" t="s">
        <v>7201</v>
      </c>
      <c r="K803" t="s">
        <v>74</v>
      </c>
      <c r="L803" t="s">
        <v>74</v>
      </c>
      <c r="M803" t="s">
        <v>78</v>
      </c>
      <c r="N803" t="s">
        <v>79</v>
      </c>
      <c r="O803" t="s">
        <v>74</v>
      </c>
      <c r="P803" t="s">
        <v>74</v>
      </c>
      <c r="Q803" t="s">
        <v>74</v>
      </c>
      <c r="R803" t="s">
        <v>74</v>
      </c>
      <c r="S803" t="s">
        <v>74</v>
      </c>
      <c r="T803" t="s">
        <v>15538</v>
      </c>
      <c r="U803" t="s">
        <v>15539</v>
      </c>
      <c r="V803" t="s">
        <v>15540</v>
      </c>
      <c r="W803" t="s">
        <v>15541</v>
      </c>
      <c r="X803" t="s">
        <v>15542</v>
      </c>
      <c r="Y803" t="s">
        <v>15543</v>
      </c>
      <c r="Z803" t="s">
        <v>15544</v>
      </c>
      <c r="AA803" t="s">
        <v>15545</v>
      </c>
      <c r="AB803" t="s">
        <v>15546</v>
      </c>
      <c r="AC803" t="s">
        <v>15547</v>
      </c>
      <c r="AD803" t="s">
        <v>15548</v>
      </c>
      <c r="AE803" t="s">
        <v>15549</v>
      </c>
      <c r="AF803" t="s">
        <v>74</v>
      </c>
      <c r="AG803">
        <v>67</v>
      </c>
      <c r="AH803">
        <v>201</v>
      </c>
      <c r="AI803">
        <v>229</v>
      </c>
      <c r="AJ803">
        <v>23</v>
      </c>
      <c r="AK803">
        <v>198</v>
      </c>
      <c r="AL803" t="s">
        <v>2968</v>
      </c>
      <c r="AM803" t="s">
        <v>1540</v>
      </c>
      <c r="AN803" t="s">
        <v>2969</v>
      </c>
      <c r="AO803" t="s">
        <v>7212</v>
      </c>
      <c r="AP803" t="s">
        <v>74</v>
      </c>
      <c r="AQ803" t="s">
        <v>74</v>
      </c>
      <c r="AR803" t="s">
        <v>7201</v>
      </c>
      <c r="AS803" t="s">
        <v>7213</v>
      </c>
      <c r="AT803" t="s">
        <v>15465</v>
      </c>
      <c r="AU803">
        <v>2018</v>
      </c>
      <c r="AV803">
        <v>6</v>
      </c>
      <c r="AW803" t="s">
        <v>74</v>
      </c>
      <c r="AX803" t="s">
        <v>74</v>
      </c>
      <c r="AY803" t="s">
        <v>74</v>
      </c>
      <c r="AZ803" t="s">
        <v>74</v>
      </c>
      <c r="BA803" t="s">
        <v>74</v>
      </c>
      <c r="BB803" t="s">
        <v>74</v>
      </c>
      <c r="BC803" t="s">
        <v>74</v>
      </c>
      <c r="BD803">
        <v>40</v>
      </c>
      <c r="BE803" t="s">
        <v>15550</v>
      </c>
      <c r="BF803" t="str">
        <f>HYPERLINK("http://dx.doi.org/10.1186/s40168-018-0424-5","http://dx.doi.org/10.1186/s40168-018-0424-5")</f>
        <v>http://dx.doi.org/10.1186/s40168-018-0424-5</v>
      </c>
      <c r="BG803" t="s">
        <v>74</v>
      </c>
      <c r="BH803" t="s">
        <v>74</v>
      </c>
      <c r="BI803">
        <v>12</v>
      </c>
      <c r="BJ803" t="s">
        <v>510</v>
      </c>
      <c r="BK803" t="s">
        <v>101</v>
      </c>
      <c r="BL803" t="s">
        <v>510</v>
      </c>
      <c r="BM803" t="s">
        <v>15551</v>
      </c>
      <c r="BN803">
        <v>29471872</v>
      </c>
      <c r="BO803" t="s">
        <v>764</v>
      </c>
      <c r="BP803" t="s">
        <v>74</v>
      </c>
      <c r="BQ803" t="s">
        <v>74</v>
      </c>
      <c r="BR803" t="s">
        <v>105</v>
      </c>
      <c r="BS803" t="s">
        <v>15552</v>
      </c>
      <c r="BT803" t="str">
        <f>HYPERLINK("https%3A%2F%2Fwww.webofscience.com%2Fwos%2Fwoscc%2Ffull-record%2FWOS:000426382900001","View Full Record in Web of Science")</f>
        <v>View Full Record in Web of Science</v>
      </c>
    </row>
    <row r="804" spans="1:72" x14ac:dyDescent="0.15">
      <c r="A804" t="s">
        <v>72</v>
      </c>
      <c r="B804" t="s">
        <v>15553</v>
      </c>
      <c r="C804" t="s">
        <v>74</v>
      </c>
      <c r="D804" t="s">
        <v>74</v>
      </c>
      <c r="E804" t="s">
        <v>74</v>
      </c>
      <c r="F804" t="s">
        <v>15554</v>
      </c>
      <c r="G804" t="s">
        <v>74</v>
      </c>
      <c r="H804" t="s">
        <v>74</v>
      </c>
      <c r="I804" t="s">
        <v>15555</v>
      </c>
      <c r="J804" t="s">
        <v>7029</v>
      </c>
      <c r="K804" t="s">
        <v>74</v>
      </c>
      <c r="L804" t="s">
        <v>74</v>
      </c>
      <c r="M804" t="s">
        <v>78</v>
      </c>
      <c r="N804" t="s">
        <v>79</v>
      </c>
      <c r="O804" t="s">
        <v>74</v>
      </c>
      <c r="P804" t="s">
        <v>74</v>
      </c>
      <c r="Q804" t="s">
        <v>74</v>
      </c>
      <c r="R804" t="s">
        <v>74</v>
      </c>
      <c r="S804" t="s">
        <v>74</v>
      </c>
      <c r="T804" t="s">
        <v>15556</v>
      </c>
      <c r="U804" t="s">
        <v>15557</v>
      </c>
      <c r="V804" t="s">
        <v>15558</v>
      </c>
      <c r="W804" t="s">
        <v>15559</v>
      </c>
      <c r="X804" t="s">
        <v>15560</v>
      </c>
      <c r="Y804" t="s">
        <v>15561</v>
      </c>
      <c r="Z804" t="s">
        <v>15562</v>
      </c>
      <c r="AA804" t="s">
        <v>15563</v>
      </c>
      <c r="AB804" t="s">
        <v>15564</v>
      </c>
      <c r="AC804" t="s">
        <v>15565</v>
      </c>
      <c r="AD804" t="s">
        <v>15566</v>
      </c>
      <c r="AE804" t="s">
        <v>15567</v>
      </c>
      <c r="AF804" t="s">
        <v>74</v>
      </c>
      <c r="AG804">
        <v>78</v>
      </c>
      <c r="AH804">
        <v>28</v>
      </c>
      <c r="AI804">
        <v>28</v>
      </c>
      <c r="AJ804">
        <v>1</v>
      </c>
      <c r="AK804">
        <v>5</v>
      </c>
      <c r="AL804" t="s">
        <v>7042</v>
      </c>
      <c r="AM804" t="s">
        <v>7043</v>
      </c>
      <c r="AN804" t="s">
        <v>7044</v>
      </c>
      <c r="AO804" t="s">
        <v>74</v>
      </c>
      <c r="AP804" t="s">
        <v>7045</v>
      </c>
      <c r="AQ804" t="s">
        <v>74</v>
      </c>
      <c r="AR804" t="s">
        <v>7046</v>
      </c>
      <c r="AS804" t="s">
        <v>7047</v>
      </c>
      <c r="AT804" t="s">
        <v>15568</v>
      </c>
      <c r="AU804">
        <v>2018</v>
      </c>
      <c r="AV804">
        <v>70</v>
      </c>
      <c r="AW804" t="s">
        <v>74</v>
      </c>
      <c r="AX804" t="s">
        <v>74</v>
      </c>
      <c r="AY804" t="s">
        <v>74</v>
      </c>
      <c r="AZ804" t="s">
        <v>74</v>
      </c>
      <c r="BA804" t="s">
        <v>74</v>
      </c>
      <c r="BB804" t="s">
        <v>74</v>
      </c>
      <c r="BC804" t="s">
        <v>74</v>
      </c>
      <c r="BD804">
        <v>1435945</v>
      </c>
      <c r="BE804" t="s">
        <v>15569</v>
      </c>
      <c r="BF804" t="str">
        <f>HYPERLINK("http://dx.doi.org/10.1080/16000870.2018.1435945","http://dx.doi.org/10.1080/16000870.2018.1435945")</f>
        <v>http://dx.doi.org/10.1080/16000870.2018.1435945</v>
      </c>
      <c r="BG804" t="s">
        <v>74</v>
      </c>
      <c r="BH804" t="s">
        <v>74</v>
      </c>
      <c r="BI804">
        <v>23</v>
      </c>
      <c r="BJ804" t="s">
        <v>3871</v>
      </c>
      <c r="BK804" t="s">
        <v>101</v>
      </c>
      <c r="BL804" t="s">
        <v>3871</v>
      </c>
      <c r="BM804" t="s">
        <v>15570</v>
      </c>
      <c r="BN804" t="s">
        <v>74</v>
      </c>
      <c r="BO804" t="s">
        <v>2998</v>
      </c>
      <c r="BP804" t="s">
        <v>74</v>
      </c>
      <c r="BQ804" t="s">
        <v>74</v>
      </c>
      <c r="BR804" t="s">
        <v>105</v>
      </c>
      <c r="BS804" t="s">
        <v>15571</v>
      </c>
      <c r="BT804" t="str">
        <f>HYPERLINK("https%3A%2F%2Fwww.webofscience.com%2Fwos%2Fwoscc%2Ffull-record%2FWOS:000426713500001","View Full Record in Web of Science")</f>
        <v>View Full Record in Web of Science</v>
      </c>
    </row>
    <row r="805" spans="1:72" x14ac:dyDescent="0.15">
      <c r="A805" t="s">
        <v>72</v>
      </c>
      <c r="B805" t="s">
        <v>15572</v>
      </c>
      <c r="C805" t="s">
        <v>74</v>
      </c>
      <c r="D805" t="s">
        <v>74</v>
      </c>
      <c r="E805" t="s">
        <v>74</v>
      </c>
      <c r="F805" t="s">
        <v>15573</v>
      </c>
      <c r="G805" t="s">
        <v>74</v>
      </c>
      <c r="H805" t="s">
        <v>74</v>
      </c>
      <c r="I805" t="s">
        <v>15574</v>
      </c>
      <c r="J805" t="s">
        <v>1651</v>
      </c>
      <c r="K805" t="s">
        <v>74</v>
      </c>
      <c r="L805" t="s">
        <v>74</v>
      </c>
      <c r="M805" t="s">
        <v>78</v>
      </c>
      <c r="N805" t="s">
        <v>79</v>
      </c>
      <c r="O805" t="s">
        <v>74</v>
      </c>
      <c r="P805" t="s">
        <v>74</v>
      </c>
      <c r="Q805" t="s">
        <v>74</v>
      </c>
      <c r="R805" t="s">
        <v>74</v>
      </c>
      <c r="S805" t="s">
        <v>74</v>
      </c>
      <c r="T805" t="s">
        <v>74</v>
      </c>
      <c r="U805" t="s">
        <v>15575</v>
      </c>
      <c r="V805" t="s">
        <v>15576</v>
      </c>
      <c r="W805" t="s">
        <v>15577</v>
      </c>
      <c r="X805" t="s">
        <v>15578</v>
      </c>
      <c r="Y805" t="s">
        <v>15579</v>
      </c>
      <c r="Z805" t="s">
        <v>15580</v>
      </c>
      <c r="AA805" t="s">
        <v>15581</v>
      </c>
      <c r="AB805" t="s">
        <v>15582</v>
      </c>
      <c r="AC805" t="s">
        <v>15583</v>
      </c>
      <c r="AD805" t="s">
        <v>15584</v>
      </c>
      <c r="AE805" t="s">
        <v>15585</v>
      </c>
      <c r="AF805" t="s">
        <v>74</v>
      </c>
      <c r="AG805">
        <v>51</v>
      </c>
      <c r="AH805">
        <v>99</v>
      </c>
      <c r="AI805">
        <v>105</v>
      </c>
      <c r="AJ805">
        <v>0</v>
      </c>
      <c r="AK805">
        <v>12</v>
      </c>
      <c r="AL805" t="s">
        <v>1663</v>
      </c>
      <c r="AM805" t="s">
        <v>1664</v>
      </c>
      <c r="AN805" t="s">
        <v>1665</v>
      </c>
      <c r="AO805" t="s">
        <v>1666</v>
      </c>
      <c r="AP805" t="s">
        <v>74</v>
      </c>
      <c r="AQ805" t="s">
        <v>74</v>
      </c>
      <c r="AR805" t="s">
        <v>1667</v>
      </c>
      <c r="AS805" t="s">
        <v>1668</v>
      </c>
      <c r="AT805" t="s">
        <v>15568</v>
      </c>
      <c r="AU805">
        <v>2018</v>
      </c>
      <c r="AV805">
        <v>8</v>
      </c>
      <c r="AW805" t="s">
        <v>74</v>
      </c>
      <c r="AX805" t="s">
        <v>74</v>
      </c>
      <c r="AY805" t="s">
        <v>74</v>
      </c>
      <c r="AZ805" t="s">
        <v>74</v>
      </c>
      <c r="BA805" t="s">
        <v>74</v>
      </c>
      <c r="BB805" t="s">
        <v>74</v>
      </c>
      <c r="BC805" t="s">
        <v>74</v>
      </c>
      <c r="BD805">
        <v>3458</v>
      </c>
      <c r="BE805" t="s">
        <v>15586</v>
      </c>
      <c r="BF805" t="str">
        <f>HYPERLINK("http://dx.doi.org/10.1038/s41598-018-21836-6","http://dx.doi.org/10.1038/s41598-018-21836-6")</f>
        <v>http://dx.doi.org/10.1038/s41598-018-21836-6</v>
      </c>
      <c r="BG805" t="s">
        <v>74</v>
      </c>
      <c r="BH805" t="s">
        <v>74</v>
      </c>
      <c r="BI805">
        <v>9</v>
      </c>
      <c r="BJ805" t="s">
        <v>1670</v>
      </c>
      <c r="BK805" t="s">
        <v>101</v>
      </c>
      <c r="BL805" t="s">
        <v>1671</v>
      </c>
      <c r="BM805" t="s">
        <v>15587</v>
      </c>
      <c r="BN805">
        <v>30108308</v>
      </c>
      <c r="BO805" t="s">
        <v>764</v>
      </c>
      <c r="BP805" t="s">
        <v>74</v>
      </c>
      <c r="BQ805" t="s">
        <v>74</v>
      </c>
      <c r="BR805" t="s">
        <v>105</v>
      </c>
      <c r="BS805" t="s">
        <v>15588</v>
      </c>
      <c r="BT805" t="str">
        <f>HYPERLINK("https%3A%2F%2Fwww.webofscience.com%2Fwos%2Fwoscc%2Ffull-record%2FWOS:000425728600014","View Full Record in Web of Science")</f>
        <v>View Full Record in Web of Science</v>
      </c>
    </row>
    <row r="806" spans="1:72" x14ac:dyDescent="0.15">
      <c r="A806" t="s">
        <v>72</v>
      </c>
      <c r="B806" t="s">
        <v>15589</v>
      </c>
      <c r="C806" t="s">
        <v>74</v>
      </c>
      <c r="D806" t="s">
        <v>74</v>
      </c>
      <c r="E806" t="s">
        <v>74</v>
      </c>
      <c r="F806" t="s">
        <v>15590</v>
      </c>
      <c r="G806" t="s">
        <v>74</v>
      </c>
      <c r="H806" t="s">
        <v>74</v>
      </c>
      <c r="I806" t="s">
        <v>15591</v>
      </c>
      <c r="J806" t="s">
        <v>2900</v>
      </c>
      <c r="K806" t="s">
        <v>74</v>
      </c>
      <c r="L806" t="s">
        <v>74</v>
      </c>
      <c r="M806" t="s">
        <v>78</v>
      </c>
      <c r="N806" t="s">
        <v>79</v>
      </c>
      <c r="O806" t="s">
        <v>74</v>
      </c>
      <c r="P806" t="s">
        <v>74</v>
      </c>
      <c r="Q806" t="s">
        <v>74</v>
      </c>
      <c r="R806" t="s">
        <v>74</v>
      </c>
      <c r="S806" t="s">
        <v>74</v>
      </c>
      <c r="T806" t="s">
        <v>15592</v>
      </c>
      <c r="U806" t="s">
        <v>74</v>
      </c>
      <c r="V806" t="s">
        <v>15593</v>
      </c>
      <c r="W806" t="s">
        <v>15594</v>
      </c>
      <c r="X806" t="s">
        <v>15595</v>
      </c>
      <c r="Y806" t="s">
        <v>15596</v>
      </c>
      <c r="Z806" t="s">
        <v>15597</v>
      </c>
      <c r="AA806" t="s">
        <v>15598</v>
      </c>
      <c r="AB806" t="s">
        <v>15599</v>
      </c>
      <c r="AC806" t="s">
        <v>15600</v>
      </c>
      <c r="AD806" t="s">
        <v>15601</v>
      </c>
      <c r="AE806" t="s">
        <v>15602</v>
      </c>
      <c r="AF806" t="s">
        <v>74</v>
      </c>
      <c r="AG806">
        <v>27</v>
      </c>
      <c r="AH806">
        <v>3</v>
      </c>
      <c r="AI806">
        <v>5</v>
      </c>
      <c r="AJ806">
        <v>0</v>
      </c>
      <c r="AK806">
        <v>4</v>
      </c>
      <c r="AL806" t="s">
        <v>2908</v>
      </c>
      <c r="AM806" t="s">
        <v>2909</v>
      </c>
      <c r="AN806" t="s">
        <v>2910</v>
      </c>
      <c r="AO806" t="s">
        <v>2911</v>
      </c>
      <c r="AP806" t="s">
        <v>2912</v>
      </c>
      <c r="AQ806" t="s">
        <v>74</v>
      </c>
      <c r="AR806" t="s">
        <v>2900</v>
      </c>
      <c r="AS806" t="s">
        <v>2913</v>
      </c>
      <c r="AT806" t="s">
        <v>15603</v>
      </c>
      <c r="AU806">
        <v>2018</v>
      </c>
      <c r="AV806">
        <v>340</v>
      </c>
      <c r="AW806">
        <v>1</v>
      </c>
      <c r="AX806" t="s">
        <v>74</v>
      </c>
      <c r="AY806" t="s">
        <v>74</v>
      </c>
      <c r="AZ806" t="s">
        <v>74</v>
      </c>
      <c r="BA806" t="s">
        <v>74</v>
      </c>
      <c r="BB806">
        <v>86</v>
      </c>
      <c r="BC806">
        <v>92</v>
      </c>
      <c r="BD806" t="s">
        <v>74</v>
      </c>
      <c r="BE806" t="s">
        <v>15604</v>
      </c>
      <c r="BF806" t="str">
        <f>HYPERLINK("http://dx.doi.org/10.11646/phytotaxa.340.1.7","http://dx.doi.org/10.11646/phytotaxa.340.1.7")</f>
        <v>http://dx.doi.org/10.11646/phytotaxa.340.1.7</v>
      </c>
      <c r="BG806" t="s">
        <v>74</v>
      </c>
      <c r="BH806" t="s">
        <v>74</v>
      </c>
      <c r="BI806">
        <v>7</v>
      </c>
      <c r="BJ806" t="s">
        <v>2542</v>
      </c>
      <c r="BK806" t="s">
        <v>101</v>
      </c>
      <c r="BL806" t="s">
        <v>2542</v>
      </c>
      <c r="BM806" t="s">
        <v>15605</v>
      </c>
      <c r="BN806" t="s">
        <v>74</v>
      </c>
      <c r="BO806" t="s">
        <v>74</v>
      </c>
      <c r="BP806" t="s">
        <v>74</v>
      </c>
      <c r="BQ806" t="s">
        <v>74</v>
      </c>
      <c r="BR806" t="s">
        <v>105</v>
      </c>
      <c r="BS806" t="s">
        <v>15606</v>
      </c>
      <c r="BT806" t="str">
        <f>HYPERLINK("https%3A%2F%2Fwww.webofscience.com%2Fwos%2Fwoscc%2Ffull-record%2FWOS:000425729700007","View Full Record in Web of Science")</f>
        <v>View Full Record in Web of Science</v>
      </c>
    </row>
    <row r="807" spans="1:72" x14ac:dyDescent="0.15">
      <c r="A807" t="s">
        <v>72</v>
      </c>
      <c r="B807" t="s">
        <v>15607</v>
      </c>
      <c r="C807" t="s">
        <v>74</v>
      </c>
      <c r="D807" t="s">
        <v>74</v>
      </c>
      <c r="E807" t="s">
        <v>74</v>
      </c>
      <c r="F807" t="s">
        <v>15608</v>
      </c>
      <c r="G807" t="s">
        <v>74</v>
      </c>
      <c r="H807" t="s">
        <v>74</v>
      </c>
      <c r="I807" t="s">
        <v>15609</v>
      </c>
      <c r="J807" t="s">
        <v>15610</v>
      </c>
      <c r="K807" t="s">
        <v>74</v>
      </c>
      <c r="L807" t="s">
        <v>74</v>
      </c>
      <c r="M807" t="s">
        <v>78</v>
      </c>
      <c r="N807" t="s">
        <v>79</v>
      </c>
      <c r="O807" t="s">
        <v>74</v>
      </c>
      <c r="P807" t="s">
        <v>74</v>
      </c>
      <c r="Q807" t="s">
        <v>74</v>
      </c>
      <c r="R807" t="s">
        <v>74</v>
      </c>
      <c r="S807" t="s">
        <v>74</v>
      </c>
      <c r="T807" t="s">
        <v>74</v>
      </c>
      <c r="U807" t="s">
        <v>15611</v>
      </c>
      <c r="V807" t="s">
        <v>15612</v>
      </c>
      <c r="W807" t="s">
        <v>15613</v>
      </c>
      <c r="X807" t="s">
        <v>15614</v>
      </c>
      <c r="Y807" t="s">
        <v>15615</v>
      </c>
      <c r="Z807" t="s">
        <v>15616</v>
      </c>
      <c r="AA807" t="s">
        <v>15617</v>
      </c>
      <c r="AB807" t="s">
        <v>15618</v>
      </c>
      <c r="AC807" t="s">
        <v>15619</v>
      </c>
      <c r="AD807" t="s">
        <v>15620</v>
      </c>
      <c r="AE807" t="s">
        <v>15621</v>
      </c>
      <c r="AF807" t="s">
        <v>74</v>
      </c>
      <c r="AG807">
        <v>132</v>
      </c>
      <c r="AH807">
        <v>39</v>
      </c>
      <c r="AI807">
        <v>41</v>
      </c>
      <c r="AJ807">
        <v>4</v>
      </c>
      <c r="AK807">
        <v>41</v>
      </c>
      <c r="AL807" t="s">
        <v>1563</v>
      </c>
      <c r="AM807" t="s">
        <v>1564</v>
      </c>
      <c r="AN807" t="s">
        <v>1565</v>
      </c>
      <c r="AO807" t="s">
        <v>15622</v>
      </c>
      <c r="AP807" t="s">
        <v>15623</v>
      </c>
      <c r="AQ807" t="s">
        <v>74</v>
      </c>
      <c r="AR807" t="s">
        <v>15624</v>
      </c>
      <c r="AS807" t="s">
        <v>15625</v>
      </c>
      <c r="AT807" t="s">
        <v>15603</v>
      </c>
      <c r="AU807">
        <v>2018</v>
      </c>
      <c r="AV807">
        <v>14</v>
      </c>
      <c r="AW807">
        <v>2</v>
      </c>
      <c r="AX807" t="s">
        <v>74</v>
      </c>
      <c r="AY807" t="s">
        <v>74</v>
      </c>
      <c r="AZ807" t="s">
        <v>74</v>
      </c>
      <c r="BA807" t="s">
        <v>74</v>
      </c>
      <c r="BB807">
        <v>193</v>
      </c>
      <c r="BC807">
        <v>214</v>
      </c>
      <c r="BD807" t="s">
        <v>74</v>
      </c>
      <c r="BE807" t="s">
        <v>15626</v>
      </c>
      <c r="BF807" t="str">
        <f>HYPERLINK("http://dx.doi.org/10.5194/cp-14-193-2018","http://dx.doi.org/10.5194/cp-14-193-2018")</f>
        <v>http://dx.doi.org/10.5194/cp-14-193-2018</v>
      </c>
      <c r="BG807" t="s">
        <v>74</v>
      </c>
      <c r="BH807" t="s">
        <v>74</v>
      </c>
      <c r="BI807">
        <v>22</v>
      </c>
      <c r="BJ807" t="s">
        <v>6986</v>
      </c>
      <c r="BK807" t="s">
        <v>101</v>
      </c>
      <c r="BL807" t="s">
        <v>6987</v>
      </c>
      <c r="BM807" t="s">
        <v>15627</v>
      </c>
      <c r="BN807" t="s">
        <v>74</v>
      </c>
      <c r="BO807" t="s">
        <v>3020</v>
      </c>
      <c r="BP807" t="s">
        <v>74</v>
      </c>
      <c r="BQ807" t="s">
        <v>74</v>
      </c>
      <c r="BR807" t="s">
        <v>105</v>
      </c>
      <c r="BS807" t="s">
        <v>15628</v>
      </c>
      <c r="BT807" t="str">
        <f>HYPERLINK("https%3A%2F%2Fwww.webofscience.com%2Fwos%2Fwoscc%2Ffull-record%2FWOS:000425657600001","View Full Record in Web of Science")</f>
        <v>View Full Record in Web of Science</v>
      </c>
    </row>
    <row r="808" spans="1:72" x14ac:dyDescent="0.15">
      <c r="A808" t="s">
        <v>72</v>
      </c>
      <c r="B808" t="s">
        <v>15629</v>
      </c>
      <c r="C808" t="s">
        <v>74</v>
      </c>
      <c r="D808" t="s">
        <v>74</v>
      </c>
      <c r="E808" t="s">
        <v>74</v>
      </c>
      <c r="F808" t="s">
        <v>15630</v>
      </c>
      <c r="G808" t="s">
        <v>74</v>
      </c>
      <c r="H808" t="s">
        <v>74</v>
      </c>
      <c r="I808" t="s">
        <v>15631</v>
      </c>
      <c r="J808" t="s">
        <v>3025</v>
      </c>
      <c r="K808" t="s">
        <v>74</v>
      </c>
      <c r="L808" t="s">
        <v>74</v>
      </c>
      <c r="M808" t="s">
        <v>78</v>
      </c>
      <c r="N808" t="s">
        <v>79</v>
      </c>
      <c r="O808" t="s">
        <v>74</v>
      </c>
      <c r="P808" t="s">
        <v>74</v>
      </c>
      <c r="Q808" t="s">
        <v>74</v>
      </c>
      <c r="R808" t="s">
        <v>74</v>
      </c>
      <c r="S808" t="s">
        <v>74</v>
      </c>
      <c r="T808" t="s">
        <v>15632</v>
      </c>
      <c r="U808" t="s">
        <v>15633</v>
      </c>
      <c r="V808" t="s">
        <v>15634</v>
      </c>
      <c r="W808" t="s">
        <v>15635</v>
      </c>
      <c r="X808" t="s">
        <v>15636</v>
      </c>
      <c r="Y808" t="s">
        <v>15637</v>
      </c>
      <c r="Z808" t="s">
        <v>15638</v>
      </c>
      <c r="AA808" t="s">
        <v>15639</v>
      </c>
      <c r="AB808" t="s">
        <v>15640</v>
      </c>
      <c r="AC808" t="s">
        <v>15641</v>
      </c>
      <c r="AD808" t="s">
        <v>15642</v>
      </c>
      <c r="AE808" t="s">
        <v>15643</v>
      </c>
      <c r="AF808" t="s">
        <v>74</v>
      </c>
      <c r="AG808">
        <v>64</v>
      </c>
      <c r="AH808">
        <v>6</v>
      </c>
      <c r="AI808">
        <v>7</v>
      </c>
      <c r="AJ808">
        <v>4</v>
      </c>
      <c r="AK808">
        <v>33</v>
      </c>
      <c r="AL808" t="s">
        <v>2152</v>
      </c>
      <c r="AM808" t="s">
        <v>2153</v>
      </c>
      <c r="AN808" t="s">
        <v>2154</v>
      </c>
      <c r="AO808" t="s">
        <v>74</v>
      </c>
      <c r="AP808" t="s">
        <v>3038</v>
      </c>
      <c r="AQ808" t="s">
        <v>74</v>
      </c>
      <c r="AR808" t="s">
        <v>3039</v>
      </c>
      <c r="AS808" t="s">
        <v>3040</v>
      </c>
      <c r="AT808" t="s">
        <v>15603</v>
      </c>
      <c r="AU808">
        <v>2018</v>
      </c>
      <c r="AV808">
        <v>9</v>
      </c>
      <c r="AW808" t="s">
        <v>74</v>
      </c>
      <c r="AX808" t="s">
        <v>74</v>
      </c>
      <c r="AY808" t="s">
        <v>74</v>
      </c>
      <c r="AZ808" t="s">
        <v>74</v>
      </c>
      <c r="BA808" t="s">
        <v>74</v>
      </c>
      <c r="BB808" t="s">
        <v>74</v>
      </c>
      <c r="BC808" t="s">
        <v>74</v>
      </c>
      <c r="BD808">
        <v>237</v>
      </c>
      <c r="BE808" t="s">
        <v>15644</v>
      </c>
      <c r="BF808" t="str">
        <f>HYPERLINK("http://dx.doi.org/10.3389/fmicb.2018.00237","http://dx.doi.org/10.3389/fmicb.2018.00237")</f>
        <v>http://dx.doi.org/10.3389/fmicb.2018.00237</v>
      </c>
      <c r="BG808" t="s">
        <v>74</v>
      </c>
      <c r="BH808" t="s">
        <v>74</v>
      </c>
      <c r="BI808">
        <v>11</v>
      </c>
      <c r="BJ808" t="s">
        <v>510</v>
      </c>
      <c r="BK808" t="s">
        <v>101</v>
      </c>
      <c r="BL808" t="s">
        <v>510</v>
      </c>
      <c r="BM808" t="s">
        <v>15645</v>
      </c>
      <c r="BN808">
        <v>29515536</v>
      </c>
      <c r="BO808" t="s">
        <v>764</v>
      </c>
      <c r="BP808" t="s">
        <v>74</v>
      </c>
      <c r="BQ808" t="s">
        <v>74</v>
      </c>
      <c r="BR808" t="s">
        <v>105</v>
      </c>
      <c r="BS808" t="s">
        <v>15646</v>
      </c>
      <c r="BT808" t="str">
        <f>HYPERLINK("https%3A%2F%2Fwww.webofscience.com%2Fwos%2Fwoscc%2Ffull-record%2FWOS:000425621600001","View Full Record in Web of Science")</f>
        <v>View Full Record in Web of Science</v>
      </c>
    </row>
    <row r="809" spans="1:72" x14ac:dyDescent="0.15">
      <c r="A809" t="s">
        <v>72</v>
      </c>
      <c r="B809" t="s">
        <v>15647</v>
      </c>
      <c r="C809" t="s">
        <v>74</v>
      </c>
      <c r="D809" t="s">
        <v>74</v>
      </c>
      <c r="E809" t="s">
        <v>74</v>
      </c>
      <c r="F809" t="s">
        <v>15648</v>
      </c>
      <c r="G809" t="s">
        <v>74</v>
      </c>
      <c r="H809" t="s">
        <v>74</v>
      </c>
      <c r="I809" t="s">
        <v>15649</v>
      </c>
      <c r="J809" t="s">
        <v>1598</v>
      </c>
      <c r="K809" t="s">
        <v>74</v>
      </c>
      <c r="L809" t="s">
        <v>74</v>
      </c>
      <c r="M809" t="s">
        <v>78</v>
      </c>
      <c r="N809" t="s">
        <v>79</v>
      </c>
      <c r="O809" t="s">
        <v>74</v>
      </c>
      <c r="P809" t="s">
        <v>74</v>
      </c>
      <c r="Q809" t="s">
        <v>74</v>
      </c>
      <c r="R809" t="s">
        <v>74</v>
      </c>
      <c r="S809" t="s">
        <v>74</v>
      </c>
      <c r="T809" t="s">
        <v>15650</v>
      </c>
      <c r="U809" t="s">
        <v>15651</v>
      </c>
      <c r="V809" t="s">
        <v>15652</v>
      </c>
      <c r="W809" t="s">
        <v>15653</v>
      </c>
      <c r="X809" t="s">
        <v>15654</v>
      </c>
      <c r="Y809" t="s">
        <v>15655</v>
      </c>
      <c r="Z809" t="s">
        <v>15656</v>
      </c>
      <c r="AA809" t="s">
        <v>15657</v>
      </c>
      <c r="AB809" t="s">
        <v>15658</v>
      </c>
      <c r="AC809" t="s">
        <v>15659</v>
      </c>
      <c r="AD809" t="s">
        <v>15660</v>
      </c>
      <c r="AE809" t="s">
        <v>15661</v>
      </c>
      <c r="AF809" t="s">
        <v>74</v>
      </c>
      <c r="AG809">
        <v>74</v>
      </c>
      <c r="AH809">
        <v>32</v>
      </c>
      <c r="AI809">
        <v>34</v>
      </c>
      <c r="AJ809">
        <v>1</v>
      </c>
      <c r="AK809">
        <v>24</v>
      </c>
      <c r="AL809" t="s">
        <v>123</v>
      </c>
      <c r="AM809" t="s">
        <v>124</v>
      </c>
      <c r="AN809" t="s">
        <v>125</v>
      </c>
      <c r="AO809" t="s">
        <v>1609</v>
      </c>
      <c r="AP809" t="s">
        <v>1610</v>
      </c>
      <c r="AQ809" t="s">
        <v>74</v>
      </c>
      <c r="AR809" t="s">
        <v>1611</v>
      </c>
      <c r="AS809" t="s">
        <v>1612</v>
      </c>
      <c r="AT809" t="s">
        <v>15603</v>
      </c>
      <c r="AU809">
        <v>2018</v>
      </c>
      <c r="AV809">
        <v>50</v>
      </c>
      <c r="AW809">
        <v>1</v>
      </c>
      <c r="AX809" t="s">
        <v>74</v>
      </c>
      <c r="AY809" t="s">
        <v>74</v>
      </c>
      <c r="AZ809" t="s">
        <v>74</v>
      </c>
      <c r="BA809" t="s">
        <v>74</v>
      </c>
      <c r="BB809" t="s">
        <v>74</v>
      </c>
      <c r="BC809" t="s">
        <v>74</v>
      </c>
      <c r="BD809" t="s">
        <v>15662</v>
      </c>
      <c r="BE809" t="s">
        <v>15663</v>
      </c>
      <c r="BF809" t="str">
        <f>HYPERLINK("http://dx.doi.org/10.1080/15230430.2017.1415624","http://dx.doi.org/10.1080/15230430.2017.1415624")</f>
        <v>http://dx.doi.org/10.1080/15230430.2017.1415624</v>
      </c>
      <c r="BG809" t="s">
        <v>74</v>
      </c>
      <c r="BH809" t="s">
        <v>74</v>
      </c>
      <c r="BI809">
        <v>17</v>
      </c>
      <c r="BJ809" t="s">
        <v>1616</v>
      </c>
      <c r="BK809" t="s">
        <v>101</v>
      </c>
      <c r="BL809" t="s">
        <v>1617</v>
      </c>
      <c r="BM809" t="s">
        <v>15664</v>
      </c>
      <c r="BN809" t="s">
        <v>74</v>
      </c>
      <c r="BO809" t="s">
        <v>133</v>
      </c>
      <c r="BP809" t="s">
        <v>74</v>
      </c>
      <c r="BQ809" t="s">
        <v>74</v>
      </c>
      <c r="BR809" t="s">
        <v>105</v>
      </c>
      <c r="BS809" t="s">
        <v>15665</v>
      </c>
      <c r="BT809" t="str">
        <f>HYPERLINK("https%3A%2F%2Fwww.webofscience.com%2Fwos%2Fwoscc%2Ffull-record%2FWOS:000438726100001","View Full Record in Web of Science")</f>
        <v>View Full Record in Web of Science</v>
      </c>
    </row>
    <row r="810" spans="1:72" x14ac:dyDescent="0.15">
      <c r="A810" t="s">
        <v>72</v>
      </c>
      <c r="B810" t="s">
        <v>15666</v>
      </c>
      <c r="C810" t="s">
        <v>74</v>
      </c>
      <c r="D810" t="s">
        <v>74</v>
      </c>
      <c r="E810" t="s">
        <v>74</v>
      </c>
      <c r="F810" t="s">
        <v>15667</v>
      </c>
      <c r="G810" t="s">
        <v>74</v>
      </c>
      <c r="H810" t="s">
        <v>74</v>
      </c>
      <c r="I810" t="s">
        <v>15668</v>
      </c>
      <c r="J810" t="s">
        <v>1598</v>
      </c>
      <c r="K810" t="s">
        <v>74</v>
      </c>
      <c r="L810" t="s">
        <v>74</v>
      </c>
      <c r="M810" t="s">
        <v>78</v>
      </c>
      <c r="N810" t="s">
        <v>79</v>
      </c>
      <c r="O810" t="s">
        <v>74</v>
      </c>
      <c r="P810" t="s">
        <v>74</v>
      </c>
      <c r="Q810" t="s">
        <v>74</v>
      </c>
      <c r="R810" t="s">
        <v>74</v>
      </c>
      <c r="S810" t="s">
        <v>74</v>
      </c>
      <c r="T810" t="s">
        <v>15669</v>
      </c>
      <c r="U810" t="s">
        <v>15670</v>
      </c>
      <c r="V810" t="s">
        <v>15671</v>
      </c>
      <c r="W810" t="s">
        <v>15672</v>
      </c>
      <c r="X810" t="s">
        <v>15673</v>
      </c>
      <c r="Y810" t="s">
        <v>15674</v>
      </c>
      <c r="Z810" t="s">
        <v>15675</v>
      </c>
      <c r="AA810" t="s">
        <v>15676</v>
      </c>
      <c r="AB810" t="s">
        <v>15677</v>
      </c>
      <c r="AC810" t="s">
        <v>15678</v>
      </c>
      <c r="AD810" t="s">
        <v>15679</v>
      </c>
      <c r="AE810" t="s">
        <v>15680</v>
      </c>
      <c r="AF810" t="s">
        <v>74</v>
      </c>
      <c r="AG810">
        <v>46</v>
      </c>
      <c r="AH810">
        <v>9</v>
      </c>
      <c r="AI810">
        <v>10</v>
      </c>
      <c r="AJ810">
        <v>2</v>
      </c>
      <c r="AK810">
        <v>26</v>
      </c>
      <c r="AL810" t="s">
        <v>123</v>
      </c>
      <c r="AM810" t="s">
        <v>124</v>
      </c>
      <c r="AN810" t="s">
        <v>125</v>
      </c>
      <c r="AO810" t="s">
        <v>1609</v>
      </c>
      <c r="AP810" t="s">
        <v>1610</v>
      </c>
      <c r="AQ810" t="s">
        <v>74</v>
      </c>
      <c r="AR810" t="s">
        <v>1611</v>
      </c>
      <c r="AS810" t="s">
        <v>1612</v>
      </c>
      <c r="AT810" t="s">
        <v>15681</v>
      </c>
      <c r="AU810">
        <v>2018</v>
      </c>
      <c r="AV810">
        <v>50</v>
      </c>
      <c r="AW810">
        <v>1</v>
      </c>
      <c r="AX810" t="s">
        <v>74</v>
      </c>
      <c r="AY810" t="s">
        <v>74</v>
      </c>
      <c r="AZ810" t="s">
        <v>74</v>
      </c>
      <c r="BA810" t="s">
        <v>74</v>
      </c>
      <c r="BB810" t="s">
        <v>74</v>
      </c>
      <c r="BC810" t="s">
        <v>74</v>
      </c>
      <c r="BD810" t="s">
        <v>15682</v>
      </c>
      <c r="BE810" t="s">
        <v>15683</v>
      </c>
      <c r="BF810" t="str">
        <f>HYPERLINK("http://dx.doi.org/10.1080/15230430.2017.1415622","http://dx.doi.org/10.1080/15230430.2017.1415622")</f>
        <v>http://dx.doi.org/10.1080/15230430.2017.1415622</v>
      </c>
      <c r="BG810" t="s">
        <v>74</v>
      </c>
      <c r="BH810" t="s">
        <v>74</v>
      </c>
      <c r="BI810">
        <v>10</v>
      </c>
      <c r="BJ810" t="s">
        <v>1616</v>
      </c>
      <c r="BK810" t="s">
        <v>101</v>
      </c>
      <c r="BL810" t="s">
        <v>1617</v>
      </c>
      <c r="BM810" t="s">
        <v>15684</v>
      </c>
      <c r="BN810" t="s">
        <v>74</v>
      </c>
      <c r="BO810" t="s">
        <v>133</v>
      </c>
      <c r="BP810" t="s">
        <v>74</v>
      </c>
      <c r="BQ810" t="s">
        <v>74</v>
      </c>
      <c r="BR810" t="s">
        <v>105</v>
      </c>
      <c r="BS810" t="s">
        <v>15685</v>
      </c>
      <c r="BT810" t="str">
        <f>HYPERLINK("https%3A%2F%2Fwww.webofscience.com%2Fwos%2Fwoscc%2Ffull-record%2FWOS:000438725600001","View Full Record in Web of Science")</f>
        <v>View Full Record in Web of Science</v>
      </c>
    </row>
    <row r="811" spans="1:72" x14ac:dyDescent="0.15">
      <c r="A811" t="s">
        <v>72</v>
      </c>
      <c r="B811" t="s">
        <v>15686</v>
      </c>
      <c r="C811" t="s">
        <v>74</v>
      </c>
      <c r="D811" t="s">
        <v>74</v>
      </c>
      <c r="E811" t="s">
        <v>74</v>
      </c>
      <c r="F811" t="s">
        <v>15687</v>
      </c>
      <c r="G811" t="s">
        <v>74</v>
      </c>
      <c r="H811" t="s">
        <v>74</v>
      </c>
      <c r="I811" t="s">
        <v>15688</v>
      </c>
      <c r="J811" t="s">
        <v>1576</v>
      </c>
      <c r="K811" t="s">
        <v>74</v>
      </c>
      <c r="L811" t="s">
        <v>74</v>
      </c>
      <c r="M811" t="s">
        <v>78</v>
      </c>
      <c r="N811" t="s">
        <v>79</v>
      </c>
      <c r="O811" t="s">
        <v>74</v>
      </c>
      <c r="P811" t="s">
        <v>74</v>
      </c>
      <c r="Q811" t="s">
        <v>74</v>
      </c>
      <c r="R811" t="s">
        <v>74</v>
      </c>
      <c r="S811" t="s">
        <v>74</v>
      </c>
      <c r="T811" t="s">
        <v>74</v>
      </c>
      <c r="U811" t="s">
        <v>15689</v>
      </c>
      <c r="V811" t="s">
        <v>15690</v>
      </c>
      <c r="W811" t="s">
        <v>15691</v>
      </c>
      <c r="X811" t="s">
        <v>15692</v>
      </c>
      <c r="Y811" t="s">
        <v>15693</v>
      </c>
      <c r="Z811" t="s">
        <v>15694</v>
      </c>
      <c r="AA811" t="s">
        <v>15695</v>
      </c>
      <c r="AB811" t="s">
        <v>15696</v>
      </c>
      <c r="AC811" t="s">
        <v>15697</v>
      </c>
      <c r="AD811" t="s">
        <v>15698</v>
      </c>
      <c r="AE811" t="s">
        <v>15699</v>
      </c>
      <c r="AF811" t="s">
        <v>74</v>
      </c>
      <c r="AG811">
        <v>70</v>
      </c>
      <c r="AH811">
        <v>26</v>
      </c>
      <c r="AI811">
        <v>28</v>
      </c>
      <c r="AJ811">
        <v>0</v>
      </c>
      <c r="AK811">
        <v>15</v>
      </c>
      <c r="AL811" t="s">
        <v>1563</v>
      </c>
      <c r="AM811" t="s">
        <v>1564</v>
      </c>
      <c r="AN811" t="s">
        <v>1565</v>
      </c>
      <c r="AO811" t="s">
        <v>1588</v>
      </c>
      <c r="AP811" t="s">
        <v>1589</v>
      </c>
      <c r="AQ811" t="s">
        <v>74</v>
      </c>
      <c r="AR811" t="s">
        <v>1576</v>
      </c>
      <c r="AS811" t="s">
        <v>1590</v>
      </c>
      <c r="AT811" t="s">
        <v>15681</v>
      </c>
      <c r="AU811">
        <v>2018</v>
      </c>
      <c r="AV811">
        <v>12</v>
      </c>
      <c r="AW811">
        <v>2</v>
      </c>
      <c r="AX811" t="s">
        <v>74</v>
      </c>
      <c r="AY811" t="s">
        <v>74</v>
      </c>
      <c r="AZ811" t="s">
        <v>74</v>
      </c>
      <c r="BA811" t="s">
        <v>74</v>
      </c>
      <c r="BB811">
        <v>577</v>
      </c>
      <c r="BC811">
        <v>594</v>
      </c>
      <c r="BD811" t="s">
        <v>74</v>
      </c>
      <c r="BE811" t="s">
        <v>15700</v>
      </c>
      <c r="BF811" t="str">
        <f>HYPERLINK("http://dx.doi.org/10.5194/tc-12-577-2018","http://dx.doi.org/10.5194/tc-12-577-2018")</f>
        <v>http://dx.doi.org/10.5194/tc-12-577-2018</v>
      </c>
      <c r="BG811" t="s">
        <v>74</v>
      </c>
      <c r="BH811" t="s">
        <v>74</v>
      </c>
      <c r="BI811">
        <v>18</v>
      </c>
      <c r="BJ811" t="s">
        <v>338</v>
      </c>
      <c r="BK811" t="s">
        <v>101</v>
      </c>
      <c r="BL811" t="s">
        <v>339</v>
      </c>
      <c r="BM811" t="s">
        <v>15701</v>
      </c>
      <c r="BN811" t="s">
        <v>74</v>
      </c>
      <c r="BO811" t="s">
        <v>15702</v>
      </c>
      <c r="BP811" t="s">
        <v>74</v>
      </c>
      <c r="BQ811" t="s">
        <v>74</v>
      </c>
      <c r="BR811" t="s">
        <v>105</v>
      </c>
      <c r="BS811" t="s">
        <v>15703</v>
      </c>
      <c r="BT811" t="str">
        <f>HYPERLINK("https%3A%2F%2Fwww.webofscience.com%2Fwos%2Fwoscc%2Ffull-record%2FWOS:000425729500002","View Full Record in Web of Science")</f>
        <v>View Full Record in Web of Science</v>
      </c>
    </row>
    <row r="812" spans="1:72" x14ac:dyDescent="0.15">
      <c r="A812" t="s">
        <v>72</v>
      </c>
      <c r="B812" t="s">
        <v>15704</v>
      </c>
      <c r="C812" t="s">
        <v>74</v>
      </c>
      <c r="D812" t="s">
        <v>74</v>
      </c>
      <c r="E812" t="s">
        <v>74</v>
      </c>
      <c r="F812" t="s">
        <v>15705</v>
      </c>
      <c r="G812" t="s">
        <v>74</v>
      </c>
      <c r="H812" t="s">
        <v>74</v>
      </c>
      <c r="I812" t="s">
        <v>15706</v>
      </c>
      <c r="J812" t="s">
        <v>1677</v>
      </c>
      <c r="K812" t="s">
        <v>74</v>
      </c>
      <c r="L812" t="s">
        <v>74</v>
      </c>
      <c r="M812" t="s">
        <v>78</v>
      </c>
      <c r="N812" t="s">
        <v>79</v>
      </c>
      <c r="O812" t="s">
        <v>74</v>
      </c>
      <c r="P812" t="s">
        <v>74</v>
      </c>
      <c r="Q812" t="s">
        <v>74</v>
      </c>
      <c r="R812" t="s">
        <v>74</v>
      </c>
      <c r="S812" t="s">
        <v>74</v>
      </c>
      <c r="T812" t="s">
        <v>74</v>
      </c>
      <c r="U812" t="s">
        <v>15707</v>
      </c>
      <c r="V812" t="s">
        <v>15708</v>
      </c>
      <c r="W812" t="s">
        <v>15709</v>
      </c>
      <c r="X812" t="s">
        <v>15710</v>
      </c>
      <c r="Y812" t="s">
        <v>15711</v>
      </c>
      <c r="Z812" t="s">
        <v>15712</v>
      </c>
      <c r="AA812" t="s">
        <v>15713</v>
      </c>
      <c r="AB812" t="s">
        <v>15714</v>
      </c>
      <c r="AC812" t="s">
        <v>15715</v>
      </c>
      <c r="AD812" t="s">
        <v>15716</v>
      </c>
      <c r="AE812" t="s">
        <v>15717</v>
      </c>
      <c r="AF812" t="s">
        <v>74</v>
      </c>
      <c r="AG812">
        <v>61</v>
      </c>
      <c r="AH812">
        <v>82</v>
      </c>
      <c r="AI812">
        <v>92</v>
      </c>
      <c r="AJ812">
        <v>2</v>
      </c>
      <c r="AK812">
        <v>56</v>
      </c>
      <c r="AL812" t="s">
        <v>1689</v>
      </c>
      <c r="AM812" t="s">
        <v>1540</v>
      </c>
      <c r="AN812" t="s">
        <v>1690</v>
      </c>
      <c r="AO812" t="s">
        <v>1691</v>
      </c>
      <c r="AP812" t="s">
        <v>74</v>
      </c>
      <c r="AQ812" t="s">
        <v>74</v>
      </c>
      <c r="AR812" t="s">
        <v>1692</v>
      </c>
      <c r="AS812" t="s">
        <v>1693</v>
      </c>
      <c r="AT812" t="s">
        <v>15681</v>
      </c>
      <c r="AU812">
        <v>2018</v>
      </c>
      <c r="AV812">
        <v>9</v>
      </c>
      <c r="AW812" t="s">
        <v>74</v>
      </c>
      <c r="AX812" t="s">
        <v>74</v>
      </c>
      <c r="AY812" t="s">
        <v>74</v>
      </c>
      <c r="AZ812" t="s">
        <v>74</v>
      </c>
      <c r="BA812" t="s">
        <v>74</v>
      </c>
      <c r="BB812" t="s">
        <v>74</v>
      </c>
      <c r="BC812" t="s">
        <v>74</v>
      </c>
      <c r="BD812">
        <v>601</v>
      </c>
      <c r="BE812" t="s">
        <v>15718</v>
      </c>
      <c r="BF812" t="str">
        <f>HYPERLINK("http://dx.doi.org/10.1038/s41467-018-02985-8","http://dx.doi.org/10.1038/s41467-018-02985-8")</f>
        <v>http://dx.doi.org/10.1038/s41467-018-02985-8</v>
      </c>
      <c r="BG812" t="s">
        <v>74</v>
      </c>
      <c r="BH812" t="s">
        <v>74</v>
      </c>
      <c r="BI812">
        <v>10</v>
      </c>
      <c r="BJ812" t="s">
        <v>1670</v>
      </c>
      <c r="BK812" t="s">
        <v>101</v>
      </c>
      <c r="BL812" t="s">
        <v>1671</v>
      </c>
      <c r="BM812" t="s">
        <v>15719</v>
      </c>
      <c r="BN812">
        <v>29463787</v>
      </c>
      <c r="BO812" t="s">
        <v>781</v>
      </c>
      <c r="BP812" t="s">
        <v>74</v>
      </c>
      <c r="BQ812" t="s">
        <v>74</v>
      </c>
      <c r="BR812" t="s">
        <v>105</v>
      </c>
      <c r="BS812" t="s">
        <v>15720</v>
      </c>
      <c r="BT812" t="str">
        <f>HYPERLINK("https%3A%2F%2Fwww.webofscience.com%2Fwos%2Fwoscc%2Ffull-record%2FWOS:000425503500001","View Full Record in Web of Science")</f>
        <v>View Full Record in Web of Science</v>
      </c>
    </row>
    <row r="813" spans="1:72" x14ac:dyDescent="0.15">
      <c r="A813" t="s">
        <v>72</v>
      </c>
      <c r="B813" t="s">
        <v>15721</v>
      </c>
      <c r="C813" t="s">
        <v>74</v>
      </c>
      <c r="D813" t="s">
        <v>74</v>
      </c>
      <c r="E813" t="s">
        <v>74</v>
      </c>
      <c r="F813" t="s">
        <v>15722</v>
      </c>
      <c r="G813" t="s">
        <v>74</v>
      </c>
      <c r="H813" t="s">
        <v>74</v>
      </c>
      <c r="I813" t="s">
        <v>15723</v>
      </c>
      <c r="J813" t="s">
        <v>15724</v>
      </c>
      <c r="K813" t="s">
        <v>74</v>
      </c>
      <c r="L813" t="s">
        <v>74</v>
      </c>
      <c r="M813" t="s">
        <v>78</v>
      </c>
      <c r="N813" t="s">
        <v>2606</v>
      </c>
      <c r="O813" t="s">
        <v>74</v>
      </c>
      <c r="P813" t="s">
        <v>74</v>
      </c>
      <c r="Q813" t="s">
        <v>74</v>
      </c>
      <c r="R813" t="s">
        <v>74</v>
      </c>
      <c r="S813" t="s">
        <v>74</v>
      </c>
      <c r="T813" t="s">
        <v>74</v>
      </c>
      <c r="U813" t="s">
        <v>15725</v>
      </c>
      <c r="V813" t="s">
        <v>15726</v>
      </c>
      <c r="W813" t="s">
        <v>15727</v>
      </c>
      <c r="X813" t="s">
        <v>15728</v>
      </c>
      <c r="Y813" t="s">
        <v>15729</v>
      </c>
      <c r="Z813" t="s">
        <v>15730</v>
      </c>
      <c r="AA813" t="s">
        <v>15731</v>
      </c>
      <c r="AB813" t="s">
        <v>15732</v>
      </c>
      <c r="AC813" t="s">
        <v>15733</v>
      </c>
      <c r="AD813" t="s">
        <v>15734</v>
      </c>
      <c r="AE813" t="s">
        <v>15735</v>
      </c>
      <c r="AF813" t="s">
        <v>74</v>
      </c>
      <c r="AG813">
        <v>44</v>
      </c>
      <c r="AH813">
        <v>11</v>
      </c>
      <c r="AI813">
        <v>12</v>
      </c>
      <c r="AJ813">
        <v>1</v>
      </c>
      <c r="AK813">
        <v>32</v>
      </c>
      <c r="AL813" t="s">
        <v>1689</v>
      </c>
      <c r="AM813" t="s">
        <v>1540</v>
      </c>
      <c r="AN813" t="s">
        <v>1690</v>
      </c>
      <c r="AO813" t="s">
        <v>74</v>
      </c>
      <c r="AP813" t="s">
        <v>15736</v>
      </c>
      <c r="AQ813" t="s">
        <v>74</v>
      </c>
      <c r="AR813" t="s">
        <v>15737</v>
      </c>
      <c r="AS813" t="s">
        <v>15738</v>
      </c>
      <c r="AT813" t="s">
        <v>15681</v>
      </c>
      <c r="AU813">
        <v>2018</v>
      </c>
      <c r="AV813">
        <v>5</v>
      </c>
      <c r="AW813" t="s">
        <v>74</v>
      </c>
      <c r="AX813" t="s">
        <v>74</v>
      </c>
      <c r="AY813" t="s">
        <v>74</v>
      </c>
      <c r="AZ813" t="s">
        <v>74</v>
      </c>
      <c r="BA813" t="s">
        <v>74</v>
      </c>
      <c r="BB813" t="s">
        <v>74</v>
      </c>
      <c r="BC813" t="s">
        <v>74</v>
      </c>
      <c r="BD813">
        <v>180018</v>
      </c>
      <c r="BE813" t="s">
        <v>15739</v>
      </c>
      <c r="BF813" t="str">
        <f>HYPERLINK("http://dx.doi.org/10.1038/sdata.2018.18","http://dx.doi.org/10.1038/sdata.2018.18")</f>
        <v>http://dx.doi.org/10.1038/sdata.2018.18</v>
      </c>
      <c r="BG813" t="s">
        <v>74</v>
      </c>
      <c r="BH813" t="s">
        <v>74</v>
      </c>
      <c r="BI813">
        <v>8</v>
      </c>
      <c r="BJ813" t="s">
        <v>1670</v>
      </c>
      <c r="BK813" t="s">
        <v>101</v>
      </c>
      <c r="BL813" t="s">
        <v>1671</v>
      </c>
      <c r="BM813" t="s">
        <v>15740</v>
      </c>
      <c r="BN813">
        <v>29461516</v>
      </c>
      <c r="BO813" t="s">
        <v>764</v>
      </c>
      <c r="BP813" t="s">
        <v>74</v>
      </c>
      <c r="BQ813" t="s">
        <v>74</v>
      </c>
      <c r="BR813" t="s">
        <v>105</v>
      </c>
      <c r="BS813" t="s">
        <v>15741</v>
      </c>
      <c r="BT813" t="str">
        <f>HYPERLINK("https%3A%2F%2Fwww.webofscience.com%2Fwos%2Fwoscc%2Ffull-record%2FWOS:000425502700003","View Full Record in Web of Science")</f>
        <v>View Full Record in Web of Science</v>
      </c>
    </row>
    <row r="814" spans="1:72" x14ac:dyDescent="0.15">
      <c r="A814" t="s">
        <v>72</v>
      </c>
      <c r="B814" t="s">
        <v>15742</v>
      </c>
      <c r="C814" t="s">
        <v>74</v>
      </c>
      <c r="D814" t="s">
        <v>74</v>
      </c>
      <c r="E814" t="s">
        <v>74</v>
      </c>
      <c r="F814" t="s">
        <v>15743</v>
      </c>
      <c r="G814" t="s">
        <v>74</v>
      </c>
      <c r="H814" t="s">
        <v>74</v>
      </c>
      <c r="I814" t="s">
        <v>15744</v>
      </c>
      <c r="J814" t="s">
        <v>1651</v>
      </c>
      <c r="K814" t="s">
        <v>74</v>
      </c>
      <c r="L814" t="s">
        <v>74</v>
      </c>
      <c r="M814" t="s">
        <v>78</v>
      </c>
      <c r="N814" t="s">
        <v>79</v>
      </c>
      <c r="O814" t="s">
        <v>74</v>
      </c>
      <c r="P814" t="s">
        <v>74</v>
      </c>
      <c r="Q814" t="s">
        <v>74</v>
      </c>
      <c r="R814" t="s">
        <v>74</v>
      </c>
      <c r="S814" t="s">
        <v>74</v>
      </c>
      <c r="T814" t="s">
        <v>74</v>
      </c>
      <c r="U814" t="s">
        <v>15745</v>
      </c>
      <c r="V814" t="s">
        <v>15746</v>
      </c>
      <c r="W814" t="s">
        <v>15747</v>
      </c>
      <c r="X814" t="s">
        <v>15748</v>
      </c>
      <c r="Y814" t="s">
        <v>15749</v>
      </c>
      <c r="Z814" t="s">
        <v>15750</v>
      </c>
      <c r="AA814" t="s">
        <v>15751</v>
      </c>
      <c r="AB814" t="s">
        <v>15752</v>
      </c>
      <c r="AC814" t="s">
        <v>15753</v>
      </c>
      <c r="AD814" t="s">
        <v>15754</v>
      </c>
      <c r="AE814" t="s">
        <v>15755</v>
      </c>
      <c r="AF814" t="s">
        <v>74</v>
      </c>
      <c r="AG814">
        <v>63</v>
      </c>
      <c r="AH814">
        <v>60</v>
      </c>
      <c r="AI814">
        <v>66</v>
      </c>
      <c r="AJ814">
        <v>3</v>
      </c>
      <c r="AK814">
        <v>33</v>
      </c>
      <c r="AL814" t="s">
        <v>1663</v>
      </c>
      <c r="AM814" t="s">
        <v>1664</v>
      </c>
      <c r="AN814" t="s">
        <v>1665</v>
      </c>
      <c r="AO814" t="s">
        <v>1666</v>
      </c>
      <c r="AP814" t="s">
        <v>74</v>
      </c>
      <c r="AQ814" t="s">
        <v>74</v>
      </c>
      <c r="AR814" t="s">
        <v>1667</v>
      </c>
      <c r="AS814" t="s">
        <v>1668</v>
      </c>
      <c r="AT814" t="s">
        <v>15681</v>
      </c>
      <c r="AU814">
        <v>2018</v>
      </c>
      <c r="AV814">
        <v>8</v>
      </c>
      <c r="AW814" t="s">
        <v>74</v>
      </c>
      <c r="AX814" t="s">
        <v>74</v>
      </c>
      <c r="AY814" t="s">
        <v>74</v>
      </c>
      <c r="AZ814" t="s">
        <v>74</v>
      </c>
      <c r="BA814" t="s">
        <v>74</v>
      </c>
      <c r="BB814" t="s">
        <v>74</v>
      </c>
      <c r="BC814" t="s">
        <v>74</v>
      </c>
      <c r="BD814">
        <v>3367</v>
      </c>
      <c r="BE814" t="s">
        <v>15756</v>
      </c>
      <c r="BF814" t="str">
        <f>HYPERLINK("http://dx.doi.org/10.1038/s41598-018-21682-6","http://dx.doi.org/10.1038/s41598-018-21682-6")</f>
        <v>http://dx.doi.org/10.1038/s41598-018-21682-6</v>
      </c>
      <c r="BG814" t="s">
        <v>74</v>
      </c>
      <c r="BH814" t="s">
        <v>74</v>
      </c>
      <c r="BI814">
        <v>15</v>
      </c>
      <c r="BJ814" t="s">
        <v>1670</v>
      </c>
      <c r="BK814" t="s">
        <v>101</v>
      </c>
      <c r="BL814" t="s">
        <v>1671</v>
      </c>
      <c r="BM814" t="s">
        <v>15757</v>
      </c>
      <c r="BN814">
        <v>29463846</v>
      </c>
      <c r="BO814" t="s">
        <v>764</v>
      </c>
      <c r="BP814" t="s">
        <v>74</v>
      </c>
      <c r="BQ814" t="s">
        <v>74</v>
      </c>
      <c r="BR814" t="s">
        <v>105</v>
      </c>
      <c r="BS814" t="s">
        <v>15758</v>
      </c>
      <c r="BT814" t="str">
        <f>HYPERLINK("https%3A%2F%2Fwww.webofscience.com%2Fwos%2Fwoscc%2Ffull-record%2FWOS:000425500300039","View Full Record in Web of Science")</f>
        <v>View Full Record in Web of Science</v>
      </c>
    </row>
    <row r="815" spans="1:72" x14ac:dyDescent="0.15">
      <c r="A815" t="s">
        <v>72</v>
      </c>
      <c r="B815" t="s">
        <v>15759</v>
      </c>
      <c r="C815" t="s">
        <v>74</v>
      </c>
      <c r="D815" t="s">
        <v>74</v>
      </c>
      <c r="E815" t="s">
        <v>74</v>
      </c>
      <c r="F815" t="s">
        <v>15760</v>
      </c>
      <c r="G815" t="s">
        <v>74</v>
      </c>
      <c r="H815" t="s">
        <v>74</v>
      </c>
      <c r="I815" t="s">
        <v>15761</v>
      </c>
      <c r="J815" t="s">
        <v>2096</v>
      </c>
      <c r="K815" t="s">
        <v>74</v>
      </c>
      <c r="L815" t="s">
        <v>74</v>
      </c>
      <c r="M815" t="s">
        <v>78</v>
      </c>
      <c r="N815" t="s">
        <v>79</v>
      </c>
      <c r="O815" t="s">
        <v>74</v>
      </c>
      <c r="P815" t="s">
        <v>74</v>
      </c>
      <c r="Q815" t="s">
        <v>74</v>
      </c>
      <c r="R815" t="s">
        <v>74</v>
      </c>
      <c r="S815" t="s">
        <v>74</v>
      </c>
      <c r="T815" t="s">
        <v>15762</v>
      </c>
      <c r="U815" t="s">
        <v>15763</v>
      </c>
      <c r="V815" t="s">
        <v>15764</v>
      </c>
      <c r="W815" t="s">
        <v>15765</v>
      </c>
      <c r="X815" t="s">
        <v>15766</v>
      </c>
      <c r="Y815" t="s">
        <v>15767</v>
      </c>
      <c r="Z815" t="s">
        <v>15768</v>
      </c>
      <c r="AA815" t="s">
        <v>15769</v>
      </c>
      <c r="AB815" t="s">
        <v>15770</v>
      </c>
      <c r="AC815" t="s">
        <v>15771</v>
      </c>
      <c r="AD815" t="s">
        <v>15772</v>
      </c>
      <c r="AE815" t="s">
        <v>15773</v>
      </c>
      <c r="AF815" t="s">
        <v>74</v>
      </c>
      <c r="AG815">
        <v>77</v>
      </c>
      <c r="AH815">
        <v>16</v>
      </c>
      <c r="AI815">
        <v>16</v>
      </c>
      <c r="AJ815">
        <v>1</v>
      </c>
      <c r="AK815">
        <v>9</v>
      </c>
      <c r="AL815" t="s">
        <v>2109</v>
      </c>
      <c r="AM815" t="s">
        <v>1540</v>
      </c>
      <c r="AN815" t="s">
        <v>2110</v>
      </c>
      <c r="AO815" t="s">
        <v>2111</v>
      </c>
      <c r="AP815" t="s">
        <v>74</v>
      </c>
      <c r="AQ815" t="s">
        <v>74</v>
      </c>
      <c r="AR815" t="s">
        <v>2096</v>
      </c>
      <c r="AS815" t="s">
        <v>2112</v>
      </c>
      <c r="AT815" t="s">
        <v>15774</v>
      </c>
      <c r="AU815">
        <v>2018</v>
      </c>
      <c r="AV815">
        <v>6</v>
      </c>
      <c r="AW815" t="s">
        <v>74</v>
      </c>
      <c r="AX815" t="s">
        <v>74</v>
      </c>
      <c r="AY815" t="s">
        <v>74</v>
      </c>
      <c r="AZ815" t="s">
        <v>74</v>
      </c>
      <c r="BA815" t="s">
        <v>74</v>
      </c>
      <c r="BB815" t="s">
        <v>74</v>
      </c>
      <c r="BC815" t="s">
        <v>74</v>
      </c>
      <c r="BD815" t="s">
        <v>15775</v>
      </c>
      <c r="BE815" t="s">
        <v>15776</v>
      </c>
      <c r="BF815" t="str">
        <f>HYPERLINK("http://dx.doi.org/10.7717/peerj.4402","http://dx.doi.org/10.7717/peerj.4402")</f>
        <v>http://dx.doi.org/10.7717/peerj.4402</v>
      </c>
      <c r="BG815" t="s">
        <v>74</v>
      </c>
      <c r="BH815" t="s">
        <v>74</v>
      </c>
      <c r="BI815">
        <v>23</v>
      </c>
      <c r="BJ815" t="s">
        <v>1670</v>
      </c>
      <c r="BK815" t="s">
        <v>101</v>
      </c>
      <c r="BL815" t="s">
        <v>1671</v>
      </c>
      <c r="BM815" t="s">
        <v>15777</v>
      </c>
      <c r="BN815">
        <v>29479501</v>
      </c>
      <c r="BO815" t="s">
        <v>2233</v>
      </c>
      <c r="BP815" t="s">
        <v>74</v>
      </c>
      <c r="BQ815" t="s">
        <v>74</v>
      </c>
      <c r="BR815" t="s">
        <v>105</v>
      </c>
      <c r="BS815" t="s">
        <v>15778</v>
      </c>
      <c r="BT815" t="str">
        <f>HYPERLINK("https%3A%2F%2Fwww.webofscience.com%2Fwos%2Fwoscc%2Ffull-record%2FWOS:000426515100005","View Full Record in Web of Science")</f>
        <v>View Full Record in Web of Science</v>
      </c>
    </row>
    <row r="816" spans="1:72" x14ac:dyDescent="0.15">
      <c r="A816" t="s">
        <v>72</v>
      </c>
      <c r="B816" t="s">
        <v>15779</v>
      </c>
      <c r="C816" t="s">
        <v>74</v>
      </c>
      <c r="D816" t="s">
        <v>74</v>
      </c>
      <c r="E816" t="s">
        <v>74</v>
      </c>
      <c r="F816" t="s">
        <v>15780</v>
      </c>
      <c r="G816" t="s">
        <v>74</v>
      </c>
      <c r="H816" t="s">
        <v>74</v>
      </c>
      <c r="I816" t="s">
        <v>15781</v>
      </c>
      <c r="J816" t="s">
        <v>1651</v>
      </c>
      <c r="K816" t="s">
        <v>74</v>
      </c>
      <c r="L816" t="s">
        <v>74</v>
      </c>
      <c r="M816" t="s">
        <v>78</v>
      </c>
      <c r="N816" t="s">
        <v>79</v>
      </c>
      <c r="O816" t="s">
        <v>74</v>
      </c>
      <c r="P816" t="s">
        <v>74</v>
      </c>
      <c r="Q816" t="s">
        <v>74</v>
      </c>
      <c r="R816" t="s">
        <v>74</v>
      </c>
      <c r="S816" t="s">
        <v>74</v>
      </c>
      <c r="T816" t="s">
        <v>74</v>
      </c>
      <c r="U816" t="s">
        <v>15782</v>
      </c>
      <c r="V816" t="s">
        <v>15783</v>
      </c>
      <c r="W816" t="s">
        <v>15784</v>
      </c>
      <c r="X816" t="s">
        <v>15785</v>
      </c>
      <c r="Y816" t="s">
        <v>15786</v>
      </c>
      <c r="Z816" t="s">
        <v>15787</v>
      </c>
      <c r="AA816" t="s">
        <v>15788</v>
      </c>
      <c r="AB816" t="s">
        <v>15789</v>
      </c>
      <c r="AC816" t="s">
        <v>15790</v>
      </c>
      <c r="AD816" t="s">
        <v>15791</v>
      </c>
      <c r="AE816" t="s">
        <v>15792</v>
      </c>
      <c r="AF816" t="s">
        <v>74</v>
      </c>
      <c r="AG816">
        <v>73</v>
      </c>
      <c r="AH816">
        <v>38</v>
      </c>
      <c r="AI816">
        <v>40</v>
      </c>
      <c r="AJ816">
        <v>4</v>
      </c>
      <c r="AK816">
        <v>25</v>
      </c>
      <c r="AL816" t="s">
        <v>1663</v>
      </c>
      <c r="AM816" t="s">
        <v>1664</v>
      </c>
      <c r="AN816" t="s">
        <v>1665</v>
      </c>
      <c r="AO816" t="s">
        <v>1666</v>
      </c>
      <c r="AP816" t="s">
        <v>74</v>
      </c>
      <c r="AQ816" t="s">
        <v>74</v>
      </c>
      <c r="AR816" t="s">
        <v>1667</v>
      </c>
      <c r="AS816" t="s">
        <v>1668</v>
      </c>
      <c r="AT816" t="s">
        <v>15774</v>
      </c>
      <c r="AU816">
        <v>2018</v>
      </c>
      <c r="AV816">
        <v>8</v>
      </c>
      <c r="AW816" t="s">
        <v>74</v>
      </c>
      <c r="AX816" t="s">
        <v>74</v>
      </c>
      <c r="AY816" t="s">
        <v>74</v>
      </c>
      <c r="AZ816" t="s">
        <v>74</v>
      </c>
      <c r="BA816" t="s">
        <v>74</v>
      </c>
      <c r="BB816" t="s">
        <v>74</v>
      </c>
      <c r="BC816" t="s">
        <v>74</v>
      </c>
      <c r="BD816">
        <v>3293</v>
      </c>
      <c r="BE816" t="s">
        <v>15793</v>
      </c>
      <c r="BF816" t="str">
        <f>HYPERLINK("http://dx.doi.org/10.1038/s41598-018-20970-5","http://dx.doi.org/10.1038/s41598-018-20970-5")</f>
        <v>http://dx.doi.org/10.1038/s41598-018-20970-5</v>
      </c>
      <c r="BG816" t="s">
        <v>74</v>
      </c>
      <c r="BH816" t="s">
        <v>74</v>
      </c>
      <c r="BI816">
        <v>10</v>
      </c>
      <c r="BJ816" t="s">
        <v>1670</v>
      </c>
      <c r="BK816" t="s">
        <v>101</v>
      </c>
      <c r="BL816" t="s">
        <v>1671</v>
      </c>
      <c r="BM816" t="s">
        <v>15794</v>
      </c>
      <c r="BN816">
        <v>29459648</v>
      </c>
      <c r="BO816" t="s">
        <v>487</v>
      </c>
      <c r="BP816" t="s">
        <v>74</v>
      </c>
      <c r="BQ816" t="s">
        <v>74</v>
      </c>
      <c r="BR816" t="s">
        <v>105</v>
      </c>
      <c r="BS816" t="s">
        <v>15795</v>
      </c>
      <c r="BT816" t="str">
        <f>HYPERLINK("https%3A%2F%2Fwww.webofscience.com%2Fwos%2Fwoscc%2Ffull-record%2FWOS:000425380900076","View Full Record in Web of Science")</f>
        <v>View Full Record in Web of Science</v>
      </c>
    </row>
    <row r="817" spans="1:72" x14ac:dyDescent="0.15">
      <c r="A817" t="s">
        <v>72</v>
      </c>
      <c r="B817" t="s">
        <v>15796</v>
      </c>
      <c r="C817" t="s">
        <v>74</v>
      </c>
      <c r="D817" t="s">
        <v>74</v>
      </c>
      <c r="E817" t="s">
        <v>74</v>
      </c>
      <c r="F817" t="s">
        <v>15797</v>
      </c>
      <c r="G817" t="s">
        <v>74</v>
      </c>
      <c r="H817" t="s">
        <v>74</v>
      </c>
      <c r="I817" t="s">
        <v>15798</v>
      </c>
      <c r="J817" t="s">
        <v>2605</v>
      </c>
      <c r="K817" t="s">
        <v>74</v>
      </c>
      <c r="L817" t="s">
        <v>74</v>
      </c>
      <c r="M817" t="s">
        <v>78</v>
      </c>
      <c r="N817" t="s">
        <v>79</v>
      </c>
      <c r="O817" t="s">
        <v>74</v>
      </c>
      <c r="P817" t="s">
        <v>74</v>
      </c>
      <c r="Q817" t="s">
        <v>74</v>
      </c>
      <c r="R817" t="s">
        <v>74</v>
      </c>
      <c r="S817" t="s">
        <v>74</v>
      </c>
      <c r="T817" t="s">
        <v>15799</v>
      </c>
      <c r="U817" t="s">
        <v>15800</v>
      </c>
      <c r="V817" t="s">
        <v>15801</v>
      </c>
      <c r="W817" t="s">
        <v>15802</v>
      </c>
      <c r="X817" t="s">
        <v>15803</v>
      </c>
      <c r="Y817" t="s">
        <v>15804</v>
      </c>
      <c r="Z817" t="s">
        <v>15805</v>
      </c>
      <c r="AA817" t="s">
        <v>15806</v>
      </c>
      <c r="AB817" t="s">
        <v>15807</v>
      </c>
      <c r="AC817" t="s">
        <v>15808</v>
      </c>
      <c r="AD817" t="s">
        <v>15809</v>
      </c>
      <c r="AE817" t="s">
        <v>15810</v>
      </c>
      <c r="AF817" t="s">
        <v>74</v>
      </c>
      <c r="AG817">
        <v>72</v>
      </c>
      <c r="AH817">
        <v>14</v>
      </c>
      <c r="AI817">
        <v>18</v>
      </c>
      <c r="AJ817">
        <v>0</v>
      </c>
      <c r="AK817">
        <v>8</v>
      </c>
      <c r="AL817" t="s">
        <v>2619</v>
      </c>
      <c r="AM817" t="s">
        <v>2536</v>
      </c>
      <c r="AN817" t="s">
        <v>2537</v>
      </c>
      <c r="AO817" t="s">
        <v>2620</v>
      </c>
      <c r="AP817" t="s">
        <v>2621</v>
      </c>
      <c r="AQ817" t="s">
        <v>74</v>
      </c>
      <c r="AR817" t="s">
        <v>2605</v>
      </c>
      <c r="AS817" t="s">
        <v>2622</v>
      </c>
      <c r="AT817" t="s">
        <v>15774</v>
      </c>
      <c r="AU817">
        <v>2018</v>
      </c>
      <c r="AV817" t="s">
        <v>74</v>
      </c>
      <c r="AW817">
        <v>738</v>
      </c>
      <c r="AX817" t="s">
        <v>74</v>
      </c>
      <c r="AY817" t="s">
        <v>74</v>
      </c>
      <c r="AZ817" t="s">
        <v>74</v>
      </c>
      <c r="BA817" t="s">
        <v>74</v>
      </c>
      <c r="BB817">
        <v>1</v>
      </c>
      <c r="BC817">
        <v>25</v>
      </c>
      <c r="BD817" t="s">
        <v>74</v>
      </c>
      <c r="BE817" t="s">
        <v>15811</v>
      </c>
      <c r="BF817" t="str">
        <f>HYPERLINK("http://dx.doi.org/10.3897/zookeys.738.21175","http://dx.doi.org/10.3897/zookeys.738.21175")</f>
        <v>http://dx.doi.org/10.3897/zookeys.738.21175</v>
      </c>
      <c r="BG817" t="s">
        <v>74</v>
      </c>
      <c r="BH817" t="s">
        <v>74</v>
      </c>
      <c r="BI817">
        <v>25</v>
      </c>
      <c r="BJ817" t="s">
        <v>2624</v>
      </c>
      <c r="BK817" t="s">
        <v>101</v>
      </c>
      <c r="BL817" t="s">
        <v>2624</v>
      </c>
      <c r="BM817" t="s">
        <v>15812</v>
      </c>
      <c r="BN817">
        <v>29670417</v>
      </c>
      <c r="BO817" t="s">
        <v>2233</v>
      </c>
      <c r="BP817" t="s">
        <v>74</v>
      </c>
      <c r="BQ817" t="s">
        <v>74</v>
      </c>
      <c r="BR817" t="s">
        <v>105</v>
      </c>
      <c r="BS817" t="s">
        <v>15813</v>
      </c>
      <c r="BT817" t="str">
        <f>HYPERLINK("https%3A%2F%2Fwww.webofscience.com%2Fwos%2Fwoscc%2Ffull-record%2FWOS:000425583800001","View Full Record in Web of Science")</f>
        <v>View Full Record in Web of Science</v>
      </c>
    </row>
    <row r="818" spans="1:72" x14ac:dyDescent="0.15">
      <c r="A818" t="s">
        <v>72</v>
      </c>
      <c r="B818" t="s">
        <v>15814</v>
      </c>
      <c r="C818" t="s">
        <v>74</v>
      </c>
      <c r="D818" t="s">
        <v>74</v>
      </c>
      <c r="E818" t="s">
        <v>74</v>
      </c>
      <c r="F818" t="s">
        <v>15815</v>
      </c>
      <c r="G818" t="s">
        <v>74</v>
      </c>
      <c r="H818" t="s">
        <v>74</v>
      </c>
      <c r="I818" t="s">
        <v>15816</v>
      </c>
      <c r="J818" t="s">
        <v>1552</v>
      </c>
      <c r="K818" t="s">
        <v>74</v>
      </c>
      <c r="L818" t="s">
        <v>74</v>
      </c>
      <c r="M818" t="s">
        <v>78</v>
      </c>
      <c r="N818" t="s">
        <v>79</v>
      </c>
      <c r="O818" t="s">
        <v>74</v>
      </c>
      <c r="P818" t="s">
        <v>74</v>
      </c>
      <c r="Q818" t="s">
        <v>74</v>
      </c>
      <c r="R818" t="s">
        <v>74</v>
      </c>
      <c r="S818" t="s">
        <v>74</v>
      </c>
      <c r="T818" t="s">
        <v>74</v>
      </c>
      <c r="U818" t="s">
        <v>15817</v>
      </c>
      <c r="V818" t="s">
        <v>15818</v>
      </c>
      <c r="W818" t="s">
        <v>15819</v>
      </c>
      <c r="X818" t="s">
        <v>15820</v>
      </c>
      <c r="Y818" t="s">
        <v>15821</v>
      </c>
      <c r="Z818" t="s">
        <v>15822</v>
      </c>
      <c r="AA818" t="s">
        <v>15823</v>
      </c>
      <c r="AB818" t="s">
        <v>15824</v>
      </c>
      <c r="AC818" t="s">
        <v>74</v>
      </c>
      <c r="AD818" t="s">
        <v>74</v>
      </c>
      <c r="AE818" t="s">
        <v>74</v>
      </c>
      <c r="AF818" t="s">
        <v>74</v>
      </c>
      <c r="AG818">
        <v>72</v>
      </c>
      <c r="AH818">
        <v>15</v>
      </c>
      <c r="AI818">
        <v>16</v>
      </c>
      <c r="AJ818">
        <v>2</v>
      </c>
      <c r="AK818">
        <v>23</v>
      </c>
      <c r="AL818" t="s">
        <v>1563</v>
      </c>
      <c r="AM818" t="s">
        <v>1564</v>
      </c>
      <c r="AN818" t="s">
        <v>1565</v>
      </c>
      <c r="AO818" t="s">
        <v>1566</v>
      </c>
      <c r="AP818" t="s">
        <v>1567</v>
      </c>
      <c r="AQ818" t="s">
        <v>74</v>
      </c>
      <c r="AR818" t="s">
        <v>1568</v>
      </c>
      <c r="AS818" t="s">
        <v>1569</v>
      </c>
      <c r="AT818" t="s">
        <v>15774</v>
      </c>
      <c r="AU818">
        <v>2018</v>
      </c>
      <c r="AV818">
        <v>18</v>
      </c>
      <c r="AW818">
        <v>4</v>
      </c>
      <c r="AX818" t="s">
        <v>74</v>
      </c>
      <c r="AY818" t="s">
        <v>74</v>
      </c>
      <c r="AZ818" t="s">
        <v>74</v>
      </c>
      <c r="BA818" t="s">
        <v>74</v>
      </c>
      <c r="BB818">
        <v>2413</v>
      </c>
      <c r="BC818">
        <v>2430</v>
      </c>
      <c r="BD818" t="s">
        <v>74</v>
      </c>
      <c r="BE818" t="s">
        <v>15825</v>
      </c>
      <c r="BF818" t="str">
        <f>HYPERLINK("http://dx.doi.org/10.5194/acp-18-2413-2018","http://dx.doi.org/10.5194/acp-18-2413-2018")</f>
        <v>http://dx.doi.org/10.5194/acp-18-2413-2018</v>
      </c>
      <c r="BG818" t="s">
        <v>74</v>
      </c>
      <c r="BH818" t="s">
        <v>74</v>
      </c>
      <c r="BI818">
        <v>18</v>
      </c>
      <c r="BJ818" t="s">
        <v>285</v>
      </c>
      <c r="BK818" t="s">
        <v>101</v>
      </c>
      <c r="BL818" t="s">
        <v>286</v>
      </c>
      <c r="BM818" t="s">
        <v>15826</v>
      </c>
      <c r="BN818" t="s">
        <v>74</v>
      </c>
      <c r="BO818" t="s">
        <v>830</v>
      </c>
      <c r="BP818" t="s">
        <v>74</v>
      </c>
      <c r="BQ818" t="s">
        <v>74</v>
      </c>
      <c r="BR818" t="s">
        <v>105</v>
      </c>
      <c r="BS818" t="s">
        <v>15827</v>
      </c>
      <c r="BT818" t="str">
        <f>HYPERLINK("https%3A%2F%2Fwww.webofscience.com%2Fwos%2Fwoscc%2Ffull-record%2FWOS:000425505500004","View Full Record in Web of Science")</f>
        <v>View Full Record in Web of Science</v>
      </c>
    </row>
    <row r="819" spans="1:72" x14ac:dyDescent="0.15">
      <c r="A819" t="s">
        <v>72</v>
      </c>
      <c r="B819" t="s">
        <v>15828</v>
      </c>
      <c r="C819" t="s">
        <v>74</v>
      </c>
      <c r="D819" t="s">
        <v>74</v>
      </c>
      <c r="E819" t="s">
        <v>74</v>
      </c>
      <c r="F819" t="s">
        <v>15829</v>
      </c>
      <c r="G819" t="s">
        <v>74</v>
      </c>
      <c r="H819" t="s">
        <v>74</v>
      </c>
      <c r="I819" t="s">
        <v>15830</v>
      </c>
      <c r="J819" t="s">
        <v>1938</v>
      </c>
      <c r="K819" t="s">
        <v>74</v>
      </c>
      <c r="L819" t="s">
        <v>74</v>
      </c>
      <c r="M819" t="s">
        <v>78</v>
      </c>
      <c r="N819" t="s">
        <v>79</v>
      </c>
      <c r="O819" t="s">
        <v>74</v>
      </c>
      <c r="P819" t="s">
        <v>74</v>
      </c>
      <c r="Q819" t="s">
        <v>74</v>
      </c>
      <c r="R819" t="s">
        <v>74</v>
      </c>
      <c r="S819" t="s">
        <v>74</v>
      </c>
      <c r="T819" t="s">
        <v>15831</v>
      </c>
      <c r="U819" t="s">
        <v>15832</v>
      </c>
      <c r="V819" t="s">
        <v>15833</v>
      </c>
      <c r="W819" t="s">
        <v>15834</v>
      </c>
      <c r="X819" t="s">
        <v>15835</v>
      </c>
      <c r="Y819" t="s">
        <v>15836</v>
      </c>
      <c r="Z819" t="s">
        <v>15837</v>
      </c>
      <c r="AA819" t="s">
        <v>15838</v>
      </c>
      <c r="AB819" t="s">
        <v>15839</v>
      </c>
      <c r="AC819" t="s">
        <v>15840</v>
      </c>
      <c r="AD819" t="s">
        <v>15841</v>
      </c>
      <c r="AE819" t="s">
        <v>15842</v>
      </c>
      <c r="AF819" t="s">
        <v>74</v>
      </c>
      <c r="AG819">
        <v>107</v>
      </c>
      <c r="AH819">
        <v>27</v>
      </c>
      <c r="AI819">
        <v>30</v>
      </c>
      <c r="AJ819">
        <v>0</v>
      </c>
      <c r="AK819">
        <v>28</v>
      </c>
      <c r="AL819" t="s">
        <v>574</v>
      </c>
      <c r="AM819" t="s">
        <v>575</v>
      </c>
      <c r="AN819" t="s">
        <v>576</v>
      </c>
      <c r="AO819" t="s">
        <v>1951</v>
      </c>
      <c r="AP819" t="s">
        <v>1952</v>
      </c>
      <c r="AQ819" t="s">
        <v>74</v>
      </c>
      <c r="AR819" t="s">
        <v>1953</v>
      </c>
      <c r="AS819" t="s">
        <v>1954</v>
      </c>
      <c r="AT819" t="s">
        <v>15843</v>
      </c>
      <c r="AU819">
        <v>2018</v>
      </c>
      <c r="AV819">
        <v>123</v>
      </c>
      <c r="AW819">
        <v>3</v>
      </c>
      <c r="AX819" t="s">
        <v>74</v>
      </c>
      <c r="AY819" t="s">
        <v>74</v>
      </c>
      <c r="AZ819" t="s">
        <v>74</v>
      </c>
      <c r="BA819" t="s">
        <v>74</v>
      </c>
      <c r="BB819">
        <v>1510</v>
      </c>
      <c r="BC819">
        <v>1535</v>
      </c>
      <c r="BD819" t="s">
        <v>74</v>
      </c>
      <c r="BE819" t="s">
        <v>15844</v>
      </c>
      <c r="BF819" t="str">
        <f>HYPERLINK("http://dx.doi.org/10.1002/2017JD027556","http://dx.doi.org/10.1002/2017JD027556")</f>
        <v>http://dx.doi.org/10.1002/2017JD027556</v>
      </c>
      <c r="BG819" t="s">
        <v>74</v>
      </c>
      <c r="BH819" t="s">
        <v>74</v>
      </c>
      <c r="BI819">
        <v>26</v>
      </c>
      <c r="BJ819" t="s">
        <v>131</v>
      </c>
      <c r="BK819" t="s">
        <v>101</v>
      </c>
      <c r="BL819" t="s">
        <v>131</v>
      </c>
      <c r="BM819" t="s">
        <v>15845</v>
      </c>
      <c r="BN819" t="s">
        <v>74</v>
      </c>
      <c r="BO819" t="s">
        <v>74</v>
      </c>
      <c r="BP819" t="s">
        <v>74</v>
      </c>
      <c r="BQ819" t="s">
        <v>74</v>
      </c>
      <c r="BR819" t="s">
        <v>105</v>
      </c>
      <c r="BS819" t="s">
        <v>15846</v>
      </c>
      <c r="BT819" t="str">
        <f>HYPERLINK("https%3A%2F%2Fwww.webofscience.com%2Fwos%2Fwoscc%2Ffull-record%2FWOS:000426074000003","View Full Record in Web of Science")</f>
        <v>View Full Record in Web of Science</v>
      </c>
    </row>
    <row r="820" spans="1:72" x14ac:dyDescent="0.15">
      <c r="A820" t="s">
        <v>72</v>
      </c>
      <c r="B820" t="s">
        <v>15847</v>
      </c>
      <c r="C820" t="s">
        <v>74</v>
      </c>
      <c r="D820" t="s">
        <v>74</v>
      </c>
      <c r="E820" t="s">
        <v>74</v>
      </c>
      <c r="F820" t="s">
        <v>15848</v>
      </c>
      <c r="G820" t="s">
        <v>74</v>
      </c>
      <c r="H820" t="s">
        <v>74</v>
      </c>
      <c r="I820" t="s">
        <v>15849</v>
      </c>
      <c r="J820" t="s">
        <v>1651</v>
      </c>
      <c r="K820" t="s">
        <v>74</v>
      </c>
      <c r="L820" t="s">
        <v>74</v>
      </c>
      <c r="M820" t="s">
        <v>78</v>
      </c>
      <c r="N820" t="s">
        <v>79</v>
      </c>
      <c r="O820" t="s">
        <v>74</v>
      </c>
      <c r="P820" t="s">
        <v>74</v>
      </c>
      <c r="Q820" t="s">
        <v>74</v>
      </c>
      <c r="R820" t="s">
        <v>74</v>
      </c>
      <c r="S820" t="s">
        <v>74</v>
      </c>
      <c r="T820" t="s">
        <v>74</v>
      </c>
      <c r="U820" t="s">
        <v>15850</v>
      </c>
      <c r="V820" t="s">
        <v>15851</v>
      </c>
      <c r="W820" t="s">
        <v>15852</v>
      </c>
      <c r="X820" t="s">
        <v>15853</v>
      </c>
      <c r="Y820" t="s">
        <v>15854</v>
      </c>
      <c r="Z820" t="s">
        <v>15855</v>
      </c>
      <c r="AA820" t="s">
        <v>15856</v>
      </c>
      <c r="AB820" t="s">
        <v>15857</v>
      </c>
      <c r="AC820" t="s">
        <v>15858</v>
      </c>
      <c r="AD820" t="s">
        <v>15859</v>
      </c>
      <c r="AE820" t="s">
        <v>15860</v>
      </c>
      <c r="AF820" t="s">
        <v>74</v>
      </c>
      <c r="AG820">
        <v>68</v>
      </c>
      <c r="AH820">
        <v>37</v>
      </c>
      <c r="AI820">
        <v>38</v>
      </c>
      <c r="AJ820">
        <v>0</v>
      </c>
      <c r="AK820">
        <v>20</v>
      </c>
      <c r="AL820" t="s">
        <v>1663</v>
      </c>
      <c r="AM820" t="s">
        <v>1664</v>
      </c>
      <c r="AN820" t="s">
        <v>1665</v>
      </c>
      <c r="AO820" t="s">
        <v>1666</v>
      </c>
      <c r="AP820" t="s">
        <v>74</v>
      </c>
      <c r="AQ820" t="s">
        <v>74</v>
      </c>
      <c r="AR820" t="s">
        <v>1667</v>
      </c>
      <c r="AS820" t="s">
        <v>1668</v>
      </c>
      <c r="AT820" t="s">
        <v>15843</v>
      </c>
      <c r="AU820">
        <v>2018</v>
      </c>
      <c r="AV820">
        <v>8</v>
      </c>
      <c r="AW820" t="s">
        <v>74</v>
      </c>
      <c r="AX820" t="s">
        <v>74</v>
      </c>
      <c r="AY820" t="s">
        <v>74</v>
      </c>
      <c r="AZ820" t="s">
        <v>74</v>
      </c>
      <c r="BA820" t="s">
        <v>74</v>
      </c>
      <c r="BB820" t="s">
        <v>74</v>
      </c>
      <c r="BC820" t="s">
        <v>74</v>
      </c>
      <c r="BD820">
        <v>3183</v>
      </c>
      <c r="BE820" t="s">
        <v>15861</v>
      </c>
      <c r="BF820" t="str">
        <f>HYPERLINK("http://dx.doi.org/10.1038/s41598-018-21388-9","http://dx.doi.org/10.1038/s41598-018-21388-9")</f>
        <v>http://dx.doi.org/10.1038/s41598-018-21388-9</v>
      </c>
      <c r="BG820" t="s">
        <v>74</v>
      </c>
      <c r="BH820" t="s">
        <v>74</v>
      </c>
      <c r="BI820">
        <v>15</v>
      </c>
      <c r="BJ820" t="s">
        <v>1670</v>
      </c>
      <c r="BK820" t="s">
        <v>101</v>
      </c>
      <c r="BL820" t="s">
        <v>1671</v>
      </c>
      <c r="BM820" t="s">
        <v>15862</v>
      </c>
      <c r="BN820">
        <v>29453356</v>
      </c>
      <c r="BO820" t="s">
        <v>3105</v>
      </c>
      <c r="BP820" t="s">
        <v>74</v>
      </c>
      <c r="BQ820" t="s">
        <v>74</v>
      </c>
      <c r="BR820" t="s">
        <v>105</v>
      </c>
      <c r="BS820" t="s">
        <v>15863</v>
      </c>
      <c r="BT820" t="str">
        <f>HYPERLINK("https%3A%2F%2Fwww.webofscience.com%2Fwos%2Fwoscc%2Ffull-record%2FWOS:000425285200013","View Full Record in Web of Science")</f>
        <v>View Full Record in Web of Science</v>
      </c>
    </row>
    <row r="821" spans="1:72" x14ac:dyDescent="0.15">
      <c r="A821" t="s">
        <v>72</v>
      </c>
      <c r="B821" t="s">
        <v>8487</v>
      </c>
      <c r="C821" t="s">
        <v>74</v>
      </c>
      <c r="D821" t="s">
        <v>74</v>
      </c>
      <c r="E821" t="s">
        <v>74</v>
      </c>
      <c r="F821" t="s">
        <v>8487</v>
      </c>
      <c r="G821" t="s">
        <v>74</v>
      </c>
      <c r="H821" t="s">
        <v>74</v>
      </c>
      <c r="I821" t="s">
        <v>15864</v>
      </c>
      <c r="J821" t="s">
        <v>11496</v>
      </c>
      <c r="K821" t="s">
        <v>74</v>
      </c>
      <c r="L821" t="s">
        <v>74</v>
      </c>
      <c r="M821" t="s">
        <v>78</v>
      </c>
      <c r="N821" t="s">
        <v>8489</v>
      </c>
      <c r="O821" t="s">
        <v>74</v>
      </c>
      <c r="P821" t="s">
        <v>74</v>
      </c>
      <c r="Q821" t="s">
        <v>74</v>
      </c>
      <c r="R821" t="s">
        <v>74</v>
      </c>
      <c r="S821" t="s">
        <v>74</v>
      </c>
      <c r="T821" t="s">
        <v>74</v>
      </c>
      <c r="U821" t="s">
        <v>74</v>
      </c>
      <c r="V821" t="s">
        <v>74</v>
      </c>
      <c r="W821" t="s">
        <v>74</v>
      </c>
      <c r="X821" t="s">
        <v>74</v>
      </c>
      <c r="Y821" t="s">
        <v>74</v>
      </c>
      <c r="Z821" t="s">
        <v>74</v>
      </c>
      <c r="AA821" t="s">
        <v>74</v>
      </c>
      <c r="AB821" t="s">
        <v>74</v>
      </c>
      <c r="AC821" t="s">
        <v>74</v>
      </c>
      <c r="AD821" t="s">
        <v>74</v>
      </c>
      <c r="AE821" t="s">
        <v>74</v>
      </c>
      <c r="AF821" t="s">
        <v>74</v>
      </c>
      <c r="AG821">
        <v>0</v>
      </c>
      <c r="AH821">
        <v>0</v>
      </c>
      <c r="AI821">
        <v>0</v>
      </c>
      <c r="AJ821">
        <v>0</v>
      </c>
      <c r="AK821">
        <v>1</v>
      </c>
      <c r="AL821" t="s">
        <v>5521</v>
      </c>
      <c r="AM821" t="s">
        <v>575</v>
      </c>
      <c r="AN821" t="s">
        <v>5522</v>
      </c>
      <c r="AO821" t="s">
        <v>11497</v>
      </c>
      <c r="AP821" t="s">
        <v>11498</v>
      </c>
      <c r="AQ821" t="s">
        <v>74</v>
      </c>
      <c r="AR821" t="s">
        <v>11496</v>
      </c>
      <c r="AS821" t="s">
        <v>11499</v>
      </c>
      <c r="AT821" t="s">
        <v>15843</v>
      </c>
      <c r="AU821">
        <v>2018</v>
      </c>
      <c r="AV821">
        <v>359</v>
      </c>
      <c r="AW821">
        <v>6377</v>
      </c>
      <c r="AX821" t="s">
        <v>74</v>
      </c>
      <c r="AY821" t="s">
        <v>74</v>
      </c>
      <c r="AZ821" t="s">
        <v>74</v>
      </c>
      <c r="BA821" t="s">
        <v>74</v>
      </c>
      <c r="BB821">
        <v>722</v>
      </c>
      <c r="BC821">
        <v>722</v>
      </c>
      <c r="BD821" t="s">
        <v>74</v>
      </c>
      <c r="BE821" t="s">
        <v>74</v>
      </c>
      <c r="BF821" t="s">
        <v>74</v>
      </c>
      <c r="BG821" t="s">
        <v>74</v>
      </c>
      <c r="BH821" t="s">
        <v>74</v>
      </c>
      <c r="BI821">
        <v>1</v>
      </c>
      <c r="BJ821" t="s">
        <v>1670</v>
      </c>
      <c r="BK821" t="s">
        <v>101</v>
      </c>
      <c r="BL821" t="s">
        <v>1671</v>
      </c>
      <c r="BM821" t="s">
        <v>15865</v>
      </c>
      <c r="BN821" t="s">
        <v>74</v>
      </c>
      <c r="BO821" t="s">
        <v>74</v>
      </c>
      <c r="BP821" t="s">
        <v>74</v>
      </c>
      <c r="BQ821" t="s">
        <v>74</v>
      </c>
      <c r="BR821" t="s">
        <v>105</v>
      </c>
      <c r="BS821" t="s">
        <v>15866</v>
      </c>
      <c r="BT821" t="str">
        <f>HYPERLINK("https%3A%2F%2Fwww.webofscience.com%2Fwos%2Fwoscc%2Ffull-record%2FWOS:000425116200014","View Full Record in Web of Science")</f>
        <v>View Full Record in Web of Science</v>
      </c>
    </row>
    <row r="822" spans="1:72" x14ac:dyDescent="0.15">
      <c r="A822" t="s">
        <v>72</v>
      </c>
      <c r="B822" t="s">
        <v>15867</v>
      </c>
      <c r="C822" t="s">
        <v>74</v>
      </c>
      <c r="D822" t="s">
        <v>74</v>
      </c>
      <c r="E822" t="s">
        <v>74</v>
      </c>
      <c r="F822" t="s">
        <v>15868</v>
      </c>
      <c r="G822" t="s">
        <v>74</v>
      </c>
      <c r="H822" t="s">
        <v>74</v>
      </c>
      <c r="I822" t="s">
        <v>15869</v>
      </c>
      <c r="J822" t="s">
        <v>1749</v>
      </c>
      <c r="K822" t="s">
        <v>74</v>
      </c>
      <c r="L822" t="s">
        <v>74</v>
      </c>
      <c r="M822" t="s">
        <v>78</v>
      </c>
      <c r="N822" t="s">
        <v>79</v>
      </c>
      <c r="O822" t="s">
        <v>74</v>
      </c>
      <c r="P822" t="s">
        <v>74</v>
      </c>
      <c r="Q822" t="s">
        <v>74</v>
      </c>
      <c r="R822" t="s">
        <v>74</v>
      </c>
      <c r="S822" t="s">
        <v>74</v>
      </c>
      <c r="T822" t="s">
        <v>15870</v>
      </c>
      <c r="U822" t="s">
        <v>15871</v>
      </c>
      <c r="V822" t="s">
        <v>15872</v>
      </c>
      <c r="W822" t="s">
        <v>15873</v>
      </c>
      <c r="X822" t="s">
        <v>15874</v>
      </c>
      <c r="Y822" t="s">
        <v>15875</v>
      </c>
      <c r="Z822" t="s">
        <v>15876</v>
      </c>
      <c r="AA822" t="s">
        <v>15877</v>
      </c>
      <c r="AB822" t="s">
        <v>15878</v>
      </c>
      <c r="AC822" t="s">
        <v>15879</v>
      </c>
      <c r="AD822" t="s">
        <v>15880</v>
      </c>
      <c r="AE822" t="s">
        <v>15881</v>
      </c>
      <c r="AF822" t="s">
        <v>74</v>
      </c>
      <c r="AG822">
        <v>42</v>
      </c>
      <c r="AH822">
        <v>43</v>
      </c>
      <c r="AI822">
        <v>48</v>
      </c>
      <c r="AJ822">
        <v>0</v>
      </c>
      <c r="AK822">
        <v>21</v>
      </c>
      <c r="AL822" t="s">
        <v>574</v>
      </c>
      <c r="AM822" t="s">
        <v>575</v>
      </c>
      <c r="AN822" t="s">
        <v>576</v>
      </c>
      <c r="AO822" t="s">
        <v>1761</v>
      </c>
      <c r="AP822" t="s">
        <v>1762</v>
      </c>
      <c r="AQ822" t="s">
        <v>74</v>
      </c>
      <c r="AR822" t="s">
        <v>1763</v>
      </c>
      <c r="AS822" t="s">
        <v>1764</v>
      </c>
      <c r="AT822" t="s">
        <v>15843</v>
      </c>
      <c r="AU822">
        <v>2018</v>
      </c>
      <c r="AV822">
        <v>45</v>
      </c>
      <c r="AW822">
        <v>3</v>
      </c>
      <c r="AX822" t="s">
        <v>74</v>
      </c>
      <c r="AY822" t="s">
        <v>74</v>
      </c>
      <c r="AZ822" t="s">
        <v>74</v>
      </c>
      <c r="BA822" t="s">
        <v>74</v>
      </c>
      <c r="BB822">
        <v>1472</v>
      </c>
      <c r="BC822">
        <v>1480</v>
      </c>
      <c r="BD822" t="s">
        <v>74</v>
      </c>
      <c r="BE822" t="s">
        <v>15882</v>
      </c>
      <c r="BF822" t="str">
        <f>HYPERLINK("http://dx.doi.org/10.1002/2017GL075992","http://dx.doi.org/10.1002/2017GL075992")</f>
        <v>http://dx.doi.org/10.1002/2017GL075992</v>
      </c>
      <c r="BG822" t="s">
        <v>74</v>
      </c>
      <c r="BH822" t="s">
        <v>74</v>
      </c>
      <c r="BI822">
        <v>9</v>
      </c>
      <c r="BJ822" t="s">
        <v>1243</v>
      </c>
      <c r="BK822" t="s">
        <v>101</v>
      </c>
      <c r="BL822" t="s">
        <v>1181</v>
      </c>
      <c r="BM822" t="s">
        <v>15883</v>
      </c>
      <c r="BN822" t="s">
        <v>74</v>
      </c>
      <c r="BO822" t="s">
        <v>980</v>
      </c>
      <c r="BP822" t="s">
        <v>74</v>
      </c>
      <c r="BQ822" t="s">
        <v>74</v>
      </c>
      <c r="BR822" t="s">
        <v>105</v>
      </c>
      <c r="BS822" t="s">
        <v>15884</v>
      </c>
      <c r="BT822" t="str">
        <f>HYPERLINK("https%3A%2F%2Fwww.webofscience.com%2Fwos%2Fwoscc%2Ffull-record%2FWOS:000426161800033","View Full Record in Web of Science")</f>
        <v>View Full Record in Web of Science</v>
      </c>
    </row>
    <row r="823" spans="1:72" x14ac:dyDescent="0.15">
      <c r="A823" t="s">
        <v>72</v>
      </c>
      <c r="B823" t="s">
        <v>15885</v>
      </c>
      <c r="C823" t="s">
        <v>74</v>
      </c>
      <c r="D823" t="s">
        <v>74</v>
      </c>
      <c r="E823" t="s">
        <v>74</v>
      </c>
      <c r="F823" t="s">
        <v>15886</v>
      </c>
      <c r="G823" t="s">
        <v>74</v>
      </c>
      <c r="H823" t="s">
        <v>74</v>
      </c>
      <c r="I823" t="s">
        <v>15887</v>
      </c>
      <c r="J823" t="s">
        <v>1552</v>
      </c>
      <c r="K823" t="s">
        <v>74</v>
      </c>
      <c r="L823" t="s">
        <v>74</v>
      </c>
      <c r="M823" t="s">
        <v>78</v>
      </c>
      <c r="N823" t="s">
        <v>79</v>
      </c>
      <c r="O823" t="s">
        <v>74</v>
      </c>
      <c r="P823" t="s">
        <v>74</v>
      </c>
      <c r="Q823" t="s">
        <v>74</v>
      </c>
      <c r="R823" t="s">
        <v>74</v>
      </c>
      <c r="S823" t="s">
        <v>74</v>
      </c>
      <c r="T823" t="s">
        <v>74</v>
      </c>
      <c r="U823" t="s">
        <v>15888</v>
      </c>
      <c r="V823" t="s">
        <v>15889</v>
      </c>
      <c r="W823" t="s">
        <v>15890</v>
      </c>
      <c r="X823" t="s">
        <v>15891</v>
      </c>
      <c r="Y823" t="s">
        <v>15892</v>
      </c>
      <c r="Z823" t="s">
        <v>15893</v>
      </c>
      <c r="AA823" t="s">
        <v>15894</v>
      </c>
      <c r="AB823" t="s">
        <v>15895</v>
      </c>
      <c r="AC823" t="s">
        <v>15896</v>
      </c>
      <c r="AD823" t="s">
        <v>15897</v>
      </c>
      <c r="AE823" t="s">
        <v>15898</v>
      </c>
      <c r="AF823" t="s">
        <v>74</v>
      </c>
      <c r="AG823">
        <v>64</v>
      </c>
      <c r="AH823">
        <v>39</v>
      </c>
      <c r="AI823">
        <v>40</v>
      </c>
      <c r="AJ823">
        <v>1</v>
      </c>
      <c r="AK823">
        <v>34</v>
      </c>
      <c r="AL823" t="s">
        <v>1563</v>
      </c>
      <c r="AM823" t="s">
        <v>1564</v>
      </c>
      <c r="AN823" t="s">
        <v>1565</v>
      </c>
      <c r="AO823" t="s">
        <v>1566</v>
      </c>
      <c r="AP823" t="s">
        <v>1567</v>
      </c>
      <c r="AQ823" t="s">
        <v>74</v>
      </c>
      <c r="AR823" t="s">
        <v>1568</v>
      </c>
      <c r="AS823" t="s">
        <v>1569</v>
      </c>
      <c r="AT823" t="s">
        <v>15899</v>
      </c>
      <c r="AU823">
        <v>2018</v>
      </c>
      <c r="AV823">
        <v>18</v>
      </c>
      <c r="AW823">
        <v>3</v>
      </c>
      <c r="AX823" t="s">
        <v>74</v>
      </c>
      <c r="AY823" t="s">
        <v>74</v>
      </c>
      <c r="AZ823" t="s">
        <v>74</v>
      </c>
      <c r="BA823" t="s">
        <v>74</v>
      </c>
      <c r="BB823">
        <v>2307</v>
      </c>
      <c r="BC823">
        <v>2328</v>
      </c>
      <c r="BD823" t="s">
        <v>74</v>
      </c>
      <c r="BE823" t="s">
        <v>15900</v>
      </c>
      <c r="BF823" t="str">
        <f>HYPERLINK("http://dx.doi.org/10.5194/acp-18-2307-2018","http://dx.doi.org/10.5194/acp-18-2307-2018")</f>
        <v>http://dx.doi.org/10.5194/acp-18-2307-2018</v>
      </c>
      <c r="BG823" t="s">
        <v>74</v>
      </c>
      <c r="BH823" t="s">
        <v>74</v>
      </c>
      <c r="BI823">
        <v>22</v>
      </c>
      <c r="BJ823" t="s">
        <v>285</v>
      </c>
      <c r="BK823" t="s">
        <v>101</v>
      </c>
      <c r="BL823" t="s">
        <v>286</v>
      </c>
      <c r="BM823" t="s">
        <v>15901</v>
      </c>
      <c r="BN823" t="s">
        <v>74</v>
      </c>
      <c r="BO823" t="s">
        <v>2274</v>
      </c>
      <c r="BP823" t="s">
        <v>74</v>
      </c>
      <c r="BQ823" t="s">
        <v>74</v>
      </c>
      <c r="BR823" t="s">
        <v>105</v>
      </c>
      <c r="BS823" t="s">
        <v>15902</v>
      </c>
      <c r="BT823" t="str">
        <f>HYPERLINK("https%3A%2F%2Fwww.webofscience.com%2Fwos%2Fwoscc%2Ffull-record%2FWOS:000425311300006","View Full Record in Web of Science")</f>
        <v>View Full Record in Web of Science</v>
      </c>
    </row>
    <row r="824" spans="1:72" x14ac:dyDescent="0.15">
      <c r="A824" t="s">
        <v>72</v>
      </c>
      <c r="B824" t="s">
        <v>15903</v>
      </c>
      <c r="C824" t="s">
        <v>74</v>
      </c>
      <c r="D824" t="s">
        <v>74</v>
      </c>
      <c r="E824" t="s">
        <v>74</v>
      </c>
      <c r="F824" t="s">
        <v>15904</v>
      </c>
      <c r="G824" t="s">
        <v>74</v>
      </c>
      <c r="H824" t="s">
        <v>74</v>
      </c>
      <c r="I824" t="s">
        <v>15905</v>
      </c>
      <c r="J824" t="s">
        <v>15906</v>
      </c>
      <c r="K824" t="s">
        <v>74</v>
      </c>
      <c r="L824" t="s">
        <v>74</v>
      </c>
      <c r="M824" t="s">
        <v>78</v>
      </c>
      <c r="N824" t="s">
        <v>79</v>
      </c>
      <c r="O824" t="s">
        <v>74</v>
      </c>
      <c r="P824" t="s">
        <v>74</v>
      </c>
      <c r="Q824" t="s">
        <v>74</v>
      </c>
      <c r="R824" t="s">
        <v>74</v>
      </c>
      <c r="S824" t="s">
        <v>74</v>
      </c>
      <c r="T824" t="s">
        <v>74</v>
      </c>
      <c r="U824" t="s">
        <v>15907</v>
      </c>
      <c r="V824" t="s">
        <v>15908</v>
      </c>
      <c r="W824" t="s">
        <v>15909</v>
      </c>
      <c r="X824" t="s">
        <v>15910</v>
      </c>
      <c r="Y824" t="s">
        <v>15911</v>
      </c>
      <c r="Z824" t="s">
        <v>15912</v>
      </c>
      <c r="AA824" t="s">
        <v>15913</v>
      </c>
      <c r="AB824" t="s">
        <v>15914</v>
      </c>
      <c r="AC824" t="s">
        <v>15915</v>
      </c>
      <c r="AD824" t="s">
        <v>15916</v>
      </c>
      <c r="AE824" t="s">
        <v>15917</v>
      </c>
      <c r="AF824" t="s">
        <v>74</v>
      </c>
      <c r="AG824">
        <v>58</v>
      </c>
      <c r="AH824">
        <v>68</v>
      </c>
      <c r="AI824">
        <v>72</v>
      </c>
      <c r="AJ824">
        <v>4</v>
      </c>
      <c r="AK824">
        <v>83</v>
      </c>
      <c r="AL824" t="s">
        <v>1663</v>
      </c>
      <c r="AM824" t="s">
        <v>1664</v>
      </c>
      <c r="AN824" t="s">
        <v>1665</v>
      </c>
      <c r="AO824" t="s">
        <v>15918</v>
      </c>
      <c r="AP824" t="s">
        <v>15919</v>
      </c>
      <c r="AQ824" t="s">
        <v>74</v>
      </c>
      <c r="AR824" t="s">
        <v>15906</v>
      </c>
      <c r="AS824" t="s">
        <v>15920</v>
      </c>
      <c r="AT824" t="s">
        <v>15899</v>
      </c>
      <c r="AU824">
        <v>2018</v>
      </c>
      <c r="AV824">
        <v>554</v>
      </c>
      <c r="AW824">
        <v>7692</v>
      </c>
      <c r="AX824" t="s">
        <v>74</v>
      </c>
      <c r="AY824" t="s">
        <v>74</v>
      </c>
      <c r="AZ824" t="s">
        <v>74</v>
      </c>
      <c r="BA824" t="s">
        <v>74</v>
      </c>
      <c r="BB824">
        <v>356</v>
      </c>
      <c r="BC824" t="s">
        <v>7716</v>
      </c>
      <c r="BD824" t="s">
        <v>74</v>
      </c>
      <c r="BE824" t="s">
        <v>15921</v>
      </c>
      <c r="BF824" t="str">
        <f>HYPERLINK("http://dx.doi.org/10.1038/nature25454","http://dx.doi.org/10.1038/nature25454")</f>
        <v>http://dx.doi.org/10.1038/nature25454</v>
      </c>
      <c r="BG824" t="s">
        <v>74</v>
      </c>
      <c r="BH824" t="s">
        <v>74</v>
      </c>
      <c r="BI824">
        <v>16</v>
      </c>
      <c r="BJ824" t="s">
        <v>1670</v>
      </c>
      <c r="BK824" t="s">
        <v>101</v>
      </c>
      <c r="BL824" t="s">
        <v>1671</v>
      </c>
      <c r="BM824" t="s">
        <v>15922</v>
      </c>
      <c r="BN824">
        <v>29400701</v>
      </c>
      <c r="BO824" t="s">
        <v>1421</v>
      </c>
      <c r="BP824" t="s">
        <v>74</v>
      </c>
      <c r="BQ824" t="s">
        <v>74</v>
      </c>
      <c r="BR824" t="s">
        <v>105</v>
      </c>
      <c r="BS824" t="s">
        <v>15923</v>
      </c>
      <c r="BT824" t="str">
        <f>HYPERLINK("https%3A%2F%2Fwww.webofscience.com%2Fwos%2Fwoscc%2Ffull-record%2FWOS:000424996300037","View Full Record in Web of Science")</f>
        <v>View Full Record in Web of Science</v>
      </c>
    </row>
    <row r="825" spans="1:72" x14ac:dyDescent="0.15">
      <c r="A825" t="s">
        <v>72</v>
      </c>
      <c r="B825" t="s">
        <v>15924</v>
      </c>
      <c r="C825" t="s">
        <v>74</v>
      </c>
      <c r="D825" t="s">
        <v>74</v>
      </c>
      <c r="E825" t="s">
        <v>74</v>
      </c>
      <c r="F825" t="s">
        <v>15925</v>
      </c>
      <c r="G825" t="s">
        <v>74</v>
      </c>
      <c r="H825" t="s">
        <v>74</v>
      </c>
      <c r="I825" t="s">
        <v>15926</v>
      </c>
      <c r="J825" t="s">
        <v>901</v>
      </c>
      <c r="K825" t="s">
        <v>74</v>
      </c>
      <c r="L825" t="s">
        <v>74</v>
      </c>
      <c r="M825" t="s">
        <v>78</v>
      </c>
      <c r="N825" t="s">
        <v>79</v>
      </c>
      <c r="O825" t="s">
        <v>74</v>
      </c>
      <c r="P825" t="s">
        <v>74</v>
      </c>
      <c r="Q825" t="s">
        <v>74</v>
      </c>
      <c r="R825" t="s">
        <v>74</v>
      </c>
      <c r="S825" t="s">
        <v>74</v>
      </c>
      <c r="T825" t="s">
        <v>15927</v>
      </c>
      <c r="U825" t="s">
        <v>15928</v>
      </c>
      <c r="V825" t="s">
        <v>15929</v>
      </c>
      <c r="W825" t="s">
        <v>15930</v>
      </c>
      <c r="X825" t="s">
        <v>15931</v>
      </c>
      <c r="Y825" t="s">
        <v>15932</v>
      </c>
      <c r="Z825" t="s">
        <v>15933</v>
      </c>
      <c r="AA825" t="s">
        <v>15934</v>
      </c>
      <c r="AB825" t="s">
        <v>15935</v>
      </c>
      <c r="AC825" t="s">
        <v>15936</v>
      </c>
      <c r="AD825" t="s">
        <v>15937</v>
      </c>
      <c r="AE825" t="s">
        <v>15938</v>
      </c>
      <c r="AF825" t="s">
        <v>74</v>
      </c>
      <c r="AG825">
        <v>85</v>
      </c>
      <c r="AH825">
        <v>7</v>
      </c>
      <c r="AI825">
        <v>7</v>
      </c>
      <c r="AJ825">
        <v>2</v>
      </c>
      <c r="AK825">
        <v>34</v>
      </c>
      <c r="AL825" t="s">
        <v>451</v>
      </c>
      <c r="AM825" t="s">
        <v>452</v>
      </c>
      <c r="AN825" t="s">
        <v>453</v>
      </c>
      <c r="AO825" t="s">
        <v>916</v>
      </c>
      <c r="AP825" t="s">
        <v>917</v>
      </c>
      <c r="AQ825" t="s">
        <v>74</v>
      </c>
      <c r="AR825" t="s">
        <v>918</v>
      </c>
      <c r="AS825" t="s">
        <v>919</v>
      </c>
      <c r="AT825" t="s">
        <v>15899</v>
      </c>
      <c r="AU825">
        <v>2018</v>
      </c>
      <c r="AV825">
        <v>615</v>
      </c>
      <c r="AW825" t="s">
        <v>74</v>
      </c>
      <c r="AX825" t="s">
        <v>74</v>
      </c>
      <c r="AY825" t="s">
        <v>74</v>
      </c>
      <c r="AZ825" t="s">
        <v>74</v>
      </c>
      <c r="BA825" t="s">
        <v>74</v>
      </c>
      <c r="BB825">
        <v>814</v>
      </c>
      <c r="BC825">
        <v>827</v>
      </c>
      <c r="BD825" t="s">
        <v>74</v>
      </c>
      <c r="BE825" t="s">
        <v>15939</v>
      </c>
      <c r="BF825" t="str">
        <f>HYPERLINK("http://dx.doi.org/10.1016/j.scitotenv.2017.09.284","http://dx.doi.org/10.1016/j.scitotenv.2017.09.284")</f>
        <v>http://dx.doi.org/10.1016/j.scitotenv.2017.09.284</v>
      </c>
      <c r="BG825" t="s">
        <v>74</v>
      </c>
      <c r="BH825" t="s">
        <v>74</v>
      </c>
      <c r="BI825">
        <v>14</v>
      </c>
      <c r="BJ825" t="s">
        <v>921</v>
      </c>
      <c r="BK825" t="s">
        <v>101</v>
      </c>
      <c r="BL825" t="s">
        <v>315</v>
      </c>
      <c r="BM825" t="s">
        <v>15940</v>
      </c>
      <c r="BN825">
        <v>29017125</v>
      </c>
      <c r="BO825" t="s">
        <v>74</v>
      </c>
      <c r="BP825" t="s">
        <v>74</v>
      </c>
      <c r="BQ825" t="s">
        <v>74</v>
      </c>
      <c r="BR825" t="s">
        <v>105</v>
      </c>
      <c r="BS825" t="s">
        <v>15941</v>
      </c>
      <c r="BT825" t="str">
        <f>HYPERLINK("https%3A%2F%2Fwww.webofscience.com%2Fwos%2Fwoscc%2Ffull-record%2FWOS:000414922600087","View Full Record in Web of Science")</f>
        <v>View Full Record in Web of Science</v>
      </c>
    </row>
    <row r="826" spans="1:72" x14ac:dyDescent="0.15">
      <c r="A826" t="s">
        <v>72</v>
      </c>
      <c r="B826" t="s">
        <v>15942</v>
      </c>
      <c r="C826" t="s">
        <v>74</v>
      </c>
      <c r="D826" t="s">
        <v>74</v>
      </c>
      <c r="E826" t="s">
        <v>74</v>
      </c>
      <c r="F826" t="s">
        <v>15943</v>
      </c>
      <c r="G826" t="s">
        <v>74</v>
      </c>
      <c r="H826" t="s">
        <v>74</v>
      </c>
      <c r="I826" t="s">
        <v>15944</v>
      </c>
      <c r="J826" t="s">
        <v>15945</v>
      </c>
      <c r="K826" t="s">
        <v>74</v>
      </c>
      <c r="L826" t="s">
        <v>74</v>
      </c>
      <c r="M826" t="s">
        <v>78</v>
      </c>
      <c r="N826" t="s">
        <v>466</v>
      </c>
      <c r="O826" t="s">
        <v>74</v>
      </c>
      <c r="P826" t="s">
        <v>74</v>
      </c>
      <c r="Q826" t="s">
        <v>74</v>
      </c>
      <c r="R826" t="s">
        <v>74</v>
      </c>
      <c r="S826" t="s">
        <v>74</v>
      </c>
      <c r="T826" t="s">
        <v>15946</v>
      </c>
      <c r="U826" t="s">
        <v>15947</v>
      </c>
      <c r="V826" t="s">
        <v>15948</v>
      </c>
      <c r="W826" t="s">
        <v>15949</v>
      </c>
      <c r="X826" t="s">
        <v>15950</v>
      </c>
      <c r="Y826" t="s">
        <v>15951</v>
      </c>
      <c r="Z826" t="s">
        <v>15952</v>
      </c>
      <c r="AA826" t="s">
        <v>15953</v>
      </c>
      <c r="AB826" t="s">
        <v>15954</v>
      </c>
      <c r="AC826" t="s">
        <v>74</v>
      </c>
      <c r="AD826" t="s">
        <v>74</v>
      </c>
      <c r="AE826" t="s">
        <v>74</v>
      </c>
      <c r="AF826" t="s">
        <v>74</v>
      </c>
      <c r="AG826">
        <v>79</v>
      </c>
      <c r="AH826">
        <v>5</v>
      </c>
      <c r="AI826">
        <v>5</v>
      </c>
      <c r="AJ826">
        <v>1</v>
      </c>
      <c r="AK826">
        <v>5</v>
      </c>
      <c r="AL826" t="s">
        <v>914</v>
      </c>
      <c r="AM826" t="s">
        <v>452</v>
      </c>
      <c r="AN826" t="s">
        <v>915</v>
      </c>
      <c r="AO826" t="s">
        <v>15955</v>
      </c>
      <c r="AP826" t="s">
        <v>15956</v>
      </c>
      <c r="AQ826" t="s">
        <v>74</v>
      </c>
      <c r="AR826" t="s">
        <v>15945</v>
      </c>
      <c r="AS826" t="s">
        <v>15957</v>
      </c>
      <c r="AT826" t="s">
        <v>15899</v>
      </c>
      <c r="AU826">
        <v>2018</v>
      </c>
      <c r="AV826">
        <v>303</v>
      </c>
      <c r="AW826" t="s">
        <v>74</v>
      </c>
      <c r="AX826" t="s">
        <v>74</v>
      </c>
      <c r="AY826" t="s">
        <v>74</v>
      </c>
      <c r="AZ826" t="s">
        <v>74</v>
      </c>
      <c r="BA826" t="s">
        <v>74</v>
      </c>
      <c r="BB826">
        <v>486</v>
      </c>
      <c r="BC826">
        <v>503</v>
      </c>
      <c r="BD826" t="s">
        <v>74</v>
      </c>
      <c r="BE826" t="s">
        <v>15958</v>
      </c>
      <c r="BF826" t="str">
        <f>HYPERLINK("http://dx.doi.org/10.1016/j.geomorph.2017.10.022","http://dx.doi.org/10.1016/j.geomorph.2017.10.022")</f>
        <v>http://dx.doi.org/10.1016/j.geomorph.2017.10.022</v>
      </c>
      <c r="BG826" t="s">
        <v>74</v>
      </c>
      <c r="BH826" t="s">
        <v>74</v>
      </c>
      <c r="BI826">
        <v>18</v>
      </c>
      <c r="BJ826" t="s">
        <v>338</v>
      </c>
      <c r="BK826" t="s">
        <v>101</v>
      </c>
      <c r="BL826" t="s">
        <v>339</v>
      </c>
      <c r="BM826" t="s">
        <v>15959</v>
      </c>
      <c r="BN826" t="s">
        <v>74</v>
      </c>
      <c r="BO826" t="s">
        <v>74</v>
      </c>
      <c r="BP826" t="s">
        <v>74</v>
      </c>
      <c r="BQ826" t="s">
        <v>74</v>
      </c>
      <c r="BR826" t="s">
        <v>105</v>
      </c>
      <c r="BS826" t="s">
        <v>15960</v>
      </c>
      <c r="BT826" t="str">
        <f>HYPERLINK("https%3A%2F%2Fwww.webofscience.com%2Fwos%2Fwoscc%2Ffull-record%2FWOS:000426330400037","View Full Record in Web of Science")</f>
        <v>View Full Record in Web of Science</v>
      </c>
    </row>
    <row r="827" spans="1:72" x14ac:dyDescent="0.15">
      <c r="A827" t="s">
        <v>72</v>
      </c>
      <c r="B827" t="s">
        <v>15961</v>
      </c>
      <c r="C827" t="s">
        <v>74</v>
      </c>
      <c r="D827" t="s">
        <v>74</v>
      </c>
      <c r="E827" t="s">
        <v>74</v>
      </c>
      <c r="F827" t="s">
        <v>15962</v>
      </c>
      <c r="G827" t="s">
        <v>74</v>
      </c>
      <c r="H827" t="s">
        <v>74</v>
      </c>
      <c r="I827" t="s">
        <v>15963</v>
      </c>
      <c r="J827" t="s">
        <v>1297</v>
      </c>
      <c r="K827" t="s">
        <v>74</v>
      </c>
      <c r="L827" t="s">
        <v>74</v>
      </c>
      <c r="M827" t="s">
        <v>78</v>
      </c>
      <c r="N827" t="s">
        <v>79</v>
      </c>
      <c r="O827" t="s">
        <v>74</v>
      </c>
      <c r="P827" t="s">
        <v>74</v>
      </c>
      <c r="Q827" t="s">
        <v>74</v>
      </c>
      <c r="R827" t="s">
        <v>74</v>
      </c>
      <c r="S827" t="s">
        <v>74</v>
      </c>
      <c r="T827" t="s">
        <v>15964</v>
      </c>
      <c r="U827" t="s">
        <v>15965</v>
      </c>
      <c r="V827" t="s">
        <v>15966</v>
      </c>
      <c r="W827" t="s">
        <v>15967</v>
      </c>
      <c r="X827" t="s">
        <v>15968</v>
      </c>
      <c r="Y827" t="s">
        <v>15969</v>
      </c>
      <c r="Z827" t="s">
        <v>15970</v>
      </c>
      <c r="AA827" t="s">
        <v>15971</v>
      </c>
      <c r="AB827" t="s">
        <v>15972</v>
      </c>
      <c r="AC827" t="s">
        <v>15973</v>
      </c>
      <c r="AD827" t="s">
        <v>15974</v>
      </c>
      <c r="AE827" t="s">
        <v>15975</v>
      </c>
      <c r="AF827" t="s">
        <v>74</v>
      </c>
      <c r="AG827">
        <v>102</v>
      </c>
      <c r="AH827">
        <v>33</v>
      </c>
      <c r="AI827">
        <v>34</v>
      </c>
      <c r="AJ827">
        <v>0</v>
      </c>
      <c r="AK827">
        <v>7</v>
      </c>
      <c r="AL827" t="s">
        <v>277</v>
      </c>
      <c r="AM827" t="s">
        <v>278</v>
      </c>
      <c r="AN827" t="s">
        <v>279</v>
      </c>
      <c r="AO827" t="s">
        <v>1310</v>
      </c>
      <c r="AP827" t="s">
        <v>1311</v>
      </c>
      <c r="AQ827" t="s">
        <v>74</v>
      </c>
      <c r="AR827" t="s">
        <v>1312</v>
      </c>
      <c r="AS827" t="s">
        <v>1313</v>
      </c>
      <c r="AT827" t="s">
        <v>15899</v>
      </c>
      <c r="AU827">
        <v>2018</v>
      </c>
      <c r="AV827">
        <v>223</v>
      </c>
      <c r="AW827" t="s">
        <v>74</v>
      </c>
      <c r="AX827" t="s">
        <v>74</v>
      </c>
      <c r="AY827" t="s">
        <v>74</v>
      </c>
      <c r="AZ827" t="s">
        <v>74</v>
      </c>
      <c r="BA827" t="s">
        <v>74</v>
      </c>
      <c r="BB827">
        <v>405</v>
      </c>
      <c r="BC827">
        <v>421</v>
      </c>
      <c r="BD827" t="s">
        <v>74</v>
      </c>
      <c r="BE827" t="s">
        <v>15976</v>
      </c>
      <c r="BF827" t="str">
        <f>HYPERLINK("http://dx.doi.org/10.1016/j.gca.2017.12.014","http://dx.doi.org/10.1016/j.gca.2017.12.014")</f>
        <v>http://dx.doi.org/10.1016/j.gca.2017.12.014</v>
      </c>
      <c r="BG827" t="s">
        <v>74</v>
      </c>
      <c r="BH827" t="s">
        <v>74</v>
      </c>
      <c r="BI827">
        <v>17</v>
      </c>
      <c r="BJ827" t="s">
        <v>260</v>
      </c>
      <c r="BK827" t="s">
        <v>101</v>
      </c>
      <c r="BL827" t="s">
        <v>260</v>
      </c>
      <c r="BM827" t="s">
        <v>15977</v>
      </c>
      <c r="BN827" t="s">
        <v>74</v>
      </c>
      <c r="BO827" t="s">
        <v>341</v>
      </c>
      <c r="BP827" t="s">
        <v>74</v>
      </c>
      <c r="BQ827" t="s">
        <v>74</v>
      </c>
      <c r="BR827" t="s">
        <v>105</v>
      </c>
      <c r="BS827" t="s">
        <v>15978</v>
      </c>
      <c r="BT827" t="str">
        <f>HYPERLINK("https%3A%2F%2Fwww.webofscience.com%2Fwos%2Fwoscc%2Ffull-record%2FWOS:000424973200024","View Full Record in Web of Science")</f>
        <v>View Full Record in Web of Science</v>
      </c>
    </row>
    <row r="828" spans="1:72" x14ac:dyDescent="0.15">
      <c r="A828" t="s">
        <v>72</v>
      </c>
      <c r="B828" t="s">
        <v>15979</v>
      </c>
      <c r="C828" t="s">
        <v>74</v>
      </c>
      <c r="D828" t="s">
        <v>74</v>
      </c>
      <c r="E828" t="s">
        <v>74</v>
      </c>
      <c r="F828" t="s">
        <v>15980</v>
      </c>
      <c r="G828" t="s">
        <v>74</v>
      </c>
      <c r="H828" t="s">
        <v>74</v>
      </c>
      <c r="I828" t="s">
        <v>15981</v>
      </c>
      <c r="J828" t="s">
        <v>15906</v>
      </c>
      <c r="K828" t="s">
        <v>74</v>
      </c>
      <c r="L828" t="s">
        <v>74</v>
      </c>
      <c r="M828" t="s">
        <v>78</v>
      </c>
      <c r="N828" t="s">
        <v>79</v>
      </c>
      <c r="O828" t="s">
        <v>74</v>
      </c>
      <c r="P828" t="s">
        <v>74</v>
      </c>
      <c r="Q828" t="s">
        <v>74</v>
      </c>
      <c r="R828" t="s">
        <v>74</v>
      </c>
      <c r="S828" t="s">
        <v>74</v>
      </c>
      <c r="T828" t="s">
        <v>74</v>
      </c>
      <c r="U828" t="s">
        <v>15982</v>
      </c>
      <c r="V828" t="s">
        <v>15983</v>
      </c>
      <c r="W828" t="s">
        <v>15984</v>
      </c>
      <c r="X828" t="s">
        <v>15985</v>
      </c>
      <c r="Y828" t="s">
        <v>15986</v>
      </c>
      <c r="Z828" t="s">
        <v>15987</v>
      </c>
      <c r="AA828" t="s">
        <v>15988</v>
      </c>
      <c r="AB828" t="s">
        <v>15989</v>
      </c>
      <c r="AC828" t="s">
        <v>15990</v>
      </c>
      <c r="AD828" t="s">
        <v>15991</v>
      </c>
      <c r="AE828" t="s">
        <v>15992</v>
      </c>
      <c r="AF828" t="s">
        <v>74</v>
      </c>
      <c r="AG828">
        <v>63</v>
      </c>
      <c r="AH828">
        <v>37</v>
      </c>
      <c r="AI828">
        <v>41</v>
      </c>
      <c r="AJ828">
        <v>5</v>
      </c>
      <c r="AK828">
        <v>69</v>
      </c>
      <c r="AL828" t="s">
        <v>1663</v>
      </c>
      <c r="AM828" t="s">
        <v>1664</v>
      </c>
      <c r="AN828" t="s">
        <v>1665</v>
      </c>
      <c r="AO828" t="s">
        <v>15918</v>
      </c>
      <c r="AP828" t="s">
        <v>15919</v>
      </c>
      <c r="AQ828" t="s">
        <v>74</v>
      </c>
      <c r="AR828" t="s">
        <v>15906</v>
      </c>
      <c r="AS828" t="s">
        <v>15920</v>
      </c>
      <c r="AT828" t="s">
        <v>15899</v>
      </c>
      <c r="AU828">
        <v>2018</v>
      </c>
      <c r="AV828">
        <v>554</v>
      </c>
      <c r="AW828">
        <v>7692</v>
      </c>
      <c r="AX828" t="s">
        <v>74</v>
      </c>
      <c r="AY828" t="s">
        <v>74</v>
      </c>
      <c r="AZ828" t="s">
        <v>74</v>
      </c>
      <c r="BA828" t="s">
        <v>74</v>
      </c>
      <c r="BB828">
        <v>351</v>
      </c>
      <c r="BC828" t="s">
        <v>7716</v>
      </c>
      <c r="BD828" t="s">
        <v>74</v>
      </c>
      <c r="BE828" t="s">
        <v>15993</v>
      </c>
      <c r="BF828" t="str">
        <f>HYPERLINK("http://dx.doi.org/10.1038/nature24669","http://dx.doi.org/10.1038/nature24669")</f>
        <v>http://dx.doi.org/10.1038/nature24669</v>
      </c>
      <c r="BG828" t="s">
        <v>74</v>
      </c>
      <c r="BH828" t="s">
        <v>74</v>
      </c>
      <c r="BI828">
        <v>17</v>
      </c>
      <c r="BJ828" t="s">
        <v>1670</v>
      </c>
      <c r="BK828" t="s">
        <v>101</v>
      </c>
      <c r="BL828" t="s">
        <v>1671</v>
      </c>
      <c r="BM828" t="s">
        <v>15922</v>
      </c>
      <c r="BN828">
        <v>29400700</v>
      </c>
      <c r="BO828" t="s">
        <v>288</v>
      </c>
      <c r="BP828" t="s">
        <v>74</v>
      </c>
      <c r="BQ828" t="s">
        <v>74</v>
      </c>
      <c r="BR828" t="s">
        <v>105</v>
      </c>
      <c r="BS828" t="s">
        <v>15994</v>
      </c>
      <c r="BT828" t="str">
        <f>HYPERLINK("https%3A%2F%2Fwww.webofscience.com%2Fwos%2Fwoscc%2Ffull-record%2FWOS:000424996300036","View Full Record in Web of Science")</f>
        <v>View Full Record in Web of Science</v>
      </c>
    </row>
    <row r="829" spans="1:72" x14ac:dyDescent="0.15">
      <c r="A829" t="s">
        <v>72</v>
      </c>
      <c r="B829" t="s">
        <v>15995</v>
      </c>
      <c r="C829" t="s">
        <v>74</v>
      </c>
      <c r="D829" t="s">
        <v>74</v>
      </c>
      <c r="E829" t="s">
        <v>74</v>
      </c>
      <c r="F829" t="s">
        <v>15996</v>
      </c>
      <c r="G829" t="s">
        <v>74</v>
      </c>
      <c r="H829" t="s">
        <v>74</v>
      </c>
      <c r="I829" t="s">
        <v>15997</v>
      </c>
      <c r="J829" t="s">
        <v>927</v>
      </c>
      <c r="K829" t="s">
        <v>74</v>
      </c>
      <c r="L829" t="s">
        <v>74</v>
      </c>
      <c r="M829" t="s">
        <v>78</v>
      </c>
      <c r="N829" t="s">
        <v>79</v>
      </c>
      <c r="O829" t="s">
        <v>74</v>
      </c>
      <c r="P829" t="s">
        <v>74</v>
      </c>
      <c r="Q829" t="s">
        <v>74</v>
      </c>
      <c r="R829" t="s">
        <v>74</v>
      </c>
      <c r="S829" t="s">
        <v>74</v>
      </c>
      <c r="T829" t="s">
        <v>15998</v>
      </c>
      <c r="U829" t="s">
        <v>15999</v>
      </c>
      <c r="V829" t="s">
        <v>16000</v>
      </c>
      <c r="W829" t="s">
        <v>16001</v>
      </c>
      <c r="X829" t="s">
        <v>16002</v>
      </c>
      <c r="Y829" t="s">
        <v>16003</v>
      </c>
      <c r="Z829" t="s">
        <v>16004</v>
      </c>
      <c r="AA829" t="s">
        <v>16005</v>
      </c>
      <c r="AB829" t="s">
        <v>16006</v>
      </c>
      <c r="AC829" t="s">
        <v>16007</v>
      </c>
      <c r="AD829" t="s">
        <v>16008</v>
      </c>
      <c r="AE829" t="s">
        <v>16009</v>
      </c>
      <c r="AF829" t="s">
        <v>74</v>
      </c>
      <c r="AG829">
        <v>63</v>
      </c>
      <c r="AH829">
        <v>16</v>
      </c>
      <c r="AI829">
        <v>21</v>
      </c>
      <c r="AJ829">
        <v>4</v>
      </c>
      <c r="AK829">
        <v>53</v>
      </c>
      <c r="AL829" t="s">
        <v>451</v>
      </c>
      <c r="AM829" t="s">
        <v>452</v>
      </c>
      <c r="AN829" t="s">
        <v>453</v>
      </c>
      <c r="AO829" t="s">
        <v>940</v>
      </c>
      <c r="AP829" t="s">
        <v>941</v>
      </c>
      <c r="AQ829" t="s">
        <v>74</v>
      </c>
      <c r="AR829" t="s">
        <v>942</v>
      </c>
      <c r="AS829" t="s">
        <v>943</v>
      </c>
      <c r="AT829" t="s">
        <v>15899</v>
      </c>
      <c r="AU829">
        <v>2018</v>
      </c>
      <c r="AV829">
        <v>484</v>
      </c>
      <c r="AW829" t="s">
        <v>74</v>
      </c>
      <c r="AX829" t="s">
        <v>74</v>
      </c>
      <c r="AY829" t="s">
        <v>74</v>
      </c>
      <c r="AZ829" t="s">
        <v>74</v>
      </c>
      <c r="BA829" t="s">
        <v>74</v>
      </c>
      <c r="BB829">
        <v>253</v>
      </c>
      <c r="BC829">
        <v>263</v>
      </c>
      <c r="BD829" t="s">
        <v>74</v>
      </c>
      <c r="BE829" t="s">
        <v>16010</v>
      </c>
      <c r="BF829" t="str">
        <f>HYPERLINK("http://dx.doi.org/10.1016/j.epsl.2017.12.002","http://dx.doi.org/10.1016/j.epsl.2017.12.002")</f>
        <v>http://dx.doi.org/10.1016/j.epsl.2017.12.002</v>
      </c>
      <c r="BG829" t="s">
        <v>74</v>
      </c>
      <c r="BH829" t="s">
        <v>74</v>
      </c>
      <c r="BI829">
        <v>11</v>
      </c>
      <c r="BJ829" t="s">
        <v>260</v>
      </c>
      <c r="BK829" t="s">
        <v>101</v>
      </c>
      <c r="BL829" t="s">
        <v>260</v>
      </c>
      <c r="BM829" t="s">
        <v>16011</v>
      </c>
      <c r="BN829" t="s">
        <v>74</v>
      </c>
      <c r="BO829" t="s">
        <v>74</v>
      </c>
      <c r="BP829" t="s">
        <v>74</v>
      </c>
      <c r="BQ829" t="s">
        <v>74</v>
      </c>
      <c r="BR829" t="s">
        <v>105</v>
      </c>
      <c r="BS829" t="s">
        <v>16012</v>
      </c>
      <c r="BT829" t="str">
        <f>HYPERLINK("https%3A%2F%2Fwww.webofscience.com%2Fwos%2Fwoscc%2Ffull-record%2FWOS:000424726000022","View Full Record in Web of Science")</f>
        <v>View Full Record in Web of Science</v>
      </c>
    </row>
    <row r="830" spans="1:72" x14ac:dyDescent="0.15">
      <c r="A830" t="s">
        <v>72</v>
      </c>
      <c r="B830" t="s">
        <v>16013</v>
      </c>
      <c r="C830" t="s">
        <v>74</v>
      </c>
      <c r="D830" t="s">
        <v>74</v>
      </c>
      <c r="E830" t="s">
        <v>74</v>
      </c>
      <c r="F830" t="s">
        <v>16014</v>
      </c>
      <c r="G830" t="s">
        <v>74</v>
      </c>
      <c r="H830" t="s">
        <v>74</v>
      </c>
      <c r="I830" t="s">
        <v>16015</v>
      </c>
      <c r="J830" t="s">
        <v>1552</v>
      </c>
      <c r="K830" t="s">
        <v>74</v>
      </c>
      <c r="L830" t="s">
        <v>74</v>
      </c>
      <c r="M830" t="s">
        <v>78</v>
      </c>
      <c r="N830" t="s">
        <v>79</v>
      </c>
      <c r="O830" t="s">
        <v>74</v>
      </c>
      <c r="P830" t="s">
        <v>74</v>
      </c>
      <c r="Q830" t="s">
        <v>74</v>
      </c>
      <c r="R830" t="s">
        <v>74</v>
      </c>
      <c r="S830" t="s">
        <v>74</v>
      </c>
      <c r="T830" t="s">
        <v>74</v>
      </c>
      <c r="U830" t="s">
        <v>16016</v>
      </c>
      <c r="V830" t="s">
        <v>16017</v>
      </c>
      <c r="W830" t="s">
        <v>16018</v>
      </c>
      <c r="X830" t="s">
        <v>16019</v>
      </c>
      <c r="Y830" t="s">
        <v>16020</v>
      </c>
      <c r="Z830" t="s">
        <v>16021</v>
      </c>
      <c r="AA830" t="s">
        <v>16022</v>
      </c>
      <c r="AB830" t="s">
        <v>16023</v>
      </c>
      <c r="AC830" t="s">
        <v>16024</v>
      </c>
      <c r="AD830" t="s">
        <v>16025</v>
      </c>
      <c r="AE830" t="s">
        <v>16026</v>
      </c>
      <c r="AF830" t="s">
        <v>74</v>
      </c>
      <c r="AG830">
        <v>95</v>
      </c>
      <c r="AH830">
        <v>103</v>
      </c>
      <c r="AI830">
        <v>108</v>
      </c>
      <c r="AJ830">
        <v>2</v>
      </c>
      <c r="AK830">
        <v>53</v>
      </c>
      <c r="AL830" t="s">
        <v>1563</v>
      </c>
      <c r="AM830" t="s">
        <v>1564</v>
      </c>
      <c r="AN830" t="s">
        <v>1565</v>
      </c>
      <c r="AO830" t="s">
        <v>1566</v>
      </c>
      <c r="AP830" t="s">
        <v>1567</v>
      </c>
      <c r="AQ830" t="s">
        <v>74</v>
      </c>
      <c r="AR830" t="s">
        <v>1568</v>
      </c>
      <c r="AS830" t="s">
        <v>1569</v>
      </c>
      <c r="AT830" t="s">
        <v>16027</v>
      </c>
      <c r="AU830">
        <v>2018</v>
      </c>
      <c r="AV830">
        <v>18</v>
      </c>
      <c r="AW830">
        <v>3</v>
      </c>
      <c r="AX830" t="s">
        <v>74</v>
      </c>
      <c r="AY830" t="s">
        <v>74</v>
      </c>
      <c r="AZ830" t="s">
        <v>74</v>
      </c>
      <c r="BA830" t="s">
        <v>74</v>
      </c>
      <c r="BB830">
        <v>2097</v>
      </c>
      <c r="BC830">
        <v>2117</v>
      </c>
      <c r="BD830" t="s">
        <v>74</v>
      </c>
      <c r="BE830" t="s">
        <v>16028</v>
      </c>
      <c r="BF830" t="str">
        <f>HYPERLINK("http://dx.doi.org/10.5194/acp-18-2097-2018","http://dx.doi.org/10.5194/acp-18-2097-2018")</f>
        <v>http://dx.doi.org/10.5194/acp-18-2097-2018</v>
      </c>
      <c r="BG830" t="s">
        <v>74</v>
      </c>
      <c r="BH830" t="s">
        <v>74</v>
      </c>
      <c r="BI830">
        <v>21</v>
      </c>
      <c r="BJ830" t="s">
        <v>285</v>
      </c>
      <c r="BK830" t="s">
        <v>101</v>
      </c>
      <c r="BL830" t="s">
        <v>286</v>
      </c>
      <c r="BM830" t="s">
        <v>16029</v>
      </c>
      <c r="BN830" t="s">
        <v>74</v>
      </c>
      <c r="BO830" t="s">
        <v>7086</v>
      </c>
      <c r="BP830" t="s">
        <v>74</v>
      </c>
      <c r="BQ830" t="s">
        <v>74</v>
      </c>
      <c r="BR830" t="s">
        <v>105</v>
      </c>
      <c r="BS830" t="s">
        <v>16030</v>
      </c>
      <c r="BT830" t="str">
        <f>HYPERLINK("https%3A%2F%2Fwww.webofscience.com%2Fwos%2Fwoscc%2Ffull-record%2FWOS:000425160800001","View Full Record in Web of Science")</f>
        <v>View Full Record in Web of Science</v>
      </c>
    </row>
    <row r="831" spans="1:72" x14ac:dyDescent="0.15">
      <c r="A831" t="s">
        <v>72</v>
      </c>
      <c r="B831" t="s">
        <v>16031</v>
      </c>
      <c r="C831" t="s">
        <v>74</v>
      </c>
      <c r="D831" t="s">
        <v>74</v>
      </c>
      <c r="E831" t="s">
        <v>74</v>
      </c>
      <c r="F831" t="s">
        <v>16032</v>
      </c>
      <c r="G831" t="s">
        <v>74</v>
      </c>
      <c r="H831" t="s">
        <v>74</v>
      </c>
      <c r="I831" t="s">
        <v>16033</v>
      </c>
      <c r="J831" t="s">
        <v>16034</v>
      </c>
      <c r="K831" t="s">
        <v>74</v>
      </c>
      <c r="L831" t="s">
        <v>74</v>
      </c>
      <c r="M831" t="s">
        <v>78</v>
      </c>
      <c r="N831" t="s">
        <v>79</v>
      </c>
      <c r="O831" t="s">
        <v>74</v>
      </c>
      <c r="P831" t="s">
        <v>74</v>
      </c>
      <c r="Q831" t="s">
        <v>74</v>
      </c>
      <c r="R831" t="s">
        <v>74</v>
      </c>
      <c r="S831" t="s">
        <v>74</v>
      </c>
      <c r="T831" t="s">
        <v>16035</v>
      </c>
      <c r="U831" t="s">
        <v>16036</v>
      </c>
      <c r="V831" t="s">
        <v>16037</v>
      </c>
      <c r="W831" t="s">
        <v>16038</v>
      </c>
      <c r="X831" t="s">
        <v>16039</v>
      </c>
      <c r="Y831" t="s">
        <v>16040</v>
      </c>
      <c r="Z831" t="s">
        <v>16041</v>
      </c>
      <c r="AA831" t="s">
        <v>16042</v>
      </c>
      <c r="AB831" t="s">
        <v>16043</v>
      </c>
      <c r="AC831" t="s">
        <v>16044</v>
      </c>
      <c r="AD831" t="s">
        <v>16045</v>
      </c>
      <c r="AE831" t="s">
        <v>16046</v>
      </c>
      <c r="AF831" t="s">
        <v>74</v>
      </c>
      <c r="AG831">
        <v>61</v>
      </c>
      <c r="AH831">
        <v>26</v>
      </c>
      <c r="AI831">
        <v>32</v>
      </c>
      <c r="AJ831">
        <v>1</v>
      </c>
      <c r="AK831">
        <v>27</v>
      </c>
      <c r="AL831" t="s">
        <v>5498</v>
      </c>
      <c r="AM831" t="s">
        <v>1540</v>
      </c>
      <c r="AN831" t="s">
        <v>5499</v>
      </c>
      <c r="AO831" t="s">
        <v>16047</v>
      </c>
      <c r="AP831" t="s">
        <v>16048</v>
      </c>
      <c r="AQ831" t="s">
        <v>74</v>
      </c>
      <c r="AR831" t="s">
        <v>16049</v>
      </c>
      <c r="AS831" t="s">
        <v>16050</v>
      </c>
      <c r="AT831" t="s">
        <v>16027</v>
      </c>
      <c r="AU831">
        <v>2018</v>
      </c>
      <c r="AV831">
        <v>285</v>
      </c>
      <c r="AW831">
        <v>1872</v>
      </c>
      <c r="AX831" t="s">
        <v>74</v>
      </c>
      <c r="AY831" t="s">
        <v>74</v>
      </c>
      <c r="AZ831" t="s">
        <v>74</v>
      </c>
      <c r="BA831" t="s">
        <v>74</v>
      </c>
      <c r="BB831" t="s">
        <v>74</v>
      </c>
      <c r="BC831" t="s">
        <v>74</v>
      </c>
      <c r="BD831">
        <v>20172378</v>
      </c>
      <c r="BE831" t="s">
        <v>16051</v>
      </c>
      <c r="BF831" t="str">
        <f>HYPERLINK("http://dx.doi.org/10.1098/rspb.2017.2378","http://dx.doi.org/10.1098/rspb.2017.2378")</f>
        <v>http://dx.doi.org/10.1098/rspb.2017.2378</v>
      </c>
      <c r="BG831" t="s">
        <v>74</v>
      </c>
      <c r="BH831" t="s">
        <v>74</v>
      </c>
      <c r="BI831">
        <v>8</v>
      </c>
      <c r="BJ831" t="s">
        <v>16052</v>
      </c>
      <c r="BK831" t="s">
        <v>101</v>
      </c>
      <c r="BL831" t="s">
        <v>16053</v>
      </c>
      <c r="BM831" t="s">
        <v>16054</v>
      </c>
      <c r="BN831">
        <v>29436494</v>
      </c>
      <c r="BO831" t="s">
        <v>1802</v>
      </c>
      <c r="BP831" t="s">
        <v>74</v>
      </c>
      <c r="BQ831" t="s">
        <v>74</v>
      </c>
      <c r="BR831" t="s">
        <v>105</v>
      </c>
      <c r="BS831" t="s">
        <v>16055</v>
      </c>
      <c r="BT831" t="str">
        <f>HYPERLINK("https%3A%2F%2Fwww.webofscience.com%2Fwos%2Fwoscc%2Ffull-record%2FWOS:000426469200004","View Full Record in Web of Science")</f>
        <v>View Full Record in Web of Science</v>
      </c>
    </row>
    <row r="832" spans="1:72" x14ac:dyDescent="0.15">
      <c r="A832" t="s">
        <v>72</v>
      </c>
      <c r="B832" t="s">
        <v>16056</v>
      </c>
      <c r="C832" t="s">
        <v>74</v>
      </c>
      <c r="D832" t="s">
        <v>74</v>
      </c>
      <c r="E832" t="s">
        <v>74</v>
      </c>
      <c r="F832" t="s">
        <v>16057</v>
      </c>
      <c r="G832" t="s">
        <v>74</v>
      </c>
      <c r="H832" t="s">
        <v>74</v>
      </c>
      <c r="I832" t="s">
        <v>16058</v>
      </c>
      <c r="J832" t="s">
        <v>16034</v>
      </c>
      <c r="K832" t="s">
        <v>74</v>
      </c>
      <c r="L832" t="s">
        <v>74</v>
      </c>
      <c r="M832" t="s">
        <v>78</v>
      </c>
      <c r="N832" t="s">
        <v>79</v>
      </c>
      <c r="O832" t="s">
        <v>74</v>
      </c>
      <c r="P832" t="s">
        <v>74</v>
      </c>
      <c r="Q832" t="s">
        <v>74</v>
      </c>
      <c r="R832" t="s">
        <v>74</v>
      </c>
      <c r="S832" t="s">
        <v>74</v>
      </c>
      <c r="T832" t="s">
        <v>16059</v>
      </c>
      <c r="U832" t="s">
        <v>16060</v>
      </c>
      <c r="V832" t="s">
        <v>16061</v>
      </c>
      <c r="W832" t="s">
        <v>16062</v>
      </c>
      <c r="X832" t="s">
        <v>16063</v>
      </c>
      <c r="Y832" t="s">
        <v>16064</v>
      </c>
      <c r="Z832" t="s">
        <v>16065</v>
      </c>
      <c r="AA832" t="s">
        <v>16066</v>
      </c>
      <c r="AB832" t="s">
        <v>16067</v>
      </c>
      <c r="AC832" t="s">
        <v>16068</v>
      </c>
      <c r="AD832" t="s">
        <v>16069</v>
      </c>
      <c r="AE832" t="s">
        <v>16070</v>
      </c>
      <c r="AF832" t="s">
        <v>74</v>
      </c>
      <c r="AG832">
        <v>58</v>
      </c>
      <c r="AH832">
        <v>23</v>
      </c>
      <c r="AI832">
        <v>26</v>
      </c>
      <c r="AJ832">
        <v>1</v>
      </c>
      <c r="AK832">
        <v>83</v>
      </c>
      <c r="AL832" t="s">
        <v>5498</v>
      </c>
      <c r="AM832" t="s">
        <v>1540</v>
      </c>
      <c r="AN832" t="s">
        <v>5499</v>
      </c>
      <c r="AO832" t="s">
        <v>16047</v>
      </c>
      <c r="AP832" t="s">
        <v>16048</v>
      </c>
      <c r="AQ832" t="s">
        <v>74</v>
      </c>
      <c r="AR832" t="s">
        <v>16049</v>
      </c>
      <c r="AS832" t="s">
        <v>16050</v>
      </c>
      <c r="AT832" t="s">
        <v>16027</v>
      </c>
      <c r="AU832">
        <v>2018</v>
      </c>
      <c r="AV832">
        <v>285</v>
      </c>
      <c r="AW832">
        <v>1872</v>
      </c>
      <c r="AX832" t="s">
        <v>74</v>
      </c>
      <c r="AY832" t="s">
        <v>74</v>
      </c>
      <c r="AZ832" t="s">
        <v>74</v>
      </c>
      <c r="BA832" t="s">
        <v>74</v>
      </c>
      <c r="BB832" t="s">
        <v>74</v>
      </c>
      <c r="BC832" t="s">
        <v>74</v>
      </c>
      <c r="BD832">
        <v>20172869</v>
      </c>
      <c r="BE832" t="s">
        <v>16071</v>
      </c>
      <c r="BF832" t="str">
        <f>HYPERLINK("http://dx.doi.org/10.1098/rspb.2017.2869","http://dx.doi.org/10.1098/rspb.2017.2869")</f>
        <v>http://dx.doi.org/10.1098/rspb.2017.2869</v>
      </c>
      <c r="BG832" t="s">
        <v>74</v>
      </c>
      <c r="BH832" t="s">
        <v>74</v>
      </c>
      <c r="BI832">
        <v>9</v>
      </c>
      <c r="BJ832" t="s">
        <v>16052</v>
      </c>
      <c r="BK832" t="s">
        <v>101</v>
      </c>
      <c r="BL832" t="s">
        <v>16053</v>
      </c>
      <c r="BM832" t="s">
        <v>16054</v>
      </c>
      <c r="BN832">
        <v>29445023</v>
      </c>
      <c r="BO832" t="s">
        <v>4167</v>
      </c>
      <c r="BP832" t="s">
        <v>74</v>
      </c>
      <c r="BQ832" t="s">
        <v>74</v>
      </c>
      <c r="BR832" t="s">
        <v>105</v>
      </c>
      <c r="BS832" t="s">
        <v>16072</v>
      </c>
      <c r="BT832" t="str">
        <f>HYPERLINK("https%3A%2F%2Fwww.webofscience.com%2Fwos%2Fwoscc%2Ffull-record%2FWOS:000426469200019","View Full Record in Web of Science")</f>
        <v>View Full Record in Web of Science</v>
      </c>
    </row>
    <row r="833" spans="1:72" x14ac:dyDescent="0.15">
      <c r="A833" t="s">
        <v>72</v>
      </c>
      <c r="B833" t="s">
        <v>16073</v>
      </c>
      <c r="C833" t="s">
        <v>74</v>
      </c>
      <c r="D833" t="s">
        <v>74</v>
      </c>
      <c r="E833" t="s">
        <v>74</v>
      </c>
      <c r="F833" t="s">
        <v>16074</v>
      </c>
      <c r="G833" t="s">
        <v>74</v>
      </c>
      <c r="H833" t="s">
        <v>74</v>
      </c>
      <c r="I833" t="s">
        <v>16075</v>
      </c>
      <c r="J833" t="s">
        <v>5917</v>
      </c>
      <c r="K833" t="s">
        <v>74</v>
      </c>
      <c r="L833" t="s">
        <v>74</v>
      </c>
      <c r="M833" t="s">
        <v>78</v>
      </c>
      <c r="N833" t="s">
        <v>79</v>
      </c>
      <c r="O833" t="s">
        <v>74</v>
      </c>
      <c r="P833" t="s">
        <v>74</v>
      </c>
      <c r="Q833" t="s">
        <v>74</v>
      </c>
      <c r="R833" t="s">
        <v>74</v>
      </c>
      <c r="S833" t="s">
        <v>74</v>
      </c>
      <c r="T833" t="s">
        <v>16076</v>
      </c>
      <c r="U833" t="s">
        <v>16077</v>
      </c>
      <c r="V833" t="s">
        <v>16078</v>
      </c>
      <c r="W833" t="s">
        <v>16079</v>
      </c>
      <c r="X833" t="s">
        <v>16080</v>
      </c>
      <c r="Y833" t="s">
        <v>16081</v>
      </c>
      <c r="Z833" t="s">
        <v>74</v>
      </c>
      <c r="AA833" t="s">
        <v>74</v>
      </c>
      <c r="AB833" t="s">
        <v>74</v>
      </c>
      <c r="AC833" t="s">
        <v>16082</v>
      </c>
      <c r="AD833" t="s">
        <v>16083</v>
      </c>
      <c r="AE833" t="s">
        <v>16084</v>
      </c>
      <c r="AF833" t="s">
        <v>74</v>
      </c>
      <c r="AG833">
        <v>29</v>
      </c>
      <c r="AH833">
        <v>2</v>
      </c>
      <c r="AI833">
        <v>2</v>
      </c>
      <c r="AJ833">
        <v>0</v>
      </c>
      <c r="AK833">
        <v>2</v>
      </c>
      <c r="AL833" t="s">
        <v>2908</v>
      </c>
      <c r="AM833" t="s">
        <v>2909</v>
      </c>
      <c r="AN833" t="s">
        <v>11532</v>
      </c>
      <c r="AO833" t="s">
        <v>5928</v>
      </c>
      <c r="AP833" t="s">
        <v>5929</v>
      </c>
      <c r="AQ833" t="s">
        <v>74</v>
      </c>
      <c r="AR833" t="s">
        <v>5917</v>
      </c>
      <c r="AS833" t="s">
        <v>5930</v>
      </c>
      <c r="AT833" t="s">
        <v>16027</v>
      </c>
      <c r="AU833">
        <v>2018</v>
      </c>
      <c r="AV833">
        <v>4379</v>
      </c>
      <c r="AW833">
        <v>2</v>
      </c>
      <c r="AX833" t="s">
        <v>74</v>
      </c>
      <c r="AY833" t="s">
        <v>74</v>
      </c>
      <c r="AZ833" t="s">
        <v>74</v>
      </c>
      <c r="BA833" t="s">
        <v>74</v>
      </c>
      <c r="BB833">
        <v>247</v>
      </c>
      <c r="BC833">
        <v>267</v>
      </c>
      <c r="BD833" t="s">
        <v>74</v>
      </c>
      <c r="BE833" t="s">
        <v>16085</v>
      </c>
      <c r="BF833" t="str">
        <f>HYPERLINK("http://dx.doi.org/10.11646/zootaxa.4379.2.6","http://dx.doi.org/10.11646/zootaxa.4379.2.6")</f>
        <v>http://dx.doi.org/10.11646/zootaxa.4379.2.6</v>
      </c>
      <c r="BG833" t="s">
        <v>74</v>
      </c>
      <c r="BH833" t="s">
        <v>74</v>
      </c>
      <c r="BI833">
        <v>21</v>
      </c>
      <c r="BJ833" t="s">
        <v>2624</v>
      </c>
      <c r="BK833" t="s">
        <v>101</v>
      </c>
      <c r="BL833" t="s">
        <v>2624</v>
      </c>
      <c r="BM833" t="s">
        <v>16086</v>
      </c>
      <c r="BN833">
        <v>29689987</v>
      </c>
      <c r="BO833" t="s">
        <v>74</v>
      </c>
      <c r="BP833" t="s">
        <v>74</v>
      </c>
      <c r="BQ833" t="s">
        <v>74</v>
      </c>
      <c r="BR833" t="s">
        <v>105</v>
      </c>
      <c r="BS833" t="s">
        <v>16087</v>
      </c>
      <c r="BT833" t="str">
        <f>HYPERLINK("https%3A%2F%2Fwww.webofscience.com%2Fwos%2Fwoscc%2Ffull-record%2FWOS:000425088700006","View Full Record in Web of Science")</f>
        <v>View Full Record in Web of Science</v>
      </c>
    </row>
    <row r="834" spans="1:72" x14ac:dyDescent="0.15">
      <c r="A834" t="s">
        <v>72</v>
      </c>
      <c r="B834" t="s">
        <v>16088</v>
      </c>
      <c r="C834" t="s">
        <v>74</v>
      </c>
      <c r="D834" t="s">
        <v>74</v>
      </c>
      <c r="E834" t="s">
        <v>74</v>
      </c>
      <c r="F834" t="s">
        <v>16089</v>
      </c>
      <c r="G834" t="s">
        <v>74</v>
      </c>
      <c r="H834" t="s">
        <v>74</v>
      </c>
      <c r="I834" t="s">
        <v>16090</v>
      </c>
      <c r="J834" t="s">
        <v>1677</v>
      </c>
      <c r="K834" t="s">
        <v>74</v>
      </c>
      <c r="L834" t="s">
        <v>74</v>
      </c>
      <c r="M834" t="s">
        <v>78</v>
      </c>
      <c r="N834" t="s">
        <v>371</v>
      </c>
      <c r="O834" t="s">
        <v>74</v>
      </c>
      <c r="P834" t="s">
        <v>74</v>
      </c>
      <c r="Q834" t="s">
        <v>74</v>
      </c>
      <c r="R834" t="s">
        <v>74</v>
      </c>
      <c r="S834" t="s">
        <v>74</v>
      </c>
      <c r="T834" t="s">
        <v>74</v>
      </c>
      <c r="U834" t="s">
        <v>74</v>
      </c>
      <c r="V834" t="s">
        <v>16091</v>
      </c>
      <c r="W834" t="s">
        <v>16092</v>
      </c>
      <c r="X834" t="s">
        <v>3455</v>
      </c>
      <c r="Y834" t="s">
        <v>16093</v>
      </c>
      <c r="Z834" t="s">
        <v>16094</v>
      </c>
      <c r="AA834" t="s">
        <v>16095</v>
      </c>
      <c r="AB834" t="s">
        <v>16096</v>
      </c>
      <c r="AC834" t="s">
        <v>74</v>
      </c>
      <c r="AD834" t="s">
        <v>74</v>
      </c>
      <c r="AE834" t="s">
        <v>74</v>
      </c>
      <c r="AF834" t="s">
        <v>74</v>
      </c>
      <c r="AG834">
        <v>0</v>
      </c>
      <c r="AH834">
        <v>277</v>
      </c>
      <c r="AI834">
        <v>293</v>
      </c>
      <c r="AJ834">
        <v>29</v>
      </c>
      <c r="AK834">
        <v>308</v>
      </c>
      <c r="AL834" t="s">
        <v>1689</v>
      </c>
      <c r="AM834" t="s">
        <v>1540</v>
      </c>
      <c r="AN834" t="s">
        <v>1690</v>
      </c>
      <c r="AO834" t="s">
        <v>1691</v>
      </c>
      <c r="AP834" t="s">
        <v>74</v>
      </c>
      <c r="AQ834" t="s">
        <v>74</v>
      </c>
      <c r="AR834" t="s">
        <v>1692</v>
      </c>
      <c r="AS834" t="s">
        <v>1693</v>
      </c>
      <c r="AT834" t="s">
        <v>16027</v>
      </c>
      <c r="AU834">
        <v>2018</v>
      </c>
      <c r="AV834">
        <v>9</v>
      </c>
      <c r="AW834" t="s">
        <v>74</v>
      </c>
      <c r="AX834" t="s">
        <v>74</v>
      </c>
      <c r="AY834" t="s">
        <v>74</v>
      </c>
      <c r="AZ834" t="s">
        <v>74</v>
      </c>
      <c r="BA834" t="s">
        <v>74</v>
      </c>
      <c r="BB834" t="s">
        <v>74</v>
      </c>
      <c r="BC834" t="s">
        <v>74</v>
      </c>
      <c r="BD834">
        <v>667</v>
      </c>
      <c r="BE834" t="s">
        <v>16097</v>
      </c>
      <c r="BF834" t="str">
        <f>HYPERLINK("http://dx.doi.org/10.1038/s41467-018-03104-3","http://dx.doi.org/10.1038/s41467-018-03104-3")</f>
        <v>http://dx.doi.org/10.1038/s41467-018-03104-3</v>
      </c>
      <c r="BG834" t="s">
        <v>74</v>
      </c>
      <c r="BH834" t="s">
        <v>74</v>
      </c>
      <c r="BI834">
        <v>3</v>
      </c>
      <c r="BJ834" t="s">
        <v>1670</v>
      </c>
      <c r="BK834" t="s">
        <v>101</v>
      </c>
      <c r="BL834" t="s">
        <v>1671</v>
      </c>
      <c r="BM834" t="s">
        <v>16098</v>
      </c>
      <c r="BN834">
        <v>29445166</v>
      </c>
      <c r="BO834" t="s">
        <v>764</v>
      </c>
      <c r="BP834" t="s">
        <v>74</v>
      </c>
      <c r="BQ834" t="s">
        <v>74</v>
      </c>
      <c r="BR834" t="s">
        <v>105</v>
      </c>
      <c r="BS834" t="s">
        <v>16099</v>
      </c>
      <c r="BT834" t="str">
        <f>HYPERLINK("https%3A%2F%2Fwww.webofscience.com%2Fwos%2Fwoscc%2Ffull-record%2FWOS:000424988700007","View Full Record in Web of Science")</f>
        <v>View Full Record in Web of Science</v>
      </c>
    </row>
    <row r="835" spans="1:72" x14ac:dyDescent="0.15">
      <c r="A835" t="s">
        <v>72</v>
      </c>
      <c r="B835" t="s">
        <v>16100</v>
      </c>
      <c r="C835" t="s">
        <v>74</v>
      </c>
      <c r="D835" t="s">
        <v>74</v>
      </c>
      <c r="E835" t="s">
        <v>74</v>
      </c>
      <c r="F835" t="s">
        <v>16101</v>
      </c>
      <c r="G835" t="s">
        <v>74</v>
      </c>
      <c r="H835" t="s">
        <v>74</v>
      </c>
      <c r="I835" t="s">
        <v>16102</v>
      </c>
      <c r="J835" t="s">
        <v>2298</v>
      </c>
      <c r="K835" t="s">
        <v>74</v>
      </c>
      <c r="L835" t="s">
        <v>74</v>
      </c>
      <c r="M835" t="s">
        <v>78</v>
      </c>
      <c r="N835" t="s">
        <v>79</v>
      </c>
      <c r="O835" t="s">
        <v>74</v>
      </c>
      <c r="P835" t="s">
        <v>74</v>
      </c>
      <c r="Q835" t="s">
        <v>74</v>
      </c>
      <c r="R835" t="s">
        <v>74</v>
      </c>
      <c r="S835" t="s">
        <v>74</v>
      </c>
      <c r="T835" t="s">
        <v>74</v>
      </c>
      <c r="U835" t="s">
        <v>16103</v>
      </c>
      <c r="V835" t="s">
        <v>16104</v>
      </c>
      <c r="W835" t="s">
        <v>16105</v>
      </c>
      <c r="X835" t="s">
        <v>16106</v>
      </c>
      <c r="Y835" t="s">
        <v>16107</v>
      </c>
      <c r="Z835" t="s">
        <v>16108</v>
      </c>
      <c r="AA835" t="s">
        <v>16109</v>
      </c>
      <c r="AB835" t="s">
        <v>16110</v>
      </c>
      <c r="AC835" t="s">
        <v>16111</v>
      </c>
      <c r="AD835" t="s">
        <v>16112</v>
      </c>
      <c r="AE835" t="s">
        <v>16113</v>
      </c>
      <c r="AF835" t="s">
        <v>74</v>
      </c>
      <c r="AG835">
        <v>68</v>
      </c>
      <c r="AH835">
        <v>51</v>
      </c>
      <c r="AI835">
        <v>59</v>
      </c>
      <c r="AJ835">
        <v>1</v>
      </c>
      <c r="AK835">
        <v>25</v>
      </c>
      <c r="AL835" t="s">
        <v>2310</v>
      </c>
      <c r="AM835" t="s">
        <v>2311</v>
      </c>
      <c r="AN835" t="s">
        <v>2312</v>
      </c>
      <c r="AO835" t="s">
        <v>2313</v>
      </c>
      <c r="AP835" t="s">
        <v>74</v>
      </c>
      <c r="AQ835" t="s">
        <v>74</v>
      </c>
      <c r="AR835" t="s">
        <v>2298</v>
      </c>
      <c r="AS835" t="s">
        <v>2314</v>
      </c>
      <c r="AT835" t="s">
        <v>16027</v>
      </c>
      <c r="AU835">
        <v>2018</v>
      </c>
      <c r="AV835">
        <v>13</v>
      </c>
      <c r="AW835">
        <v>2</v>
      </c>
      <c r="AX835" t="s">
        <v>74</v>
      </c>
      <c r="AY835" t="s">
        <v>74</v>
      </c>
      <c r="AZ835" t="s">
        <v>74</v>
      </c>
      <c r="BA835" t="s">
        <v>74</v>
      </c>
      <c r="BB835" t="s">
        <v>74</v>
      </c>
      <c r="BC835" t="s">
        <v>74</v>
      </c>
      <c r="BD835" t="s">
        <v>16114</v>
      </c>
      <c r="BE835" t="s">
        <v>16115</v>
      </c>
      <c r="BF835" t="str">
        <f>HYPERLINK("http://dx.doi.org/10.1371/journal.pone.0192898","http://dx.doi.org/10.1371/journal.pone.0192898")</f>
        <v>http://dx.doi.org/10.1371/journal.pone.0192898</v>
      </c>
      <c r="BG835" t="s">
        <v>74</v>
      </c>
      <c r="BH835" t="s">
        <v>74</v>
      </c>
      <c r="BI835">
        <v>16</v>
      </c>
      <c r="BJ835" t="s">
        <v>1670</v>
      </c>
      <c r="BK835" t="s">
        <v>101</v>
      </c>
      <c r="BL835" t="s">
        <v>1671</v>
      </c>
      <c r="BM835" t="s">
        <v>16116</v>
      </c>
      <c r="BN835">
        <v>29444186</v>
      </c>
      <c r="BO835" t="s">
        <v>2293</v>
      </c>
      <c r="BP835" t="s">
        <v>74</v>
      </c>
      <c r="BQ835" t="s">
        <v>74</v>
      </c>
      <c r="BR835" t="s">
        <v>105</v>
      </c>
      <c r="BS835" t="s">
        <v>16117</v>
      </c>
      <c r="BT835" t="str">
        <f>HYPERLINK("https%3A%2F%2Fwww.webofscience.com%2Fwos%2Fwoscc%2Ffull-record%2FWOS:000425183500104","View Full Record in Web of Science")</f>
        <v>View Full Record in Web of Science</v>
      </c>
    </row>
    <row r="836" spans="1:72" x14ac:dyDescent="0.15">
      <c r="A836" t="s">
        <v>72</v>
      </c>
      <c r="B836" t="s">
        <v>16118</v>
      </c>
      <c r="C836" t="s">
        <v>74</v>
      </c>
      <c r="D836" t="s">
        <v>74</v>
      </c>
      <c r="E836" t="s">
        <v>74</v>
      </c>
      <c r="F836" t="s">
        <v>16119</v>
      </c>
      <c r="G836" t="s">
        <v>74</v>
      </c>
      <c r="H836" t="s">
        <v>74</v>
      </c>
      <c r="I836" t="s">
        <v>16120</v>
      </c>
      <c r="J836" t="s">
        <v>2298</v>
      </c>
      <c r="K836" t="s">
        <v>74</v>
      </c>
      <c r="L836" t="s">
        <v>74</v>
      </c>
      <c r="M836" t="s">
        <v>78</v>
      </c>
      <c r="N836" t="s">
        <v>79</v>
      </c>
      <c r="O836" t="s">
        <v>74</v>
      </c>
      <c r="P836" t="s">
        <v>74</v>
      </c>
      <c r="Q836" t="s">
        <v>74</v>
      </c>
      <c r="R836" t="s">
        <v>74</v>
      </c>
      <c r="S836" t="s">
        <v>74</v>
      </c>
      <c r="T836" t="s">
        <v>74</v>
      </c>
      <c r="U836" t="s">
        <v>16121</v>
      </c>
      <c r="V836" t="s">
        <v>16122</v>
      </c>
      <c r="W836" t="s">
        <v>16123</v>
      </c>
      <c r="X836" t="s">
        <v>16124</v>
      </c>
      <c r="Y836" t="s">
        <v>16125</v>
      </c>
      <c r="Z836" t="s">
        <v>16126</v>
      </c>
      <c r="AA836" t="s">
        <v>16127</v>
      </c>
      <c r="AB836" t="s">
        <v>16128</v>
      </c>
      <c r="AC836" t="s">
        <v>16129</v>
      </c>
      <c r="AD836" t="s">
        <v>16129</v>
      </c>
      <c r="AE836" t="s">
        <v>16130</v>
      </c>
      <c r="AF836" t="s">
        <v>74</v>
      </c>
      <c r="AG836">
        <v>95</v>
      </c>
      <c r="AH836">
        <v>79</v>
      </c>
      <c r="AI836">
        <v>83</v>
      </c>
      <c r="AJ836">
        <v>1</v>
      </c>
      <c r="AK836">
        <v>32</v>
      </c>
      <c r="AL836" t="s">
        <v>2310</v>
      </c>
      <c r="AM836" t="s">
        <v>2311</v>
      </c>
      <c r="AN836" t="s">
        <v>2312</v>
      </c>
      <c r="AO836" t="s">
        <v>2313</v>
      </c>
      <c r="AP836" t="s">
        <v>74</v>
      </c>
      <c r="AQ836" t="s">
        <v>74</v>
      </c>
      <c r="AR836" t="s">
        <v>2298</v>
      </c>
      <c r="AS836" t="s">
        <v>2314</v>
      </c>
      <c r="AT836" t="s">
        <v>16027</v>
      </c>
      <c r="AU836">
        <v>2018</v>
      </c>
      <c r="AV836">
        <v>13</v>
      </c>
      <c r="AW836">
        <v>2</v>
      </c>
      <c r="AX836" t="s">
        <v>74</v>
      </c>
      <c r="AY836" t="s">
        <v>74</v>
      </c>
      <c r="AZ836" t="s">
        <v>74</v>
      </c>
      <c r="BA836" t="s">
        <v>74</v>
      </c>
      <c r="BB836" t="s">
        <v>74</v>
      </c>
      <c r="BC836" t="s">
        <v>74</v>
      </c>
      <c r="BD836" t="s">
        <v>16131</v>
      </c>
      <c r="BE836" t="s">
        <v>16132</v>
      </c>
      <c r="BF836" t="str">
        <f>HYPERLINK("http://dx.doi.org/10.1371/journal.pone.0190914","http://dx.doi.org/10.1371/journal.pone.0190914")</f>
        <v>http://dx.doi.org/10.1371/journal.pone.0190914</v>
      </c>
      <c r="BG836" t="s">
        <v>74</v>
      </c>
      <c r="BH836" t="s">
        <v>74</v>
      </c>
      <c r="BI836">
        <v>23</v>
      </c>
      <c r="BJ836" t="s">
        <v>1670</v>
      </c>
      <c r="BK836" t="s">
        <v>101</v>
      </c>
      <c r="BL836" t="s">
        <v>1671</v>
      </c>
      <c r="BM836" t="s">
        <v>16116</v>
      </c>
      <c r="BN836">
        <v>29444143</v>
      </c>
      <c r="BO836" t="s">
        <v>2010</v>
      </c>
      <c r="BP836" t="s">
        <v>74</v>
      </c>
      <c r="BQ836" t="s">
        <v>74</v>
      </c>
      <c r="BR836" t="s">
        <v>105</v>
      </c>
      <c r="BS836" t="s">
        <v>16133</v>
      </c>
      <c r="BT836" t="str">
        <f>HYPERLINK("https%3A%2F%2Fwww.webofscience.com%2Fwos%2Fwoscc%2Ffull-record%2FWOS:000425183500011","View Full Record in Web of Science")</f>
        <v>View Full Record in Web of Science</v>
      </c>
    </row>
    <row r="837" spans="1:72" x14ac:dyDescent="0.15">
      <c r="A837" t="s">
        <v>72</v>
      </c>
      <c r="B837" t="s">
        <v>16134</v>
      </c>
      <c r="C837" t="s">
        <v>74</v>
      </c>
      <c r="D837" t="s">
        <v>74</v>
      </c>
      <c r="E837" t="s">
        <v>74</v>
      </c>
      <c r="F837" t="s">
        <v>16135</v>
      </c>
      <c r="G837" t="s">
        <v>74</v>
      </c>
      <c r="H837" t="s">
        <v>74</v>
      </c>
      <c r="I837" t="s">
        <v>16136</v>
      </c>
      <c r="J837" t="s">
        <v>2139</v>
      </c>
      <c r="K837" t="s">
        <v>74</v>
      </c>
      <c r="L837" t="s">
        <v>74</v>
      </c>
      <c r="M837" t="s">
        <v>78</v>
      </c>
      <c r="N837" t="s">
        <v>466</v>
      </c>
      <c r="O837" t="s">
        <v>74</v>
      </c>
      <c r="P837" t="s">
        <v>74</v>
      </c>
      <c r="Q837" t="s">
        <v>74</v>
      </c>
      <c r="R837" t="s">
        <v>74</v>
      </c>
      <c r="S837" t="s">
        <v>74</v>
      </c>
      <c r="T837" t="s">
        <v>16137</v>
      </c>
      <c r="U837" t="s">
        <v>16138</v>
      </c>
      <c r="V837" t="s">
        <v>16139</v>
      </c>
      <c r="W837" t="s">
        <v>16140</v>
      </c>
      <c r="X837" t="s">
        <v>16141</v>
      </c>
      <c r="Y837" t="s">
        <v>16142</v>
      </c>
      <c r="Z837" t="s">
        <v>16143</v>
      </c>
      <c r="AA837" t="s">
        <v>16144</v>
      </c>
      <c r="AB837" t="s">
        <v>16145</v>
      </c>
      <c r="AC837" t="s">
        <v>74</v>
      </c>
      <c r="AD837" t="s">
        <v>74</v>
      </c>
      <c r="AE837" t="s">
        <v>74</v>
      </c>
      <c r="AF837" t="s">
        <v>74</v>
      </c>
      <c r="AG837">
        <v>66</v>
      </c>
      <c r="AH837">
        <v>15</v>
      </c>
      <c r="AI837">
        <v>19</v>
      </c>
      <c r="AJ837">
        <v>2</v>
      </c>
      <c r="AK837">
        <v>15</v>
      </c>
      <c r="AL837" t="s">
        <v>2152</v>
      </c>
      <c r="AM837" t="s">
        <v>2153</v>
      </c>
      <c r="AN837" t="s">
        <v>2154</v>
      </c>
      <c r="AO837" t="s">
        <v>74</v>
      </c>
      <c r="AP837" t="s">
        <v>2155</v>
      </c>
      <c r="AQ837" t="s">
        <v>74</v>
      </c>
      <c r="AR837" t="s">
        <v>2156</v>
      </c>
      <c r="AS837" t="s">
        <v>2157</v>
      </c>
      <c r="AT837" t="s">
        <v>16146</v>
      </c>
      <c r="AU837">
        <v>2018</v>
      </c>
      <c r="AV837">
        <v>5</v>
      </c>
      <c r="AW837" t="s">
        <v>74</v>
      </c>
      <c r="AX837" t="s">
        <v>74</v>
      </c>
      <c r="AY837" t="s">
        <v>74</v>
      </c>
      <c r="AZ837" t="s">
        <v>74</v>
      </c>
      <c r="BA837" t="s">
        <v>74</v>
      </c>
      <c r="BB837" t="s">
        <v>74</v>
      </c>
      <c r="BC837" t="s">
        <v>74</v>
      </c>
      <c r="BD837">
        <v>47</v>
      </c>
      <c r="BE837" t="s">
        <v>16147</v>
      </c>
      <c r="BF837" t="str">
        <f>HYPERLINK("http://dx.doi.org/10.3389/fmars.2018.00047","http://dx.doi.org/10.3389/fmars.2018.00047")</f>
        <v>http://dx.doi.org/10.3389/fmars.2018.00047</v>
      </c>
      <c r="BG837" t="s">
        <v>74</v>
      </c>
      <c r="BH837" t="s">
        <v>74</v>
      </c>
      <c r="BI837">
        <v>9</v>
      </c>
      <c r="BJ837" t="s">
        <v>2159</v>
      </c>
      <c r="BK837" t="s">
        <v>101</v>
      </c>
      <c r="BL837" t="s">
        <v>1268</v>
      </c>
      <c r="BM837" t="s">
        <v>16148</v>
      </c>
      <c r="BN837" t="s">
        <v>74</v>
      </c>
      <c r="BO837" t="s">
        <v>133</v>
      </c>
      <c r="BP837" t="s">
        <v>74</v>
      </c>
      <c r="BQ837" t="s">
        <v>74</v>
      </c>
      <c r="BR837" t="s">
        <v>105</v>
      </c>
      <c r="BS837" t="s">
        <v>16149</v>
      </c>
      <c r="BT837" t="str">
        <f>HYPERLINK("https%3A%2F%2Fwww.webofscience.com%2Fwos%2Fwoscc%2Ffull-record%2FWOS:000456926300001","View Full Record in Web of Science")</f>
        <v>View Full Record in Web of Science</v>
      </c>
    </row>
    <row r="838" spans="1:72" x14ac:dyDescent="0.15">
      <c r="A838" t="s">
        <v>72</v>
      </c>
      <c r="B838" t="s">
        <v>16150</v>
      </c>
      <c r="C838" t="s">
        <v>74</v>
      </c>
      <c r="D838" t="s">
        <v>74</v>
      </c>
      <c r="E838" t="s">
        <v>74</v>
      </c>
      <c r="F838" t="s">
        <v>16151</v>
      </c>
      <c r="G838" t="s">
        <v>74</v>
      </c>
      <c r="H838" t="s">
        <v>74</v>
      </c>
      <c r="I838" t="s">
        <v>16152</v>
      </c>
      <c r="J838" t="s">
        <v>16153</v>
      </c>
      <c r="K838" t="s">
        <v>74</v>
      </c>
      <c r="L838" t="s">
        <v>74</v>
      </c>
      <c r="M838" t="s">
        <v>78</v>
      </c>
      <c r="N838" t="s">
        <v>79</v>
      </c>
      <c r="O838" t="s">
        <v>74</v>
      </c>
      <c r="P838" t="s">
        <v>74</v>
      </c>
      <c r="Q838" t="s">
        <v>74</v>
      </c>
      <c r="R838" t="s">
        <v>74</v>
      </c>
      <c r="S838" t="s">
        <v>74</v>
      </c>
      <c r="T838" t="s">
        <v>74</v>
      </c>
      <c r="U838" t="s">
        <v>16154</v>
      </c>
      <c r="V838" t="s">
        <v>16155</v>
      </c>
      <c r="W838" t="s">
        <v>16156</v>
      </c>
      <c r="X838" t="s">
        <v>16157</v>
      </c>
      <c r="Y838" t="s">
        <v>16158</v>
      </c>
      <c r="Z838" t="s">
        <v>16159</v>
      </c>
      <c r="AA838" t="s">
        <v>16160</v>
      </c>
      <c r="AB838" t="s">
        <v>16161</v>
      </c>
      <c r="AC838" t="s">
        <v>16162</v>
      </c>
      <c r="AD838" t="s">
        <v>16163</v>
      </c>
      <c r="AE838" t="s">
        <v>16164</v>
      </c>
      <c r="AF838" t="s">
        <v>74</v>
      </c>
      <c r="AG838">
        <v>79</v>
      </c>
      <c r="AH838">
        <v>21</v>
      </c>
      <c r="AI838">
        <v>21</v>
      </c>
      <c r="AJ838">
        <v>1</v>
      </c>
      <c r="AK838">
        <v>14</v>
      </c>
      <c r="AL838" t="s">
        <v>16165</v>
      </c>
      <c r="AM838" t="s">
        <v>16166</v>
      </c>
      <c r="AN838" t="s">
        <v>16167</v>
      </c>
      <c r="AO838" t="s">
        <v>16168</v>
      </c>
      <c r="AP838" t="s">
        <v>74</v>
      </c>
      <c r="AQ838" t="s">
        <v>74</v>
      </c>
      <c r="AR838" t="s">
        <v>16169</v>
      </c>
      <c r="AS838" t="s">
        <v>16170</v>
      </c>
      <c r="AT838" t="s">
        <v>16146</v>
      </c>
      <c r="AU838">
        <v>2018</v>
      </c>
      <c r="AV838">
        <v>37</v>
      </c>
      <c r="AW838">
        <v>1</v>
      </c>
      <c r="AX838" t="s">
        <v>74</v>
      </c>
      <c r="AY838" t="s">
        <v>74</v>
      </c>
      <c r="AZ838" t="s">
        <v>74</v>
      </c>
      <c r="BA838" t="s">
        <v>74</v>
      </c>
      <c r="BB838">
        <v>317</v>
      </c>
      <c r="BC838">
        <v>339</v>
      </c>
      <c r="BD838" t="s">
        <v>74</v>
      </c>
      <c r="BE838" t="s">
        <v>16171</v>
      </c>
      <c r="BF838" t="str">
        <f>HYPERLINK("http://dx.doi.org/10.5194/jm-37-317-2018","http://dx.doi.org/10.5194/jm-37-317-2018")</f>
        <v>http://dx.doi.org/10.5194/jm-37-317-2018</v>
      </c>
      <c r="BG838" t="s">
        <v>74</v>
      </c>
      <c r="BH838" t="s">
        <v>74</v>
      </c>
      <c r="BI838">
        <v>23</v>
      </c>
      <c r="BJ838" t="s">
        <v>4323</v>
      </c>
      <c r="BK838" t="s">
        <v>101</v>
      </c>
      <c r="BL838" t="s">
        <v>4323</v>
      </c>
      <c r="BM838" t="s">
        <v>16172</v>
      </c>
      <c r="BN838" t="s">
        <v>74</v>
      </c>
      <c r="BO838" t="s">
        <v>11369</v>
      </c>
      <c r="BP838" t="s">
        <v>74</v>
      </c>
      <c r="BQ838" t="s">
        <v>74</v>
      </c>
      <c r="BR838" t="s">
        <v>105</v>
      </c>
      <c r="BS838" t="s">
        <v>16173</v>
      </c>
      <c r="BT838" t="str">
        <f>HYPERLINK("https%3A%2F%2Fwww.webofscience.com%2Fwos%2Fwoscc%2Ffull-record%2FWOS:000425041400001","View Full Record in Web of Science")</f>
        <v>View Full Record in Web of Science</v>
      </c>
    </row>
    <row r="839" spans="1:72" x14ac:dyDescent="0.15">
      <c r="A839" t="s">
        <v>72</v>
      </c>
      <c r="B839" t="s">
        <v>16174</v>
      </c>
      <c r="C839" t="s">
        <v>74</v>
      </c>
      <c r="D839" t="s">
        <v>74</v>
      </c>
      <c r="E839" t="s">
        <v>74</v>
      </c>
      <c r="F839" t="s">
        <v>16175</v>
      </c>
      <c r="G839" t="s">
        <v>74</v>
      </c>
      <c r="H839" t="s">
        <v>74</v>
      </c>
      <c r="I839" t="s">
        <v>16176</v>
      </c>
      <c r="J839" t="s">
        <v>1576</v>
      </c>
      <c r="K839" t="s">
        <v>74</v>
      </c>
      <c r="L839" t="s">
        <v>74</v>
      </c>
      <c r="M839" t="s">
        <v>78</v>
      </c>
      <c r="N839" t="s">
        <v>79</v>
      </c>
      <c r="O839" t="s">
        <v>74</v>
      </c>
      <c r="P839" t="s">
        <v>74</v>
      </c>
      <c r="Q839" t="s">
        <v>74</v>
      </c>
      <c r="R839" t="s">
        <v>74</v>
      </c>
      <c r="S839" t="s">
        <v>74</v>
      </c>
      <c r="T839" t="s">
        <v>74</v>
      </c>
      <c r="U839" t="s">
        <v>16177</v>
      </c>
      <c r="V839" t="s">
        <v>16178</v>
      </c>
      <c r="W839" t="s">
        <v>16179</v>
      </c>
      <c r="X839" t="s">
        <v>16180</v>
      </c>
      <c r="Y839" t="s">
        <v>16181</v>
      </c>
      <c r="Z839" t="s">
        <v>16182</v>
      </c>
      <c r="AA839" t="s">
        <v>16183</v>
      </c>
      <c r="AB839" t="s">
        <v>16184</v>
      </c>
      <c r="AC839" t="s">
        <v>16185</v>
      </c>
      <c r="AD839" t="s">
        <v>16186</v>
      </c>
      <c r="AE839" t="s">
        <v>16187</v>
      </c>
      <c r="AF839" t="s">
        <v>74</v>
      </c>
      <c r="AG839">
        <v>81</v>
      </c>
      <c r="AH839">
        <v>259</v>
      </c>
      <c r="AI839">
        <v>295</v>
      </c>
      <c r="AJ839">
        <v>6</v>
      </c>
      <c r="AK839">
        <v>109</v>
      </c>
      <c r="AL839" t="s">
        <v>1563</v>
      </c>
      <c r="AM839" t="s">
        <v>1564</v>
      </c>
      <c r="AN839" t="s">
        <v>1565</v>
      </c>
      <c r="AO839" t="s">
        <v>1588</v>
      </c>
      <c r="AP839" t="s">
        <v>1589</v>
      </c>
      <c r="AQ839" t="s">
        <v>74</v>
      </c>
      <c r="AR839" t="s">
        <v>1576</v>
      </c>
      <c r="AS839" t="s">
        <v>1590</v>
      </c>
      <c r="AT839" t="s">
        <v>16146</v>
      </c>
      <c r="AU839">
        <v>2018</v>
      </c>
      <c r="AV839">
        <v>12</v>
      </c>
      <c r="AW839">
        <v>2</v>
      </c>
      <c r="AX839" t="s">
        <v>74</v>
      </c>
      <c r="AY839" t="s">
        <v>74</v>
      </c>
      <c r="AZ839" t="s">
        <v>74</v>
      </c>
      <c r="BA839" t="s">
        <v>74</v>
      </c>
      <c r="BB839">
        <v>521</v>
      </c>
      <c r="BC839">
        <v>547</v>
      </c>
      <c r="BD839" t="s">
        <v>74</v>
      </c>
      <c r="BE839" t="s">
        <v>16188</v>
      </c>
      <c r="BF839" t="str">
        <f>HYPERLINK("http://dx.doi.org/10.5194/tc-12-521-2018","http://dx.doi.org/10.5194/tc-12-521-2018")</f>
        <v>http://dx.doi.org/10.5194/tc-12-521-2018</v>
      </c>
      <c r="BG839" t="s">
        <v>74</v>
      </c>
      <c r="BH839" t="s">
        <v>74</v>
      </c>
      <c r="BI839">
        <v>27</v>
      </c>
      <c r="BJ839" t="s">
        <v>338</v>
      </c>
      <c r="BK839" t="s">
        <v>101</v>
      </c>
      <c r="BL839" t="s">
        <v>339</v>
      </c>
      <c r="BM839" t="s">
        <v>16189</v>
      </c>
      <c r="BN839" t="s">
        <v>74</v>
      </c>
      <c r="BO839" t="s">
        <v>830</v>
      </c>
      <c r="BP839" t="s">
        <v>555</v>
      </c>
      <c r="BQ839" t="s">
        <v>556</v>
      </c>
      <c r="BR839" t="s">
        <v>105</v>
      </c>
      <c r="BS839" t="s">
        <v>16190</v>
      </c>
      <c r="BT839" t="str">
        <f>HYPERLINK("https%3A%2F%2Fwww.webofscience.com%2Fwos%2Fwoscc%2Ffull-record%2FWOS:000425039600001","View Full Record in Web of Science")</f>
        <v>View Full Record in Web of Science</v>
      </c>
    </row>
    <row r="840" spans="1:72" x14ac:dyDescent="0.15">
      <c r="A840" t="s">
        <v>72</v>
      </c>
      <c r="B840" t="s">
        <v>16191</v>
      </c>
      <c r="C840" t="s">
        <v>74</v>
      </c>
      <c r="D840" t="s">
        <v>74</v>
      </c>
      <c r="E840" t="s">
        <v>74</v>
      </c>
      <c r="F840" t="s">
        <v>16192</v>
      </c>
      <c r="G840" t="s">
        <v>74</v>
      </c>
      <c r="H840" t="s">
        <v>74</v>
      </c>
      <c r="I840" t="s">
        <v>16193</v>
      </c>
      <c r="J840" t="s">
        <v>2979</v>
      </c>
      <c r="K840" t="s">
        <v>74</v>
      </c>
      <c r="L840" t="s">
        <v>74</v>
      </c>
      <c r="M840" t="s">
        <v>78</v>
      </c>
      <c r="N840" t="s">
        <v>79</v>
      </c>
      <c r="O840" t="s">
        <v>74</v>
      </c>
      <c r="P840" t="s">
        <v>74</v>
      </c>
      <c r="Q840" t="s">
        <v>74</v>
      </c>
      <c r="R840" t="s">
        <v>74</v>
      </c>
      <c r="S840" t="s">
        <v>74</v>
      </c>
      <c r="T840" t="s">
        <v>16194</v>
      </c>
      <c r="U840" t="s">
        <v>16195</v>
      </c>
      <c r="V840" t="s">
        <v>16196</v>
      </c>
      <c r="W840" t="s">
        <v>16197</v>
      </c>
      <c r="X840" t="s">
        <v>16198</v>
      </c>
      <c r="Y840" t="s">
        <v>16199</v>
      </c>
      <c r="Z840" t="s">
        <v>16200</v>
      </c>
      <c r="AA840" t="s">
        <v>16201</v>
      </c>
      <c r="AB840" t="s">
        <v>16202</v>
      </c>
      <c r="AC840" t="s">
        <v>16203</v>
      </c>
      <c r="AD840" t="s">
        <v>16204</v>
      </c>
      <c r="AE840" t="s">
        <v>16205</v>
      </c>
      <c r="AF840" t="s">
        <v>74</v>
      </c>
      <c r="AG840">
        <v>84</v>
      </c>
      <c r="AH840">
        <v>16</v>
      </c>
      <c r="AI840">
        <v>17</v>
      </c>
      <c r="AJ840">
        <v>0</v>
      </c>
      <c r="AK840">
        <v>11</v>
      </c>
      <c r="AL840" t="s">
        <v>2152</v>
      </c>
      <c r="AM840" t="s">
        <v>2153</v>
      </c>
      <c r="AN840" t="s">
        <v>2154</v>
      </c>
      <c r="AO840" t="s">
        <v>74</v>
      </c>
      <c r="AP840" t="s">
        <v>2992</v>
      </c>
      <c r="AQ840" t="s">
        <v>74</v>
      </c>
      <c r="AR840" t="s">
        <v>2993</v>
      </c>
      <c r="AS840" t="s">
        <v>2994</v>
      </c>
      <c r="AT840" t="s">
        <v>16146</v>
      </c>
      <c r="AU840">
        <v>2018</v>
      </c>
      <c r="AV840">
        <v>6</v>
      </c>
      <c r="AW840" t="s">
        <v>74</v>
      </c>
      <c r="AX840" t="s">
        <v>74</v>
      </c>
      <c r="AY840" t="s">
        <v>74</v>
      </c>
      <c r="AZ840" t="s">
        <v>74</v>
      </c>
      <c r="BA840" t="s">
        <v>74</v>
      </c>
      <c r="BB840" t="s">
        <v>74</v>
      </c>
      <c r="BC840" t="s">
        <v>74</v>
      </c>
      <c r="BD840">
        <v>2</v>
      </c>
      <c r="BE840" t="s">
        <v>16206</v>
      </c>
      <c r="BF840" t="str">
        <f>HYPERLINK("http://dx.doi.org/10.3389/feart.2018.00002","http://dx.doi.org/10.3389/feart.2018.00002")</f>
        <v>http://dx.doi.org/10.3389/feart.2018.00002</v>
      </c>
      <c r="BG840" t="s">
        <v>74</v>
      </c>
      <c r="BH840" t="s">
        <v>74</v>
      </c>
      <c r="BI840">
        <v>18</v>
      </c>
      <c r="BJ840" t="s">
        <v>1243</v>
      </c>
      <c r="BK840" t="s">
        <v>101</v>
      </c>
      <c r="BL840" t="s">
        <v>1181</v>
      </c>
      <c r="BM840" t="s">
        <v>16207</v>
      </c>
      <c r="BN840" t="s">
        <v>74</v>
      </c>
      <c r="BO840" t="s">
        <v>133</v>
      </c>
      <c r="BP840" t="s">
        <v>74</v>
      </c>
      <c r="BQ840" t="s">
        <v>74</v>
      </c>
      <c r="BR840" t="s">
        <v>105</v>
      </c>
      <c r="BS840" t="s">
        <v>16208</v>
      </c>
      <c r="BT840" t="str">
        <f>HYPERLINK("https%3A%2F%2Fwww.webofscience.com%2Fwos%2Fwoscc%2Ffull-record%2FWOS:000429857000001","View Full Record in Web of Science")</f>
        <v>View Full Record in Web of Science</v>
      </c>
    </row>
    <row r="841" spans="1:72" x14ac:dyDescent="0.15">
      <c r="A841" t="s">
        <v>72</v>
      </c>
      <c r="B841" t="s">
        <v>16209</v>
      </c>
      <c r="C841" t="s">
        <v>74</v>
      </c>
      <c r="D841" t="s">
        <v>74</v>
      </c>
      <c r="E841" t="s">
        <v>74</v>
      </c>
      <c r="F841" t="s">
        <v>16210</v>
      </c>
      <c r="G841" t="s">
        <v>74</v>
      </c>
      <c r="H841" t="s">
        <v>74</v>
      </c>
      <c r="I841" t="s">
        <v>16211</v>
      </c>
      <c r="J841" t="s">
        <v>1552</v>
      </c>
      <c r="K841" t="s">
        <v>74</v>
      </c>
      <c r="L841" t="s">
        <v>74</v>
      </c>
      <c r="M841" t="s">
        <v>78</v>
      </c>
      <c r="N841" t="s">
        <v>79</v>
      </c>
      <c r="O841" t="s">
        <v>74</v>
      </c>
      <c r="P841" t="s">
        <v>74</v>
      </c>
      <c r="Q841" t="s">
        <v>74</v>
      </c>
      <c r="R841" t="s">
        <v>74</v>
      </c>
      <c r="S841" t="s">
        <v>74</v>
      </c>
      <c r="T841" t="s">
        <v>74</v>
      </c>
      <c r="U841" t="s">
        <v>16212</v>
      </c>
      <c r="V841" t="s">
        <v>16213</v>
      </c>
      <c r="W841" t="s">
        <v>16214</v>
      </c>
      <c r="X841" t="s">
        <v>16215</v>
      </c>
      <c r="Y841" t="s">
        <v>16216</v>
      </c>
      <c r="Z841" t="s">
        <v>16217</v>
      </c>
      <c r="AA841" t="s">
        <v>16218</v>
      </c>
      <c r="AB841" t="s">
        <v>16219</v>
      </c>
      <c r="AC841" t="s">
        <v>16220</v>
      </c>
      <c r="AD841" t="s">
        <v>16220</v>
      </c>
      <c r="AE841" t="s">
        <v>16221</v>
      </c>
      <c r="AF841" t="s">
        <v>74</v>
      </c>
      <c r="AG841">
        <v>105</v>
      </c>
      <c r="AH841">
        <v>7</v>
      </c>
      <c r="AI841">
        <v>7</v>
      </c>
      <c r="AJ841">
        <v>1</v>
      </c>
      <c r="AK841">
        <v>11</v>
      </c>
      <c r="AL841" t="s">
        <v>1563</v>
      </c>
      <c r="AM841" t="s">
        <v>1564</v>
      </c>
      <c r="AN841" t="s">
        <v>1565</v>
      </c>
      <c r="AO841" t="s">
        <v>1566</v>
      </c>
      <c r="AP841" t="s">
        <v>1567</v>
      </c>
      <c r="AQ841" t="s">
        <v>74</v>
      </c>
      <c r="AR841" t="s">
        <v>1568</v>
      </c>
      <c r="AS841" t="s">
        <v>1569</v>
      </c>
      <c r="AT841" t="s">
        <v>16222</v>
      </c>
      <c r="AU841">
        <v>2018</v>
      </c>
      <c r="AV841">
        <v>18</v>
      </c>
      <c r="AW841">
        <v>3</v>
      </c>
      <c r="AX841" t="s">
        <v>74</v>
      </c>
      <c r="AY841" t="s">
        <v>74</v>
      </c>
      <c r="AZ841" t="s">
        <v>74</v>
      </c>
      <c r="BA841" t="s">
        <v>74</v>
      </c>
      <c r="BB841">
        <v>1945</v>
      </c>
      <c r="BC841">
        <v>1975</v>
      </c>
      <c r="BD841" t="s">
        <v>74</v>
      </c>
      <c r="BE841" t="s">
        <v>16223</v>
      </c>
      <c r="BF841" t="str">
        <f>HYPERLINK("http://dx.doi.org/10.5194/acp-18-1945-2018","http://dx.doi.org/10.5194/acp-18-1945-2018")</f>
        <v>http://dx.doi.org/10.5194/acp-18-1945-2018</v>
      </c>
      <c r="BG841" t="s">
        <v>74</v>
      </c>
      <c r="BH841" t="s">
        <v>74</v>
      </c>
      <c r="BI841">
        <v>31</v>
      </c>
      <c r="BJ841" t="s">
        <v>285</v>
      </c>
      <c r="BK841" t="s">
        <v>101</v>
      </c>
      <c r="BL841" t="s">
        <v>286</v>
      </c>
      <c r="BM841" t="s">
        <v>16224</v>
      </c>
      <c r="BN841" t="s">
        <v>74</v>
      </c>
      <c r="BO841" t="s">
        <v>830</v>
      </c>
      <c r="BP841" t="s">
        <v>74</v>
      </c>
      <c r="BQ841" t="s">
        <v>74</v>
      </c>
      <c r="BR841" t="s">
        <v>105</v>
      </c>
      <c r="BS841" t="s">
        <v>16225</v>
      </c>
      <c r="BT841" t="str">
        <f>HYPERLINK("https%3A%2F%2Fwww.webofscience.com%2Fwos%2Fwoscc%2Ffull-record%2FWOS:000424825400002","View Full Record in Web of Science")</f>
        <v>View Full Record in Web of Science</v>
      </c>
    </row>
    <row r="842" spans="1:72" x14ac:dyDescent="0.15">
      <c r="A842" t="s">
        <v>72</v>
      </c>
      <c r="B842" t="s">
        <v>16226</v>
      </c>
      <c r="C842" t="s">
        <v>74</v>
      </c>
      <c r="D842" t="s">
        <v>74</v>
      </c>
      <c r="E842" t="s">
        <v>74</v>
      </c>
      <c r="F842" t="s">
        <v>16227</v>
      </c>
      <c r="G842" t="s">
        <v>74</v>
      </c>
      <c r="H842" t="s">
        <v>74</v>
      </c>
      <c r="I842" t="s">
        <v>16228</v>
      </c>
      <c r="J842" t="s">
        <v>2955</v>
      </c>
      <c r="K842" t="s">
        <v>74</v>
      </c>
      <c r="L842" t="s">
        <v>74</v>
      </c>
      <c r="M842" t="s">
        <v>78</v>
      </c>
      <c r="N842" t="s">
        <v>79</v>
      </c>
      <c r="O842" t="s">
        <v>74</v>
      </c>
      <c r="P842" t="s">
        <v>74</v>
      </c>
      <c r="Q842" t="s">
        <v>74</v>
      </c>
      <c r="R842" t="s">
        <v>74</v>
      </c>
      <c r="S842" t="s">
        <v>74</v>
      </c>
      <c r="T842" t="s">
        <v>16229</v>
      </c>
      <c r="U842" t="s">
        <v>16230</v>
      </c>
      <c r="V842" t="s">
        <v>16231</v>
      </c>
      <c r="W842" t="s">
        <v>16232</v>
      </c>
      <c r="X842" t="s">
        <v>16233</v>
      </c>
      <c r="Y842" t="s">
        <v>16234</v>
      </c>
      <c r="Z842" t="s">
        <v>16235</v>
      </c>
      <c r="AA842" t="s">
        <v>16236</v>
      </c>
      <c r="AB842" t="s">
        <v>16237</v>
      </c>
      <c r="AC842" t="s">
        <v>16238</v>
      </c>
      <c r="AD842" t="s">
        <v>16239</v>
      </c>
      <c r="AE842" t="s">
        <v>16240</v>
      </c>
      <c r="AF842" t="s">
        <v>74</v>
      </c>
      <c r="AG842">
        <v>90</v>
      </c>
      <c r="AH842">
        <v>37</v>
      </c>
      <c r="AI842">
        <v>40</v>
      </c>
      <c r="AJ842">
        <v>5</v>
      </c>
      <c r="AK842">
        <v>39</v>
      </c>
      <c r="AL842" t="s">
        <v>2968</v>
      </c>
      <c r="AM842" t="s">
        <v>1540</v>
      </c>
      <c r="AN842" t="s">
        <v>2969</v>
      </c>
      <c r="AO842" t="s">
        <v>2970</v>
      </c>
      <c r="AP842" t="s">
        <v>74</v>
      </c>
      <c r="AQ842" t="s">
        <v>74</v>
      </c>
      <c r="AR842" t="s">
        <v>2955</v>
      </c>
      <c r="AS842" t="s">
        <v>2971</v>
      </c>
      <c r="AT842" t="s">
        <v>16222</v>
      </c>
      <c r="AU842">
        <v>2018</v>
      </c>
      <c r="AV842">
        <v>19</v>
      </c>
      <c r="AW842" t="s">
        <v>74</v>
      </c>
      <c r="AX842" t="s">
        <v>74</v>
      </c>
      <c r="AY842" t="s">
        <v>74</v>
      </c>
      <c r="AZ842" t="s">
        <v>74</v>
      </c>
      <c r="BA842" t="s">
        <v>74</v>
      </c>
      <c r="BB842" t="s">
        <v>74</v>
      </c>
      <c r="BC842" t="s">
        <v>74</v>
      </c>
      <c r="BD842">
        <v>133</v>
      </c>
      <c r="BE842" t="s">
        <v>16241</v>
      </c>
      <c r="BF842" t="str">
        <f>HYPERLINK("http://dx.doi.org/10.1186/s12864-018-4517-0","http://dx.doi.org/10.1186/s12864-018-4517-0")</f>
        <v>http://dx.doi.org/10.1186/s12864-018-4517-0</v>
      </c>
      <c r="BG842" t="s">
        <v>74</v>
      </c>
      <c r="BH842" t="s">
        <v>74</v>
      </c>
      <c r="BI842">
        <v>13</v>
      </c>
      <c r="BJ842" t="s">
        <v>2973</v>
      </c>
      <c r="BK842" t="s">
        <v>101</v>
      </c>
      <c r="BL842" t="s">
        <v>2973</v>
      </c>
      <c r="BM842" t="s">
        <v>16242</v>
      </c>
      <c r="BN842">
        <v>29433420</v>
      </c>
      <c r="BO842" t="s">
        <v>781</v>
      </c>
      <c r="BP842" t="s">
        <v>74</v>
      </c>
      <c r="BQ842" t="s">
        <v>74</v>
      </c>
      <c r="BR842" t="s">
        <v>105</v>
      </c>
      <c r="BS842" t="s">
        <v>16243</v>
      </c>
      <c r="BT842" t="str">
        <f>HYPERLINK("https%3A%2F%2Fwww.webofscience.com%2Fwos%2Fwoscc%2Ffull-record%2FWOS:000424781700002","View Full Record in Web of Science")</f>
        <v>View Full Record in Web of Science</v>
      </c>
    </row>
    <row r="843" spans="1:72" x14ac:dyDescent="0.15">
      <c r="A843" t="s">
        <v>72</v>
      </c>
      <c r="B843" t="s">
        <v>16244</v>
      </c>
      <c r="C843" t="s">
        <v>74</v>
      </c>
      <c r="D843" t="s">
        <v>74</v>
      </c>
      <c r="E843" t="s">
        <v>74</v>
      </c>
      <c r="F843" t="s">
        <v>16245</v>
      </c>
      <c r="G843" t="s">
        <v>74</v>
      </c>
      <c r="H843" t="s">
        <v>74</v>
      </c>
      <c r="I843" t="s">
        <v>16246</v>
      </c>
      <c r="J843" t="s">
        <v>1651</v>
      </c>
      <c r="K843" t="s">
        <v>74</v>
      </c>
      <c r="L843" t="s">
        <v>74</v>
      </c>
      <c r="M843" t="s">
        <v>78</v>
      </c>
      <c r="N843" t="s">
        <v>79</v>
      </c>
      <c r="O843" t="s">
        <v>74</v>
      </c>
      <c r="P843" t="s">
        <v>74</v>
      </c>
      <c r="Q843" t="s">
        <v>74</v>
      </c>
      <c r="R843" t="s">
        <v>74</v>
      </c>
      <c r="S843" t="s">
        <v>74</v>
      </c>
      <c r="T843" t="s">
        <v>74</v>
      </c>
      <c r="U843" t="s">
        <v>16247</v>
      </c>
      <c r="V843" t="s">
        <v>16248</v>
      </c>
      <c r="W843" t="s">
        <v>16249</v>
      </c>
      <c r="X843" t="s">
        <v>16250</v>
      </c>
      <c r="Y843" t="s">
        <v>16251</v>
      </c>
      <c r="Z843" t="s">
        <v>16252</v>
      </c>
      <c r="AA843" t="s">
        <v>16253</v>
      </c>
      <c r="AB843" t="s">
        <v>16254</v>
      </c>
      <c r="AC843" t="s">
        <v>16255</v>
      </c>
      <c r="AD843" t="s">
        <v>16256</v>
      </c>
      <c r="AE843" t="s">
        <v>16257</v>
      </c>
      <c r="AF843" t="s">
        <v>74</v>
      </c>
      <c r="AG843">
        <v>72</v>
      </c>
      <c r="AH843">
        <v>106</v>
      </c>
      <c r="AI843">
        <v>114</v>
      </c>
      <c r="AJ843">
        <v>1</v>
      </c>
      <c r="AK843">
        <v>27</v>
      </c>
      <c r="AL843" t="s">
        <v>1663</v>
      </c>
      <c r="AM843" t="s">
        <v>1664</v>
      </c>
      <c r="AN843" t="s">
        <v>1665</v>
      </c>
      <c r="AO843" t="s">
        <v>1666</v>
      </c>
      <c r="AP843" t="s">
        <v>74</v>
      </c>
      <c r="AQ843" t="s">
        <v>74</v>
      </c>
      <c r="AR843" t="s">
        <v>1667</v>
      </c>
      <c r="AS843" t="s">
        <v>1668</v>
      </c>
      <c r="AT843" t="s">
        <v>16222</v>
      </c>
      <c r="AU843">
        <v>2018</v>
      </c>
      <c r="AV843">
        <v>8</v>
      </c>
      <c r="AW843" t="s">
        <v>74</v>
      </c>
      <c r="AX843" t="s">
        <v>74</v>
      </c>
      <c r="AY843" t="s">
        <v>74</v>
      </c>
      <c r="AZ843" t="s">
        <v>74</v>
      </c>
      <c r="BA843" t="s">
        <v>74</v>
      </c>
      <c r="BB843" t="s">
        <v>74</v>
      </c>
      <c r="BC843" t="s">
        <v>74</v>
      </c>
      <c r="BD843">
        <v>2834</v>
      </c>
      <c r="BE843" t="s">
        <v>16258</v>
      </c>
      <c r="BF843" t="str">
        <f>HYPERLINK("http://dx.doi.org/10.1038/s41598-018-21244-w","http://dx.doi.org/10.1038/s41598-018-21244-w")</f>
        <v>http://dx.doi.org/10.1038/s41598-018-21244-w</v>
      </c>
      <c r="BG843" t="s">
        <v>74</v>
      </c>
      <c r="BH843" t="s">
        <v>74</v>
      </c>
      <c r="BI843">
        <v>10</v>
      </c>
      <c r="BJ843" t="s">
        <v>1670</v>
      </c>
      <c r="BK843" t="s">
        <v>101</v>
      </c>
      <c r="BL843" t="s">
        <v>1671</v>
      </c>
      <c r="BM843" t="s">
        <v>16259</v>
      </c>
      <c r="BN843">
        <v>29434329</v>
      </c>
      <c r="BO843" t="s">
        <v>781</v>
      </c>
      <c r="BP843" t="s">
        <v>74</v>
      </c>
      <c r="BQ843" t="s">
        <v>74</v>
      </c>
      <c r="BR843" t="s">
        <v>105</v>
      </c>
      <c r="BS843" t="s">
        <v>16260</v>
      </c>
      <c r="BT843" t="str">
        <f>HYPERLINK("https%3A%2F%2Fwww.webofscience.com%2Fwos%2Fwoscc%2Ffull-record%2FWOS:000424743500050","View Full Record in Web of Science")</f>
        <v>View Full Record in Web of Science</v>
      </c>
    </row>
    <row r="844" spans="1:72" x14ac:dyDescent="0.15">
      <c r="A844" t="s">
        <v>72</v>
      </c>
      <c r="B844" t="s">
        <v>16261</v>
      </c>
      <c r="C844" t="s">
        <v>74</v>
      </c>
      <c r="D844" t="s">
        <v>74</v>
      </c>
      <c r="E844" t="s">
        <v>74</v>
      </c>
      <c r="F844" t="s">
        <v>16262</v>
      </c>
      <c r="G844" t="s">
        <v>74</v>
      </c>
      <c r="H844" t="s">
        <v>74</v>
      </c>
      <c r="I844" t="s">
        <v>16263</v>
      </c>
      <c r="J844" t="s">
        <v>1651</v>
      </c>
      <c r="K844" t="s">
        <v>74</v>
      </c>
      <c r="L844" t="s">
        <v>74</v>
      </c>
      <c r="M844" t="s">
        <v>78</v>
      </c>
      <c r="N844" t="s">
        <v>79</v>
      </c>
      <c r="O844" t="s">
        <v>74</v>
      </c>
      <c r="P844" t="s">
        <v>74</v>
      </c>
      <c r="Q844" t="s">
        <v>74</v>
      </c>
      <c r="R844" t="s">
        <v>74</v>
      </c>
      <c r="S844" t="s">
        <v>74</v>
      </c>
      <c r="T844" t="s">
        <v>74</v>
      </c>
      <c r="U844" t="s">
        <v>16264</v>
      </c>
      <c r="V844" t="s">
        <v>16265</v>
      </c>
      <c r="W844" t="s">
        <v>16266</v>
      </c>
      <c r="X844" t="s">
        <v>16267</v>
      </c>
      <c r="Y844" t="s">
        <v>16268</v>
      </c>
      <c r="Z844" t="s">
        <v>16269</v>
      </c>
      <c r="AA844" t="s">
        <v>16270</v>
      </c>
      <c r="AB844" t="s">
        <v>16271</v>
      </c>
      <c r="AC844" t="s">
        <v>16272</v>
      </c>
      <c r="AD844" t="s">
        <v>16273</v>
      </c>
      <c r="AE844" t="s">
        <v>16274</v>
      </c>
      <c r="AF844" t="s">
        <v>74</v>
      </c>
      <c r="AG844">
        <v>70</v>
      </c>
      <c r="AH844">
        <v>12</v>
      </c>
      <c r="AI844">
        <v>13</v>
      </c>
      <c r="AJ844">
        <v>1</v>
      </c>
      <c r="AK844">
        <v>7</v>
      </c>
      <c r="AL844" t="s">
        <v>1663</v>
      </c>
      <c r="AM844" t="s">
        <v>1664</v>
      </c>
      <c r="AN844" t="s">
        <v>1665</v>
      </c>
      <c r="AO844" t="s">
        <v>1666</v>
      </c>
      <c r="AP844" t="s">
        <v>74</v>
      </c>
      <c r="AQ844" t="s">
        <v>74</v>
      </c>
      <c r="AR844" t="s">
        <v>1667</v>
      </c>
      <c r="AS844" t="s">
        <v>1668</v>
      </c>
      <c r="AT844" t="s">
        <v>16222</v>
      </c>
      <c r="AU844">
        <v>2018</v>
      </c>
      <c r="AV844">
        <v>8</v>
      </c>
      <c r="AW844" t="s">
        <v>74</v>
      </c>
      <c r="AX844" t="s">
        <v>74</v>
      </c>
      <c r="AY844" t="s">
        <v>74</v>
      </c>
      <c r="AZ844" t="s">
        <v>74</v>
      </c>
      <c r="BA844" t="s">
        <v>74</v>
      </c>
      <c r="BB844" t="s">
        <v>74</v>
      </c>
      <c r="BC844" t="s">
        <v>74</v>
      </c>
      <c r="BD844">
        <v>2816</v>
      </c>
      <c r="BE844" t="s">
        <v>16275</v>
      </c>
      <c r="BF844" t="str">
        <f>HYPERLINK("http://dx.doi.org/10.1038/s41598-018-21029-1","http://dx.doi.org/10.1038/s41598-018-21029-1")</f>
        <v>http://dx.doi.org/10.1038/s41598-018-21029-1</v>
      </c>
      <c r="BG844" t="s">
        <v>74</v>
      </c>
      <c r="BH844" t="s">
        <v>74</v>
      </c>
      <c r="BI844">
        <v>16</v>
      </c>
      <c r="BJ844" t="s">
        <v>1670</v>
      </c>
      <c r="BK844" t="s">
        <v>101</v>
      </c>
      <c r="BL844" t="s">
        <v>1671</v>
      </c>
      <c r="BM844" t="s">
        <v>16259</v>
      </c>
      <c r="BN844">
        <v>29434330</v>
      </c>
      <c r="BO844" t="s">
        <v>764</v>
      </c>
      <c r="BP844" t="s">
        <v>74</v>
      </c>
      <c r="BQ844" t="s">
        <v>74</v>
      </c>
      <c r="BR844" t="s">
        <v>105</v>
      </c>
      <c r="BS844" t="s">
        <v>16276</v>
      </c>
      <c r="BT844" t="str">
        <f>HYPERLINK("https%3A%2F%2Fwww.webofscience.com%2Fwos%2Fwoscc%2Ffull-record%2FWOS:000424743500032","View Full Record in Web of Science")</f>
        <v>View Full Record in Web of Science</v>
      </c>
    </row>
    <row r="845" spans="1:72" x14ac:dyDescent="0.15">
      <c r="A845" t="s">
        <v>72</v>
      </c>
      <c r="B845" t="s">
        <v>16277</v>
      </c>
      <c r="C845" t="s">
        <v>74</v>
      </c>
      <c r="D845" t="s">
        <v>74</v>
      </c>
      <c r="E845" t="s">
        <v>74</v>
      </c>
      <c r="F845" t="s">
        <v>16278</v>
      </c>
      <c r="G845" t="s">
        <v>74</v>
      </c>
      <c r="H845" t="s">
        <v>74</v>
      </c>
      <c r="I845" t="s">
        <v>16279</v>
      </c>
      <c r="J845" t="s">
        <v>1651</v>
      </c>
      <c r="K845" t="s">
        <v>74</v>
      </c>
      <c r="L845" t="s">
        <v>74</v>
      </c>
      <c r="M845" t="s">
        <v>78</v>
      </c>
      <c r="N845" t="s">
        <v>79</v>
      </c>
      <c r="O845" t="s">
        <v>74</v>
      </c>
      <c r="P845" t="s">
        <v>74</v>
      </c>
      <c r="Q845" t="s">
        <v>74</v>
      </c>
      <c r="R845" t="s">
        <v>74</v>
      </c>
      <c r="S845" t="s">
        <v>74</v>
      </c>
      <c r="T845" t="s">
        <v>74</v>
      </c>
      <c r="U845" t="s">
        <v>16280</v>
      </c>
      <c r="V845" t="s">
        <v>16281</v>
      </c>
      <c r="W845" t="s">
        <v>16282</v>
      </c>
      <c r="X845" t="s">
        <v>16283</v>
      </c>
      <c r="Y845" t="s">
        <v>16284</v>
      </c>
      <c r="Z845" t="s">
        <v>16285</v>
      </c>
      <c r="AA845" t="s">
        <v>16286</v>
      </c>
      <c r="AB845" t="s">
        <v>16287</v>
      </c>
      <c r="AC845" t="s">
        <v>16288</v>
      </c>
      <c r="AD845" t="s">
        <v>16289</v>
      </c>
      <c r="AE845" t="s">
        <v>16290</v>
      </c>
      <c r="AF845" t="s">
        <v>74</v>
      </c>
      <c r="AG845">
        <v>73</v>
      </c>
      <c r="AH845">
        <v>51</v>
      </c>
      <c r="AI845">
        <v>52</v>
      </c>
      <c r="AJ845">
        <v>0</v>
      </c>
      <c r="AK845">
        <v>30</v>
      </c>
      <c r="AL845" t="s">
        <v>1663</v>
      </c>
      <c r="AM845" t="s">
        <v>1664</v>
      </c>
      <c r="AN845" t="s">
        <v>1665</v>
      </c>
      <c r="AO845" t="s">
        <v>1666</v>
      </c>
      <c r="AP845" t="s">
        <v>74</v>
      </c>
      <c r="AQ845" t="s">
        <v>74</v>
      </c>
      <c r="AR845" t="s">
        <v>1667</v>
      </c>
      <c r="AS845" t="s">
        <v>1668</v>
      </c>
      <c r="AT845" t="s">
        <v>16222</v>
      </c>
      <c r="AU845">
        <v>2018</v>
      </c>
      <c r="AV845">
        <v>8</v>
      </c>
      <c r="AW845" t="s">
        <v>74</v>
      </c>
      <c r="AX845" t="s">
        <v>74</v>
      </c>
      <c r="AY845" t="s">
        <v>74</v>
      </c>
      <c r="AZ845" t="s">
        <v>74</v>
      </c>
      <c r="BA845" t="s">
        <v>74</v>
      </c>
      <c r="BB845" t="s">
        <v>74</v>
      </c>
      <c r="BC845" t="s">
        <v>74</v>
      </c>
      <c r="BD845">
        <v>2865</v>
      </c>
      <c r="BE845" t="s">
        <v>16291</v>
      </c>
      <c r="BF845" t="str">
        <f>HYPERLINK("http://dx.doi.org/10.1038/s41598-018-20122-9","http://dx.doi.org/10.1038/s41598-018-20122-9")</f>
        <v>http://dx.doi.org/10.1038/s41598-018-20122-9</v>
      </c>
      <c r="BG845" t="s">
        <v>74</v>
      </c>
      <c r="BH845" t="s">
        <v>74</v>
      </c>
      <c r="BI845">
        <v>15</v>
      </c>
      <c r="BJ845" t="s">
        <v>1670</v>
      </c>
      <c r="BK845" t="s">
        <v>101</v>
      </c>
      <c r="BL845" t="s">
        <v>1671</v>
      </c>
      <c r="BM845" t="s">
        <v>16259</v>
      </c>
      <c r="BN845">
        <v>29434221</v>
      </c>
      <c r="BO845" t="s">
        <v>16292</v>
      </c>
      <c r="BP845" t="s">
        <v>74</v>
      </c>
      <c r="BQ845" t="s">
        <v>74</v>
      </c>
      <c r="BR845" t="s">
        <v>105</v>
      </c>
      <c r="BS845" t="s">
        <v>16293</v>
      </c>
      <c r="BT845" t="str">
        <f>HYPERLINK("https%3A%2F%2Fwww.webofscience.com%2Fwos%2Fwoscc%2Ffull-record%2FWOS:000424743500081","View Full Record in Web of Science")</f>
        <v>View Full Record in Web of Science</v>
      </c>
    </row>
    <row r="846" spans="1:72" x14ac:dyDescent="0.15">
      <c r="A846" t="s">
        <v>72</v>
      </c>
      <c r="B846" t="s">
        <v>16294</v>
      </c>
      <c r="C846" t="s">
        <v>74</v>
      </c>
      <c r="D846" t="s">
        <v>74</v>
      </c>
      <c r="E846" t="s">
        <v>74</v>
      </c>
      <c r="F846" t="s">
        <v>16295</v>
      </c>
      <c r="G846" t="s">
        <v>74</v>
      </c>
      <c r="H846" t="s">
        <v>74</v>
      </c>
      <c r="I846" t="s">
        <v>16296</v>
      </c>
      <c r="J846" t="s">
        <v>16297</v>
      </c>
      <c r="K846" t="s">
        <v>74</v>
      </c>
      <c r="L846" t="s">
        <v>74</v>
      </c>
      <c r="M846" t="s">
        <v>78</v>
      </c>
      <c r="N846" t="s">
        <v>79</v>
      </c>
      <c r="O846" t="s">
        <v>74</v>
      </c>
      <c r="P846" t="s">
        <v>74</v>
      </c>
      <c r="Q846" t="s">
        <v>74</v>
      </c>
      <c r="R846" t="s">
        <v>74</v>
      </c>
      <c r="S846" t="s">
        <v>74</v>
      </c>
      <c r="T846" t="s">
        <v>16298</v>
      </c>
      <c r="U846" t="s">
        <v>16299</v>
      </c>
      <c r="V846" t="s">
        <v>16300</v>
      </c>
      <c r="W846" t="s">
        <v>16301</v>
      </c>
      <c r="X846" t="s">
        <v>16302</v>
      </c>
      <c r="Y846" t="s">
        <v>16303</v>
      </c>
      <c r="Z846" t="s">
        <v>16304</v>
      </c>
      <c r="AA846" t="s">
        <v>74</v>
      </c>
      <c r="AB846" t="s">
        <v>74</v>
      </c>
      <c r="AC846" t="s">
        <v>16305</v>
      </c>
      <c r="AD846" t="s">
        <v>16306</v>
      </c>
      <c r="AE846" t="s">
        <v>16307</v>
      </c>
      <c r="AF846" t="s">
        <v>74</v>
      </c>
      <c r="AG846">
        <v>52</v>
      </c>
      <c r="AH846">
        <v>37</v>
      </c>
      <c r="AI846">
        <v>39</v>
      </c>
      <c r="AJ846">
        <v>3</v>
      </c>
      <c r="AK846">
        <v>42</v>
      </c>
      <c r="AL846" t="s">
        <v>425</v>
      </c>
      <c r="AM846" t="s">
        <v>278</v>
      </c>
      <c r="AN846" t="s">
        <v>426</v>
      </c>
      <c r="AO846" t="s">
        <v>16308</v>
      </c>
      <c r="AP846" t="s">
        <v>16309</v>
      </c>
      <c r="AQ846" t="s">
        <v>74</v>
      </c>
      <c r="AR846" t="s">
        <v>16310</v>
      </c>
      <c r="AS846" t="s">
        <v>16311</v>
      </c>
      <c r="AT846" t="s">
        <v>16312</v>
      </c>
      <c r="AU846">
        <v>2018</v>
      </c>
      <c r="AV846">
        <v>174</v>
      </c>
      <c r="AW846" t="s">
        <v>74</v>
      </c>
      <c r="AX846" t="s">
        <v>74</v>
      </c>
      <c r="AY846" t="s">
        <v>74</v>
      </c>
      <c r="AZ846" t="s">
        <v>74</v>
      </c>
      <c r="BA846" t="s">
        <v>74</v>
      </c>
      <c r="BB846">
        <v>1215</v>
      </c>
      <c r="BC846">
        <v>1223</v>
      </c>
      <c r="BD846" t="s">
        <v>74</v>
      </c>
      <c r="BE846" t="s">
        <v>16313</v>
      </c>
      <c r="BF846" t="str">
        <f>HYPERLINK("http://dx.doi.org/10.1016/j.jclepro.2017.11.010","http://dx.doi.org/10.1016/j.jclepro.2017.11.010")</f>
        <v>http://dx.doi.org/10.1016/j.jclepro.2017.11.010</v>
      </c>
      <c r="BG846" t="s">
        <v>74</v>
      </c>
      <c r="BH846" t="s">
        <v>74</v>
      </c>
      <c r="BI846">
        <v>9</v>
      </c>
      <c r="BJ846" t="s">
        <v>16314</v>
      </c>
      <c r="BK846" t="s">
        <v>101</v>
      </c>
      <c r="BL846" t="s">
        <v>16315</v>
      </c>
      <c r="BM846" t="s">
        <v>16316</v>
      </c>
      <c r="BN846" t="s">
        <v>74</v>
      </c>
      <c r="BO846" t="s">
        <v>74</v>
      </c>
      <c r="BP846" t="s">
        <v>74</v>
      </c>
      <c r="BQ846" t="s">
        <v>74</v>
      </c>
      <c r="BR846" t="s">
        <v>105</v>
      </c>
      <c r="BS846" t="s">
        <v>16317</v>
      </c>
      <c r="BT846" t="str">
        <f>HYPERLINK("https%3A%2F%2Fwww.webofscience.com%2Fwos%2Fwoscc%2Ffull-record%2FWOS:000424727100109","View Full Record in Web of Science")</f>
        <v>View Full Record in Web of Science</v>
      </c>
    </row>
    <row r="847" spans="1:72" x14ac:dyDescent="0.15">
      <c r="A847" t="s">
        <v>72</v>
      </c>
      <c r="B847" t="s">
        <v>16318</v>
      </c>
      <c r="C847" t="s">
        <v>74</v>
      </c>
      <c r="D847" t="s">
        <v>74</v>
      </c>
      <c r="E847" t="s">
        <v>74</v>
      </c>
      <c r="F847" t="s">
        <v>16319</v>
      </c>
      <c r="G847" t="s">
        <v>74</v>
      </c>
      <c r="H847" t="s">
        <v>74</v>
      </c>
      <c r="I847" t="s">
        <v>16320</v>
      </c>
      <c r="J847" t="s">
        <v>1576</v>
      </c>
      <c r="K847" t="s">
        <v>74</v>
      </c>
      <c r="L847" t="s">
        <v>74</v>
      </c>
      <c r="M847" t="s">
        <v>78</v>
      </c>
      <c r="N847" t="s">
        <v>79</v>
      </c>
      <c r="O847" t="s">
        <v>74</v>
      </c>
      <c r="P847" t="s">
        <v>74</v>
      </c>
      <c r="Q847" t="s">
        <v>74</v>
      </c>
      <c r="R847" t="s">
        <v>74</v>
      </c>
      <c r="S847" t="s">
        <v>74</v>
      </c>
      <c r="T847" t="s">
        <v>74</v>
      </c>
      <c r="U847" t="s">
        <v>16321</v>
      </c>
      <c r="V847" t="s">
        <v>16322</v>
      </c>
      <c r="W847" t="s">
        <v>16323</v>
      </c>
      <c r="X847" t="s">
        <v>16324</v>
      </c>
      <c r="Y847" t="s">
        <v>16325</v>
      </c>
      <c r="Z847" t="s">
        <v>16326</v>
      </c>
      <c r="AA847" t="s">
        <v>16327</v>
      </c>
      <c r="AB847" t="s">
        <v>16328</v>
      </c>
      <c r="AC847" t="s">
        <v>16329</v>
      </c>
      <c r="AD847" t="s">
        <v>16330</v>
      </c>
      <c r="AE847" t="s">
        <v>16331</v>
      </c>
      <c r="AF847" t="s">
        <v>74</v>
      </c>
      <c r="AG847">
        <v>36</v>
      </c>
      <c r="AH847">
        <v>23</v>
      </c>
      <c r="AI847">
        <v>26</v>
      </c>
      <c r="AJ847">
        <v>1</v>
      </c>
      <c r="AK847">
        <v>13</v>
      </c>
      <c r="AL847" t="s">
        <v>1563</v>
      </c>
      <c r="AM847" t="s">
        <v>1564</v>
      </c>
      <c r="AN847" t="s">
        <v>1565</v>
      </c>
      <c r="AO847" t="s">
        <v>1588</v>
      </c>
      <c r="AP847" t="s">
        <v>1589</v>
      </c>
      <c r="AQ847" t="s">
        <v>74</v>
      </c>
      <c r="AR847" t="s">
        <v>1576</v>
      </c>
      <c r="AS847" t="s">
        <v>1590</v>
      </c>
      <c r="AT847" t="s">
        <v>16332</v>
      </c>
      <c r="AU847">
        <v>2018</v>
      </c>
      <c r="AV847">
        <v>12</v>
      </c>
      <c r="AW847">
        <v>2</v>
      </c>
      <c r="AX847" t="s">
        <v>74</v>
      </c>
      <c r="AY847" t="s">
        <v>74</v>
      </c>
      <c r="AZ847" t="s">
        <v>74</v>
      </c>
      <c r="BA847" t="s">
        <v>74</v>
      </c>
      <c r="BB847">
        <v>505</v>
      </c>
      <c r="BC847">
        <v>520</v>
      </c>
      <c r="BD847" t="s">
        <v>74</v>
      </c>
      <c r="BE847" t="s">
        <v>16333</v>
      </c>
      <c r="BF847" t="str">
        <f>HYPERLINK("http://dx.doi.org/10.5194/tc-12-505-2018","http://dx.doi.org/10.5194/tc-12-505-2018")</f>
        <v>http://dx.doi.org/10.5194/tc-12-505-2018</v>
      </c>
      <c r="BG847" t="s">
        <v>74</v>
      </c>
      <c r="BH847" t="s">
        <v>74</v>
      </c>
      <c r="BI847">
        <v>16</v>
      </c>
      <c r="BJ847" t="s">
        <v>338</v>
      </c>
      <c r="BK847" t="s">
        <v>101</v>
      </c>
      <c r="BL847" t="s">
        <v>339</v>
      </c>
      <c r="BM847" t="s">
        <v>16334</v>
      </c>
      <c r="BN847" t="s">
        <v>74</v>
      </c>
      <c r="BO847" t="s">
        <v>3123</v>
      </c>
      <c r="BP847" t="s">
        <v>74</v>
      </c>
      <c r="BQ847" t="s">
        <v>74</v>
      </c>
      <c r="BR847" t="s">
        <v>105</v>
      </c>
      <c r="BS847" t="s">
        <v>16335</v>
      </c>
      <c r="BT847" t="str">
        <f>HYPERLINK("https%3A%2F%2Fwww.webofscience.com%2Fwos%2Fwoscc%2Ffull-record%2FWOS:000424793400001","View Full Record in Web of Science")</f>
        <v>View Full Record in Web of Science</v>
      </c>
    </row>
    <row r="848" spans="1:72" x14ac:dyDescent="0.15">
      <c r="A848" t="s">
        <v>72</v>
      </c>
      <c r="B848" t="s">
        <v>16336</v>
      </c>
      <c r="C848" t="s">
        <v>74</v>
      </c>
      <c r="D848" t="s">
        <v>74</v>
      </c>
      <c r="E848" t="s">
        <v>74</v>
      </c>
      <c r="F848" t="s">
        <v>16337</v>
      </c>
      <c r="G848" t="s">
        <v>74</v>
      </c>
      <c r="H848" t="s">
        <v>74</v>
      </c>
      <c r="I848" t="s">
        <v>16338</v>
      </c>
      <c r="J848" t="s">
        <v>1576</v>
      </c>
      <c r="K848" t="s">
        <v>74</v>
      </c>
      <c r="L848" t="s">
        <v>74</v>
      </c>
      <c r="M848" t="s">
        <v>78</v>
      </c>
      <c r="N848" t="s">
        <v>79</v>
      </c>
      <c r="O848" t="s">
        <v>74</v>
      </c>
      <c r="P848" t="s">
        <v>74</v>
      </c>
      <c r="Q848" t="s">
        <v>74</v>
      </c>
      <c r="R848" t="s">
        <v>74</v>
      </c>
      <c r="S848" t="s">
        <v>74</v>
      </c>
      <c r="T848" t="s">
        <v>74</v>
      </c>
      <c r="U848" t="s">
        <v>16339</v>
      </c>
      <c r="V848" t="s">
        <v>16340</v>
      </c>
      <c r="W848" t="s">
        <v>16341</v>
      </c>
      <c r="X848" t="s">
        <v>16342</v>
      </c>
      <c r="Y848" t="s">
        <v>16343</v>
      </c>
      <c r="Z848" t="s">
        <v>16344</v>
      </c>
      <c r="AA848" t="s">
        <v>16345</v>
      </c>
      <c r="AB848" t="s">
        <v>16346</v>
      </c>
      <c r="AC848" t="s">
        <v>16347</v>
      </c>
      <c r="AD848" t="s">
        <v>16348</v>
      </c>
      <c r="AE848" t="s">
        <v>16349</v>
      </c>
      <c r="AF848" t="s">
        <v>74</v>
      </c>
      <c r="AG848">
        <v>59</v>
      </c>
      <c r="AH848">
        <v>20</v>
      </c>
      <c r="AI848">
        <v>23</v>
      </c>
      <c r="AJ848">
        <v>0</v>
      </c>
      <c r="AK848">
        <v>13</v>
      </c>
      <c r="AL848" t="s">
        <v>1563</v>
      </c>
      <c r="AM848" t="s">
        <v>1564</v>
      </c>
      <c r="AN848" t="s">
        <v>1565</v>
      </c>
      <c r="AO848" t="s">
        <v>1588</v>
      </c>
      <c r="AP848" t="s">
        <v>1589</v>
      </c>
      <c r="AQ848" t="s">
        <v>74</v>
      </c>
      <c r="AR848" t="s">
        <v>1576</v>
      </c>
      <c r="AS848" t="s">
        <v>1590</v>
      </c>
      <c r="AT848" t="s">
        <v>16350</v>
      </c>
      <c r="AU848">
        <v>2018</v>
      </c>
      <c r="AV848">
        <v>12</v>
      </c>
      <c r="AW848">
        <v>2</v>
      </c>
      <c r="AX848" t="s">
        <v>74</v>
      </c>
      <c r="AY848" t="s">
        <v>74</v>
      </c>
      <c r="AZ848" t="s">
        <v>74</v>
      </c>
      <c r="BA848" t="s">
        <v>74</v>
      </c>
      <c r="BB848">
        <v>491</v>
      </c>
      <c r="BC848">
        <v>504</v>
      </c>
      <c r="BD848" t="s">
        <v>74</v>
      </c>
      <c r="BE848" t="s">
        <v>16351</v>
      </c>
      <c r="BF848" t="str">
        <f>HYPERLINK("http://dx.doi.org/10.5194/tc-12-491-2018","http://dx.doi.org/10.5194/tc-12-491-2018")</f>
        <v>http://dx.doi.org/10.5194/tc-12-491-2018</v>
      </c>
      <c r="BG848" t="s">
        <v>74</v>
      </c>
      <c r="BH848" t="s">
        <v>74</v>
      </c>
      <c r="BI848">
        <v>14</v>
      </c>
      <c r="BJ848" t="s">
        <v>338</v>
      </c>
      <c r="BK848" t="s">
        <v>101</v>
      </c>
      <c r="BL848" t="s">
        <v>339</v>
      </c>
      <c r="BM848" t="s">
        <v>16352</v>
      </c>
      <c r="BN848" t="s">
        <v>74</v>
      </c>
      <c r="BO848" t="s">
        <v>830</v>
      </c>
      <c r="BP848" t="s">
        <v>74</v>
      </c>
      <c r="BQ848" t="s">
        <v>74</v>
      </c>
      <c r="BR848" t="s">
        <v>105</v>
      </c>
      <c r="BS848" t="s">
        <v>16353</v>
      </c>
      <c r="BT848" t="str">
        <f>HYPERLINK("https%3A%2F%2Fwww.webofscience.com%2Fwos%2Fwoscc%2Ffull-record%2FWOS:000424638100001","View Full Record in Web of Science")</f>
        <v>View Full Record in Web of Science</v>
      </c>
    </row>
    <row r="849" spans="1:72" x14ac:dyDescent="0.15">
      <c r="A849" t="s">
        <v>72</v>
      </c>
      <c r="B849" t="s">
        <v>16354</v>
      </c>
      <c r="C849" t="s">
        <v>74</v>
      </c>
      <c r="D849" t="s">
        <v>74</v>
      </c>
      <c r="E849" t="s">
        <v>74</v>
      </c>
      <c r="F849" t="s">
        <v>16355</v>
      </c>
      <c r="G849" t="s">
        <v>74</v>
      </c>
      <c r="H849" t="s">
        <v>74</v>
      </c>
      <c r="I849" t="s">
        <v>16356</v>
      </c>
      <c r="J849" t="s">
        <v>1807</v>
      </c>
      <c r="K849" t="s">
        <v>74</v>
      </c>
      <c r="L849" t="s">
        <v>74</v>
      </c>
      <c r="M849" t="s">
        <v>78</v>
      </c>
      <c r="N849" t="s">
        <v>79</v>
      </c>
      <c r="O849" t="s">
        <v>74</v>
      </c>
      <c r="P849" t="s">
        <v>74</v>
      </c>
      <c r="Q849" t="s">
        <v>74</v>
      </c>
      <c r="R849" t="s">
        <v>74</v>
      </c>
      <c r="S849" t="s">
        <v>74</v>
      </c>
      <c r="T849" t="s">
        <v>16357</v>
      </c>
      <c r="U849" t="s">
        <v>16358</v>
      </c>
      <c r="V849" t="s">
        <v>16359</v>
      </c>
      <c r="W849" t="s">
        <v>16360</v>
      </c>
      <c r="X849" t="s">
        <v>16361</v>
      </c>
      <c r="Y849" t="s">
        <v>16362</v>
      </c>
      <c r="Z849" t="s">
        <v>16363</v>
      </c>
      <c r="AA849" t="s">
        <v>74</v>
      </c>
      <c r="AB849" t="s">
        <v>74</v>
      </c>
      <c r="AC849" t="s">
        <v>16364</v>
      </c>
      <c r="AD849" t="s">
        <v>16365</v>
      </c>
      <c r="AE849" t="s">
        <v>16366</v>
      </c>
      <c r="AF849" t="s">
        <v>74</v>
      </c>
      <c r="AG849">
        <v>92</v>
      </c>
      <c r="AH849">
        <v>3</v>
      </c>
      <c r="AI849">
        <v>4</v>
      </c>
      <c r="AJ849">
        <v>1</v>
      </c>
      <c r="AK849">
        <v>35</v>
      </c>
      <c r="AL849" t="s">
        <v>1820</v>
      </c>
      <c r="AM849" t="s">
        <v>1821</v>
      </c>
      <c r="AN849" t="s">
        <v>1822</v>
      </c>
      <c r="AO849" t="s">
        <v>1823</v>
      </c>
      <c r="AP849" t="s">
        <v>1824</v>
      </c>
      <c r="AQ849" t="s">
        <v>74</v>
      </c>
      <c r="AR849" t="s">
        <v>1825</v>
      </c>
      <c r="AS849" t="s">
        <v>1826</v>
      </c>
      <c r="AT849" t="s">
        <v>16350</v>
      </c>
      <c r="AU849">
        <v>2018</v>
      </c>
      <c r="AV849">
        <v>588</v>
      </c>
      <c r="AW849" t="s">
        <v>74</v>
      </c>
      <c r="AX849" t="s">
        <v>74</v>
      </c>
      <c r="AY849" t="s">
        <v>74</v>
      </c>
      <c r="AZ849" t="s">
        <v>74</v>
      </c>
      <c r="BA849" t="s">
        <v>74</v>
      </c>
      <c r="BB849">
        <v>59</v>
      </c>
      <c r="BC849">
        <v>70</v>
      </c>
      <c r="BD849" t="s">
        <v>74</v>
      </c>
      <c r="BE849" t="s">
        <v>16367</v>
      </c>
      <c r="BF849" t="str">
        <f>HYPERLINK("http://dx.doi.org/10.3354/meps12460","http://dx.doi.org/10.3354/meps12460")</f>
        <v>http://dx.doi.org/10.3354/meps12460</v>
      </c>
      <c r="BG849" t="s">
        <v>74</v>
      </c>
      <c r="BH849" t="s">
        <v>74</v>
      </c>
      <c r="BI849">
        <v>12</v>
      </c>
      <c r="BJ849" t="s">
        <v>1828</v>
      </c>
      <c r="BK849" t="s">
        <v>101</v>
      </c>
      <c r="BL849" t="s">
        <v>1829</v>
      </c>
      <c r="BM849" t="s">
        <v>16368</v>
      </c>
      <c r="BN849" t="s">
        <v>74</v>
      </c>
      <c r="BO849" t="s">
        <v>74</v>
      </c>
      <c r="BP849" t="s">
        <v>74</v>
      </c>
      <c r="BQ849" t="s">
        <v>74</v>
      </c>
      <c r="BR849" t="s">
        <v>105</v>
      </c>
      <c r="BS849" t="s">
        <v>16369</v>
      </c>
      <c r="BT849" t="str">
        <f>HYPERLINK("https%3A%2F%2Fwww.webofscience.com%2Fwos%2Fwoscc%2Ffull-record%2FWOS:000426258100005","View Full Record in Web of Science")</f>
        <v>View Full Record in Web of Science</v>
      </c>
    </row>
    <row r="850" spans="1:72" x14ac:dyDescent="0.15">
      <c r="A850" t="s">
        <v>72</v>
      </c>
      <c r="B850" t="s">
        <v>16370</v>
      </c>
      <c r="C850" t="s">
        <v>74</v>
      </c>
      <c r="D850" t="s">
        <v>74</v>
      </c>
      <c r="E850" t="s">
        <v>74</v>
      </c>
      <c r="F850" t="s">
        <v>16371</v>
      </c>
      <c r="G850" t="s">
        <v>74</v>
      </c>
      <c r="H850" t="s">
        <v>74</v>
      </c>
      <c r="I850" t="s">
        <v>16372</v>
      </c>
      <c r="J850" t="s">
        <v>1651</v>
      </c>
      <c r="K850" t="s">
        <v>74</v>
      </c>
      <c r="L850" t="s">
        <v>74</v>
      </c>
      <c r="M850" t="s">
        <v>78</v>
      </c>
      <c r="N850" t="s">
        <v>79</v>
      </c>
      <c r="O850" t="s">
        <v>74</v>
      </c>
      <c r="P850" t="s">
        <v>74</v>
      </c>
      <c r="Q850" t="s">
        <v>74</v>
      </c>
      <c r="R850" t="s">
        <v>74</v>
      </c>
      <c r="S850" t="s">
        <v>74</v>
      </c>
      <c r="T850" t="s">
        <v>74</v>
      </c>
      <c r="U850" t="s">
        <v>16373</v>
      </c>
      <c r="V850" t="s">
        <v>16374</v>
      </c>
      <c r="W850" t="s">
        <v>16375</v>
      </c>
      <c r="X850" t="s">
        <v>16376</v>
      </c>
      <c r="Y850" t="s">
        <v>16377</v>
      </c>
      <c r="Z850" t="s">
        <v>16378</v>
      </c>
      <c r="AA850" t="s">
        <v>16379</v>
      </c>
      <c r="AB850" t="s">
        <v>16380</v>
      </c>
      <c r="AC850" t="s">
        <v>16381</v>
      </c>
      <c r="AD850" t="s">
        <v>16382</v>
      </c>
      <c r="AE850" t="s">
        <v>16383</v>
      </c>
      <c r="AF850" t="s">
        <v>74</v>
      </c>
      <c r="AG850">
        <v>42</v>
      </c>
      <c r="AH850">
        <v>85</v>
      </c>
      <c r="AI850">
        <v>91</v>
      </c>
      <c r="AJ850">
        <v>0</v>
      </c>
      <c r="AK850">
        <v>29</v>
      </c>
      <c r="AL850" t="s">
        <v>1663</v>
      </c>
      <c r="AM850" t="s">
        <v>1664</v>
      </c>
      <c r="AN850" t="s">
        <v>1665</v>
      </c>
      <c r="AO850" t="s">
        <v>1666</v>
      </c>
      <c r="AP850" t="s">
        <v>74</v>
      </c>
      <c r="AQ850" t="s">
        <v>74</v>
      </c>
      <c r="AR850" t="s">
        <v>1667</v>
      </c>
      <c r="AS850" t="s">
        <v>1668</v>
      </c>
      <c r="AT850" t="s">
        <v>16350</v>
      </c>
      <c r="AU850">
        <v>2018</v>
      </c>
      <c r="AV850">
        <v>8</v>
      </c>
      <c r="AW850" t="s">
        <v>74</v>
      </c>
      <c r="AX850" t="s">
        <v>74</v>
      </c>
      <c r="AY850" t="s">
        <v>74</v>
      </c>
      <c r="AZ850" t="s">
        <v>74</v>
      </c>
      <c r="BA850" t="s">
        <v>74</v>
      </c>
      <c r="BB850" t="s">
        <v>74</v>
      </c>
      <c r="BC850" t="s">
        <v>74</v>
      </c>
      <c r="BD850">
        <v>2661</v>
      </c>
      <c r="BE850" t="s">
        <v>16384</v>
      </c>
      <c r="BF850" t="str">
        <f>HYPERLINK("http://dx.doi.org/10.1038/s41598-018-20593-w","http://dx.doi.org/10.1038/s41598-018-20593-w")</f>
        <v>http://dx.doi.org/10.1038/s41598-018-20593-w</v>
      </c>
      <c r="BG850" t="s">
        <v>74</v>
      </c>
      <c r="BH850" t="s">
        <v>74</v>
      </c>
      <c r="BI850">
        <v>9</v>
      </c>
      <c r="BJ850" t="s">
        <v>1670</v>
      </c>
      <c r="BK850" t="s">
        <v>101</v>
      </c>
      <c r="BL850" t="s">
        <v>1671</v>
      </c>
      <c r="BM850" t="s">
        <v>16385</v>
      </c>
      <c r="BN850">
        <v>29422513</v>
      </c>
      <c r="BO850" t="s">
        <v>2998</v>
      </c>
      <c r="BP850" t="s">
        <v>74</v>
      </c>
      <c r="BQ850" t="s">
        <v>74</v>
      </c>
      <c r="BR850" t="s">
        <v>105</v>
      </c>
      <c r="BS850" t="s">
        <v>16386</v>
      </c>
      <c r="BT850" t="str">
        <f>HYPERLINK("https%3A%2F%2Fwww.webofscience.com%2Fwos%2Fwoscc%2Ffull-record%2FWOS:000424449100039","View Full Record in Web of Science")</f>
        <v>View Full Record in Web of Science</v>
      </c>
    </row>
    <row r="851" spans="1:72" x14ac:dyDescent="0.15">
      <c r="A851" t="s">
        <v>72</v>
      </c>
      <c r="B851" t="s">
        <v>16387</v>
      </c>
      <c r="C851" t="s">
        <v>74</v>
      </c>
      <c r="D851" t="s">
        <v>74</v>
      </c>
      <c r="E851" t="s">
        <v>74</v>
      </c>
      <c r="F851" t="s">
        <v>16388</v>
      </c>
      <c r="G851" t="s">
        <v>74</v>
      </c>
      <c r="H851" t="s">
        <v>74</v>
      </c>
      <c r="I851" t="s">
        <v>16389</v>
      </c>
      <c r="J851" t="s">
        <v>2298</v>
      </c>
      <c r="K851" t="s">
        <v>74</v>
      </c>
      <c r="L851" t="s">
        <v>74</v>
      </c>
      <c r="M851" t="s">
        <v>78</v>
      </c>
      <c r="N851" t="s">
        <v>79</v>
      </c>
      <c r="O851" t="s">
        <v>74</v>
      </c>
      <c r="P851" t="s">
        <v>74</v>
      </c>
      <c r="Q851" t="s">
        <v>74</v>
      </c>
      <c r="R851" t="s">
        <v>74</v>
      </c>
      <c r="S851" t="s">
        <v>74</v>
      </c>
      <c r="T851" t="s">
        <v>74</v>
      </c>
      <c r="U851" t="s">
        <v>16390</v>
      </c>
      <c r="V851" t="s">
        <v>16391</v>
      </c>
      <c r="W851" t="s">
        <v>16392</v>
      </c>
      <c r="X851" t="s">
        <v>16393</v>
      </c>
      <c r="Y851" t="s">
        <v>16394</v>
      </c>
      <c r="Z851" t="s">
        <v>16395</v>
      </c>
      <c r="AA851" t="s">
        <v>16396</v>
      </c>
      <c r="AB851" t="s">
        <v>16397</v>
      </c>
      <c r="AC851" t="s">
        <v>16398</v>
      </c>
      <c r="AD851" t="s">
        <v>16399</v>
      </c>
      <c r="AE851" t="s">
        <v>16400</v>
      </c>
      <c r="AF851" t="s">
        <v>74</v>
      </c>
      <c r="AG851">
        <v>67</v>
      </c>
      <c r="AH851">
        <v>15</v>
      </c>
      <c r="AI851">
        <v>15</v>
      </c>
      <c r="AJ851">
        <v>4</v>
      </c>
      <c r="AK851">
        <v>17</v>
      </c>
      <c r="AL851" t="s">
        <v>2310</v>
      </c>
      <c r="AM851" t="s">
        <v>2311</v>
      </c>
      <c r="AN851" t="s">
        <v>2312</v>
      </c>
      <c r="AO851" t="s">
        <v>2313</v>
      </c>
      <c r="AP851" t="s">
        <v>74</v>
      </c>
      <c r="AQ851" t="s">
        <v>74</v>
      </c>
      <c r="AR851" t="s">
        <v>2298</v>
      </c>
      <c r="AS851" t="s">
        <v>2314</v>
      </c>
      <c r="AT851" t="s">
        <v>16350</v>
      </c>
      <c r="AU851">
        <v>2018</v>
      </c>
      <c r="AV851">
        <v>13</v>
      </c>
      <c r="AW851">
        <v>2</v>
      </c>
      <c r="AX851" t="s">
        <v>74</v>
      </c>
      <c r="AY851" t="s">
        <v>74</v>
      </c>
      <c r="AZ851" t="s">
        <v>74</v>
      </c>
      <c r="BA851" t="s">
        <v>74</v>
      </c>
      <c r="BB851" t="s">
        <v>74</v>
      </c>
      <c r="BC851" t="s">
        <v>74</v>
      </c>
      <c r="BD851" t="s">
        <v>16401</v>
      </c>
      <c r="BE851" t="s">
        <v>16402</v>
      </c>
      <c r="BF851" t="str">
        <f>HYPERLINK("http://dx.doi.org/10.1371/journal.pone.0192267","http://dx.doi.org/10.1371/journal.pone.0192267")</f>
        <v>http://dx.doi.org/10.1371/journal.pone.0192267</v>
      </c>
      <c r="BG851" t="s">
        <v>74</v>
      </c>
      <c r="BH851" t="s">
        <v>74</v>
      </c>
      <c r="BI851">
        <v>24</v>
      </c>
      <c r="BJ851" t="s">
        <v>1670</v>
      </c>
      <c r="BK851" t="s">
        <v>101</v>
      </c>
      <c r="BL851" t="s">
        <v>1671</v>
      </c>
      <c r="BM851" t="s">
        <v>16403</v>
      </c>
      <c r="BN851">
        <v>29420669</v>
      </c>
      <c r="BO851" t="s">
        <v>636</v>
      </c>
      <c r="BP851" t="s">
        <v>74</v>
      </c>
      <c r="BQ851" t="s">
        <v>74</v>
      </c>
      <c r="BR851" t="s">
        <v>105</v>
      </c>
      <c r="BS851" t="s">
        <v>16404</v>
      </c>
      <c r="BT851" t="str">
        <f>HYPERLINK("https%3A%2F%2Fwww.webofscience.com%2Fwos%2Fwoscc%2Ffull-record%2FWOS:000424517900059","View Full Record in Web of Science")</f>
        <v>View Full Record in Web of Science</v>
      </c>
    </row>
    <row r="852" spans="1:72" x14ac:dyDescent="0.15">
      <c r="A852" t="s">
        <v>72</v>
      </c>
      <c r="B852" t="s">
        <v>16405</v>
      </c>
      <c r="C852" t="s">
        <v>74</v>
      </c>
      <c r="D852" t="s">
        <v>74</v>
      </c>
      <c r="E852" t="s">
        <v>74</v>
      </c>
      <c r="F852" t="s">
        <v>16406</v>
      </c>
      <c r="G852" t="s">
        <v>74</v>
      </c>
      <c r="H852" t="s">
        <v>74</v>
      </c>
      <c r="I852" t="s">
        <v>16407</v>
      </c>
      <c r="J852" t="s">
        <v>16408</v>
      </c>
      <c r="K852" t="s">
        <v>74</v>
      </c>
      <c r="L852" t="s">
        <v>74</v>
      </c>
      <c r="M852" t="s">
        <v>78</v>
      </c>
      <c r="N852" t="s">
        <v>79</v>
      </c>
      <c r="O852" t="s">
        <v>74</v>
      </c>
      <c r="P852" t="s">
        <v>74</v>
      </c>
      <c r="Q852" t="s">
        <v>74</v>
      </c>
      <c r="R852" t="s">
        <v>74</v>
      </c>
      <c r="S852" t="s">
        <v>74</v>
      </c>
      <c r="T852" t="s">
        <v>74</v>
      </c>
      <c r="U852" t="s">
        <v>16409</v>
      </c>
      <c r="V852" t="s">
        <v>16410</v>
      </c>
      <c r="W852" t="s">
        <v>16411</v>
      </c>
      <c r="X852" t="s">
        <v>16412</v>
      </c>
      <c r="Y852" t="s">
        <v>16413</v>
      </c>
      <c r="Z852" t="s">
        <v>16414</v>
      </c>
      <c r="AA852" t="s">
        <v>74</v>
      </c>
      <c r="AB852" t="s">
        <v>16415</v>
      </c>
      <c r="AC852" t="s">
        <v>16416</v>
      </c>
      <c r="AD852" t="s">
        <v>16417</v>
      </c>
      <c r="AE852" t="s">
        <v>16418</v>
      </c>
      <c r="AF852" t="s">
        <v>74</v>
      </c>
      <c r="AG852">
        <v>35</v>
      </c>
      <c r="AH852">
        <v>14</v>
      </c>
      <c r="AI852">
        <v>16</v>
      </c>
      <c r="AJ852">
        <v>1</v>
      </c>
      <c r="AK852">
        <v>9</v>
      </c>
      <c r="AL852" t="s">
        <v>1563</v>
      </c>
      <c r="AM852" t="s">
        <v>1564</v>
      </c>
      <c r="AN852" t="s">
        <v>1565</v>
      </c>
      <c r="AO852" t="s">
        <v>16419</v>
      </c>
      <c r="AP852" t="s">
        <v>74</v>
      </c>
      <c r="AQ852" t="s">
        <v>74</v>
      </c>
      <c r="AR852" t="s">
        <v>16420</v>
      </c>
      <c r="AS852" t="s">
        <v>16421</v>
      </c>
      <c r="AT852" t="s">
        <v>16350</v>
      </c>
      <c r="AU852">
        <v>2018</v>
      </c>
      <c r="AV852">
        <v>14</v>
      </c>
      <c r="AW852">
        <v>1</v>
      </c>
      <c r="AX852" t="s">
        <v>74</v>
      </c>
      <c r="AY852" t="s">
        <v>74</v>
      </c>
      <c r="AZ852" t="s">
        <v>74</v>
      </c>
      <c r="BA852" t="s">
        <v>74</v>
      </c>
      <c r="BB852">
        <v>105</v>
      </c>
      <c r="BC852">
        <v>116</v>
      </c>
      <c r="BD852" t="s">
        <v>74</v>
      </c>
      <c r="BE852" t="s">
        <v>16422</v>
      </c>
      <c r="BF852" t="str">
        <f>HYPERLINK("http://dx.doi.org/10.5194/os-14-105-2018","http://dx.doi.org/10.5194/os-14-105-2018")</f>
        <v>http://dx.doi.org/10.5194/os-14-105-2018</v>
      </c>
      <c r="BG852" t="s">
        <v>74</v>
      </c>
      <c r="BH852" t="s">
        <v>74</v>
      </c>
      <c r="BI852">
        <v>12</v>
      </c>
      <c r="BJ852" t="s">
        <v>3871</v>
      </c>
      <c r="BK852" t="s">
        <v>101</v>
      </c>
      <c r="BL852" t="s">
        <v>3871</v>
      </c>
      <c r="BM852" t="s">
        <v>16423</v>
      </c>
      <c r="BN852" t="s">
        <v>74</v>
      </c>
      <c r="BO852" t="s">
        <v>830</v>
      </c>
      <c r="BP852" t="s">
        <v>74</v>
      </c>
      <c r="BQ852" t="s">
        <v>74</v>
      </c>
      <c r="BR852" t="s">
        <v>105</v>
      </c>
      <c r="BS852" t="s">
        <v>16424</v>
      </c>
      <c r="BT852" t="str">
        <f>HYPERLINK("https%3A%2F%2Fwww.webofscience.com%2Fwos%2Fwoscc%2Ffull-record%2FWOS:000424637600001","View Full Record in Web of Science")</f>
        <v>View Full Record in Web of Science</v>
      </c>
    </row>
    <row r="853" spans="1:72" x14ac:dyDescent="0.15">
      <c r="A853" t="s">
        <v>72</v>
      </c>
      <c r="B853" t="s">
        <v>16425</v>
      </c>
      <c r="C853" t="s">
        <v>74</v>
      </c>
      <c r="D853" t="s">
        <v>74</v>
      </c>
      <c r="E853" t="s">
        <v>74</v>
      </c>
      <c r="F853" t="s">
        <v>16426</v>
      </c>
      <c r="G853" t="s">
        <v>74</v>
      </c>
      <c r="H853" t="s">
        <v>74</v>
      </c>
      <c r="I853" t="s">
        <v>16427</v>
      </c>
      <c r="J853" t="s">
        <v>2298</v>
      </c>
      <c r="K853" t="s">
        <v>74</v>
      </c>
      <c r="L853" t="s">
        <v>74</v>
      </c>
      <c r="M853" t="s">
        <v>78</v>
      </c>
      <c r="N853" t="s">
        <v>79</v>
      </c>
      <c r="O853" t="s">
        <v>74</v>
      </c>
      <c r="P853" t="s">
        <v>74</v>
      </c>
      <c r="Q853" t="s">
        <v>74</v>
      </c>
      <c r="R853" t="s">
        <v>74</v>
      </c>
      <c r="S853" t="s">
        <v>74</v>
      </c>
      <c r="T853" t="s">
        <v>74</v>
      </c>
      <c r="U853" t="s">
        <v>16428</v>
      </c>
      <c r="V853" t="s">
        <v>16429</v>
      </c>
      <c r="W853" t="s">
        <v>16430</v>
      </c>
      <c r="X853" t="s">
        <v>16431</v>
      </c>
      <c r="Y853" t="s">
        <v>16432</v>
      </c>
      <c r="Z853" t="s">
        <v>16433</v>
      </c>
      <c r="AA853" t="s">
        <v>74</v>
      </c>
      <c r="AB853" t="s">
        <v>16434</v>
      </c>
      <c r="AC853" t="s">
        <v>16435</v>
      </c>
      <c r="AD853" t="s">
        <v>16436</v>
      </c>
      <c r="AE853" t="s">
        <v>16437</v>
      </c>
      <c r="AF853" t="s">
        <v>74</v>
      </c>
      <c r="AG853">
        <v>54</v>
      </c>
      <c r="AH853">
        <v>19</v>
      </c>
      <c r="AI853">
        <v>20</v>
      </c>
      <c r="AJ853">
        <v>3</v>
      </c>
      <c r="AK853">
        <v>7</v>
      </c>
      <c r="AL853" t="s">
        <v>2310</v>
      </c>
      <c r="AM853" t="s">
        <v>2311</v>
      </c>
      <c r="AN853" t="s">
        <v>2312</v>
      </c>
      <c r="AO853" t="s">
        <v>2313</v>
      </c>
      <c r="AP853" t="s">
        <v>74</v>
      </c>
      <c r="AQ853" t="s">
        <v>74</v>
      </c>
      <c r="AR853" t="s">
        <v>2298</v>
      </c>
      <c r="AS853" t="s">
        <v>2314</v>
      </c>
      <c r="AT853" t="s">
        <v>16438</v>
      </c>
      <c r="AU853">
        <v>2018</v>
      </c>
      <c r="AV853">
        <v>13</v>
      </c>
      <c r="AW853">
        <v>2</v>
      </c>
      <c r="AX853" t="s">
        <v>74</v>
      </c>
      <c r="AY853" t="s">
        <v>74</v>
      </c>
      <c r="AZ853" t="s">
        <v>74</v>
      </c>
      <c r="BA853" t="s">
        <v>74</v>
      </c>
      <c r="BB853" t="s">
        <v>74</v>
      </c>
      <c r="BC853" t="s">
        <v>74</v>
      </c>
      <c r="BD853" t="s">
        <v>16439</v>
      </c>
      <c r="BE853" t="s">
        <v>16440</v>
      </c>
      <c r="BF853" t="str">
        <f>HYPERLINK("http://dx.doi.org/10.1371/journal.pone.0192559","http://dx.doi.org/10.1371/journal.pone.0192559")</f>
        <v>http://dx.doi.org/10.1371/journal.pone.0192559</v>
      </c>
      <c r="BG853" t="s">
        <v>74</v>
      </c>
      <c r="BH853" t="s">
        <v>74</v>
      </c>
      <c r="BI853">
        <v>18</v>
      </c>
      <c r="BJ853" t="s">
        <v>1670</v>
      </c>
      <c r="BK853" t="s">
        <v>101</v>
      </c>
      <c r="BL853" t="s">
        <v>1671</v>
      </c>
      <c r="BM853" t="s">
        <v>16441</v>
      </c>
      <c r="BN853">
        <v>29415056</v>
      </c>
      <c r="BO853" t="s">
        <v>2293</v>
      </c>
      <c r="BP853" t="s">
        <v>74</v>
      </c>
      <c r="BQ853" t="s">
        <v>74</v>
      </c>
      <c r="BR853" t="s">
        <v>105</v>
      </c>
      <c r="BS853" t="s">
        <v>16442</v>
      </c>
      <c r="BT853" t="str">
        <f>HYPERLINK("https%3A%2F%2Fwww.webofscience.com%2Fwos%2Fwoscc%2Ffull-record%2FWOS:000424325300086","View Full Record in Web of Science")</f>
        <v>View Full Record in Web of Science</v>
      </c>
    </row>
    <row r="854" spans="1:72" x14ac:dyDescent="0.15">
      <c r="A854" t="s">
        <v>72</v>
      </c>
      <c r="B854" t="s">
        <v>16443</v>
      </c>
      <c r="C854" t="s">
        <v>74</v>
      </c>
      <c r="D854" t="s">
        <v>74</v>
      </c>
      <c r="E854" t="s">
        <v>74</v>
      </c>
      <c r="F854" t="s">
        <v>16444</v>
      </c>
      <c r="G854" t="s">
        <v>74</v>
      </c>
      <c r="H854" t="s">
        <v>74</v>
      </c>
      <c r="I854" t="s">
        <v>16445</v>
      </c>
      <c r="J854" t="s">
        <v>1576</v>
      </c>
      <c r="K854" t="s">
        <v>74</v>
      </c>
      <c r="L854" t="s">
        <v>74</v>
      </c>
      <c r="M854" t="s">
        <v>78</v>
      </c>
      <c r="N854" t="s">
        <v>79</v>
      </c>
      <c r="O854" t="s">
        <v>74</v>
      </c>
      <c r="P854" t="s">
        <v>74</v>
      </c>
      <c r="Q854" t="s">
        <v>74</v>
      </c>
      <c r="R854" t="s">
        <v>74</v>
      </c>
      <c r="S854" t="s">
        <v>74</v>
      </c>
      <c r="T854" t="s">
        <v>74</v>
      </c>
      <c r="U854" t="s">
        <v>16446</v>
      </c>
      <c r="V854" t="s">
        <v>16447</v>
      </c>
      <c r="W854" t="s">
        <v>16448</v>
      </c>
      <c r="X854" t="s">
        <v>16449</v>
      </c>
      <c r="Y854" t="s">
        <v>16450</v>
      </c>
      <c r="Z854" t="s">
        <v>16451</v>
      </c>
      <c r="AA854" t="s">
        <v>16452</v>
      </c>
      <c r="AB854" t="s">
        <v>16453</v>
      </c>
      <c r="AC854" t="s">
        <v>16454</v>
      </c>
      <c r="AD854" t="s">
        <v>16455</v>
      </c>
      <c r="AE854" t="s">
        <v>74</v>
      </c>
      <c r="AF854" t="s">
        <v>74</v>
      </c>
      <c r="AG854">
        <v>61</v>
      </c>
      <c r="AH854">
        <v>45</v>
      </c>
      <c r="AI854">
        <v>52</v>
      </c>
      <c r="AJ854">
        <v>3</v>
      </c>
      <c r="AK854">
        <v>34</v>
      </c>
      <c r="AL854" t="s">
        <v>1563</v>
      </c>
      <c r="AM854" t="s">
        <v>1564</v>
      </c>
      <c r="AN854" t="s">
        <v>1565</v>
      </c>
      <c r="AO854" t="s">
        <v>1588</v>
      </c>
      <c r="AP854" t="s">
        <v>1589</v>
      </c>
      <c r="AQ854" t="s">
        <v>74</v>
      </c>
      <c r="AR854" t="s">
        <v>1576</v>
      </c>
      <c r="AS854" t="s">
        <v>1590</v>
      </c>
      <c r="AT854" t="s">
        <v>16456</v>
      </c>
      <c r="AU854">
        <v>2018</v>
      </c>
      <c r="AV854">
        <v>12</v>
      </c>
      <c r="AW854">
        <v>2</v>
      </c>
      <c r="AX854" t="s">
        <v>74</v>
      </c>
      <c r="AY854" t="s">
        <v>74</v>
      </c>
      <c r="AZ854" t="s">
        <v>74</v>
      </c>
      <c r="BA854" t="s">
        <v>74</v>
      </c>
      <c r="BB854">
        <v>433</v>
      </c>
      <c r="BC854">
        <v>452</v>
      </c>
      <c r="BD854" t="s">
        <v>74</v>
      </c>
      <c r="BE854" t="s">
        <v>16457</v>
      </c>
      <c r="BF854" t="str">
        <f>HYPERLINK("http://dx.doi.org/10.5194/tc-12-433-2018","http://dx.doi.org/10.5194/tc-12-433-2018")</f>
        <v>http://dx.doi.org/10.5194/tc-12-433-2018</v>
      </c>
      <c r="BG854" t="s">
        <v>74</v>
      </c>
      <c r="BH854" t="s">
        <v>74</v>
      </c>
      <c r="BI854">
        <v>20</v>
      </c>
      <c r="BJ854" t="s">
        <v>338</v>
      </c>
      <c r="BK854" t="s">
        <v>101</v>
      </c>
      <c r="BL854" t="s">
        <v>339</v>
      </c>
      <c r="BM854" t="s">
        <v>16458</v>
      </c>
      <c r="BN854" t="s">
        <v>74</v>
      </c>
      <c r="BO854" t="s">
        <v>6320</v>
      </c>
      <c r="BP854" t="s">
        <v>74</v>
      </c>
      <c r="BQ854" t="s">
        <v>74</v>
      </c>
      <c r="BR854" t="s">
        <v>105</v>
      </c>
      <c r="BS854" t="s">
        <v>16459</v>
      </c>
      <c r="BT854" t="str">
        <f>HYPERLINK("https%3A%2F%2Fwww.webofscience.com%2Fwos%2Fwoscc%2Ffull-record%2FWOS:000424286200002","View Full Record in Web of Science")</f>
        <v>View Full Record in Web of Science</v>
      </c>
    </row>
    <row r="855" spans="1:72" x14ac:dyDescent="0.15">
      <c r="A855" t="s">
        <v>72</v>
      </c>
      <c r="B855" t="s">
        <v>16460</v>
      </c>
      <c r="C855" t="s">
        <v>74</v>
      </c>
      <c r="D855" t="s">
        <v>74</v>
      </c>
      <c r="E855" t="s">
        <v>74</v>
      </c>
      <c r="F855" t="s">
        <v>16461</v>
      </c>
      <c r="G855" t="s">
        <v>74</v>
      </c>
      <c r="H855" t="s">
        <v>74</v>
      </c>
      <c r="I855" t="s">
        <v>16462</v>
      </c>
      <c r="J855" t="s">
        <v>1576</v>
      </c>
      <c r="K855" t="s">
        <v>74</v>
      </c>
      <c r="L855" t="s">
        <v>74</v>
      </c>
      <c r="M855" t="s">
        <v>78</v>
      </c>
      <c r="N855" t="s">
        <v>79</v>
      </c>
      <c r="O855" t="s">
        <v>74</v>
      </c>
      <c r="P855" t="s">
        <v>74</v>
      </c>
      <c r="Q855" t="s">
        <v>74</v>
      </c>
      <c r="R855" t="s">
        <v>74</v>
      </c>
      <c r="S855" t="s">
        <v>74</v>
      </c>
      <c r="T855" t="s">
        <v>74</v>
      </c>
      <c r="U855" t="s">
        <v>16463</v>
      </c>
      <c r="V855" t="s">
        <v>16464</v>
      </c>
      <c r="W855" t="s">
        <v>16465</v>
      </c>
      <c r="X855" t="s">
        <v>16466</v>
      </c>
      <c r="Y855" t="s">
        <v>16467</v>
      </c>
      <c r="Z855" t="s">
        <v>16468</v>
      </c>
      <c r="AA855" t="s">
        <v>15042</v>
      </c>
      <c r="AB855" t="s">
        <v>16469</v>
      </c>
      <c r="AC855" t="s">
        <v>16470</v>
      </c>
      <c r="AD855" t="s">
        <v>16471</v>
      </c>
      <c r="AE855" t="s">
        <v>16472</v>
      </c>
      <c r="AF855" t="s">
        <v>74</v>
      </c>
      <c r="AG855">
        <v>80</v>
      </c>
      <c r="AH855">
        <v>32</v>
      </c>
      <c r="AI855">
        <v>35</v>
      </c>
      <c r="AJ855">
        <v>0</v>
      </c>
      <c r="AK855">
        <v>14</v>
      </c>
      <c r="AL855" t="s">
        <v>1563</v>
      </c>
      <c r="AM855" t="s">
        <v>1564</v>
      </c>
      <c r="AN855" t="s">
        <v>1565</v>
      </c>
      <c r="AO855" t="s">
        <v>1588</v>
      </c>
      <c r="AP855" t="s">
        <v>1589</v>
      </c>
      <c r="AQ855" t="s">
        <v>74</v>
      </c>
      <c r="AR855" t="s">
        <v>1576</v>
      </c>
      <c r="AS855" t="s">
        <v>1590</v>
      </c>
      <c r="AT855" t="s">
        <v>16456</v>
      </c>
      <c r="AU855">
        <v>2018</v>
      </c>
      <c r="AV855">
        <v>12</v>
      </c>
      <c r="AW855">
        <v>2</v>
      </c>
      <c r="AX855" t="s">
        <v>74</v>
      </c>
      <c r="AY855" t="s">
        <v>74</v>
      </c>
      <c r="AZ855" t="s">
        <v>74</v>
      </c>
      <c r="BA855" t="s">
        <v>74</v>
      </c>
      <c r="BB855">
        <v>453</v>
      </c>
      <c r="BC855">
        <v>476</v>
      </c>
      <c r="BD855" t="s">
        <v>74</v>
      </c>
      <c r="BE855" t="s">
        <v>16473</v>
      </c>
      <c r="BF855" t="str">
        <f>HYPERLINK("http://dx.doi.org/10.5194/tc-12-453-2018","http://dx.doi.org/10.5194/tc-12-453-2018")</f>
        <v>http://dx.doi.org/10.5194/tc-12-453-2018</v>
      </c>
      <c r="BG855" t="s">
        <v>74</v>
      </c>
      <c r="BH855" t="s">
        <v>74</v>
      </c>
      <c r="BI855">
        <v>24</v>
      </c>
      <c r="BJ855" t="s">
        <v>338</v>
      </c>
      <c r="BK855" t="s">
        <v>101</v>
      </c>
      <c r="BL855" t="s">
        <v>339</v>
      </c>
      <c r="BM855" t="s">
        <v>16458</v>
      </c>
      <c r="BN855" t="s">
        <v>74</v>
      </c>
      <c r="BO855" t="s">
        <v>2695</v>
      </c>
      <c r="BP855" t="s">
        <v>74</v>
      </c>
      <c r="BQ855" t="s">
        <v>74</v>
      </c>
      <c r="BR855" t="s">
        <v>105</v>
      </c>
      <c r="BS855" t="s">
        <v>16474</v>
      </c>
      <c r="BT855" t="str">
        <f>HYPERLINK("https%3A%2F%2Fwww.webofscience.com%2Fwos%2Fwoscc%2Ffull-record%2FWOS:000424286200003","View Full Record in Web of Science")</f>
        <v>View Full Record in Web of Science</v>
      </c>
    </row>
    <row r="856" spans="1:72" x14ac:dyDescent="0.15">
      <c r="A856" t="s">
        <v>72</v>
      </c>
      <c r="B856" t="s">
        <v>16475</v>
      </c>
      <c r="C856" t="s">
        <v>74</v>
      </c>
      <c r="D856" t="s">
        <v>74</v>
      </c>
      <c r="E856" t="s">
        <v>74</v>
      </c>
      <c r="F856" t="s">
        <v>16476</v>
      </c>
      <c r="G856" t="s">
        <v>74</v>
      </c>
      <c r="H856" t="s">
        <v>74</v>
      </c>
      <c r="I856" t="s">
        <v>16477</v>
      </c>
      <c r="J856" t="s">
        <v>16478</v>
      </c>
      <c r="K856" t="s">
        <v>74</v>
      </c>
      <c r="L856" t="s">
        <v>74</v>
      </c>
      <c r="M856" t="s">
        <v>78</v>
      </c>
      <c r="N856" t="s">
        <v>4978</v>
      </c>
      <c r="O856" t="s">
        <v>74</v>
      </c>
      <c r="P856" t="s">
        <v>74</v>
      </c>
      <c r="Q856" t="s">
        <v>74</v>
      </c>
      <c r="R856" t="s">
        <v>74</v>
      </c>
      <c r="S856" t="s">
        <v>74</v>
      </c>
      <c r="T856" t="s">
        <v>74</v>
      </c>
      <c r="U856" t="s">
        <v>74</v>
      </c>
      <c r="V856" t="s">
        <v>74</v>
      </c>
      <c r="W856" t="s">
        <v>16479</v>
      </c>
      <c r="X856" t="s">
        <v>16480</v>
      </c>
      <c r="Y856" t="s">
        <v>16481</v>
      </c>
      <c r="Z856" t="s">
        <v>16482</v>
      </c>
      <c r="AA856" t="s">
        <v>16483</v>
      </c>
      <c r="AB856" t="s">
        <v>16484</v>
      </c>
      <c r="AC856" t="s">
        <v>74</v>
      </c>
      <c r="AD856" t="s">
        <v>74</v>
      </c>
      <c r="AE856" t="s">
        <v>74</v>
      </c>
      <c r="AF856" t="s">
        <v>74</v>
      </c>
      <c r="AG856">
        <v>8</v>
      </c>
      <c r="AH856">
        <v>25</v>
      </c>
      <c r="AI856">
        <v>28</v>
      </c>
      <c r="AJ856">
        <v>1</v>
      </c>
      <c r="AK856">
        <v>18</v>
      </c>
      <c r="AL856" t="s">
        <v>16485</v>
      </c>
      <c r="AM856" t="s">
        <v>4100</v>
      </c>
      <c r="AN856" t="s">
        <v>16486</v>
      </c>
      <c r="AO856" t="s">
        <v>16487</v>
      </c>
      <c r="AP856" t="s">
        <v>16488</v>
      </c>
      <c r="AQ856" t="s">
        <v>74</v>
      </c>
      <c r="AR856" t="s">
        <v>16489</v>
      </c>
      <c r="AS856" t="s">
        <v>16490</v>
      </c>
      <c r="AT856" t="s">
        <v>16491</v>
      </c>
      <c r="AU856">
        <v>2018</v>
      </c>
      <c r="AV856">
        <v>28</v>
      </c>
      <c r="AW856">
        <v>3</v>
      </c>
      <c r="AX856" t="s">
        <v>74</v>
      </c>
      <c r="AY856" t="s">
        <v>74</v>
      </c>
      <c r="AZ856" t="s">
        <v>74</v>
      </c>
      <c r="BA856" t="s">
        <v>74</v>
      </c>
      <c r="BB856" t="s">
        <v>16492</v>
      </c>
      <c r="BC856" t="s">
        <v>16493</v>
      </c>
      <c r="BD856" t="s">
        <v>74</v>
      </c>
      <c r="BE856" t="s">
        <v>16494</v>
      </c>
      <c r="BF856" t="str">
        <f>HYPERLINK("http://dx.doi.org/10.1016/j.cub.2017.11.072","http://dx.doi.org/10.1016/j.cub.2017.11.072")</f>
        <v>http://dx.doi.org/10.1016/j.cub.2017.11.072</v>
      </c>
      <c r="BG856" t="s">
        <v>74</v>
      </c>
      <c r="BH856" t="s">
        <v>74</v>
      </c>
      <c r="BI856">
        <v>2</v>
      </c>
      <c r="BJ856" t="s">
        <v>8111</v>
      </c>
      <c r="BK856" t="s">
        <v>101</v>
      </c>
      <c r="BL856" t="s">
        <v>8112</v>
      </c>
      <c r="BM856" t="s">
        <v>16495</v>
      </c>
      <c r="BN856">
        <v>29408264</v>
      </c>
      <c r="BO856" t="s">
        <v>2416</v>
      </c>
      <c r="BP856" t="s">
        <v>74</v>
      </c>
      <c r="BQ856" t="s">
        <v>74</v>
      </c>
      <c r="BR856" t="s">
        <v>105</v>
      </c>
      <c r="BS856" t="s">
        <v>16496</v>
      </c>
      <c r="BT856" t="str">
        <f>HYPERLINK("https%3A%2F%2Fwww.webofscience.com%2Fwos%2Fwoscc%2Ffull-record%2FWOS:000424075300004","View Full Record in Web of Science")</f>
        <v>View Full Record in Web of Science</v>
      </c>
    </row>
    <row r="857" spans="1:72" x14ac:dyDescent="0.15">
      <c r="A857" t="s">
        <v>72</v>
      </c>
      <c r="B857" t="s">
        <v>16497</v>
      </c>
      <c r="C857" t="s">
        <v>74</v>
      </c>
      <c r="D857" t="s">
        <v>74</v>
      </c>
      <c r="E857" t="s">
        <v>74</v>
      </c>
      <c r="F857" t="s">
        <v>16498</v>
      </c>
      <c r="G857" t="s">
        <v>74</v>
      </c>
      <c r="H857" t="s">
        <v>74</v>
      </c>
      <c r="I857" t="s">
        <v>16499</v>
      </c>
      <c r="J857" t="s">
        <v>8594</v>
      </c>
      <c r="K857" t="s">
        <v>74</v>
      </c>
      <c r="L857" t="s">
        <v>74</v>
      </c>
      <c r="M857" t="s">
        <v>78</v>
      </c>
      <c r="N857" t="s">
        <v>79</v>
      </c>
      <c r="O857" t="s">
        <v>74</v>
      </c>
      <c r="P857" t="s">
        <v>74</v>
      </c>
      <c r="Q857" t="s">
        <v>74</v>
      </c>
      <c r="R857" t="s">
        <v>74</v>
      </c>
      <c r="S857" t="s">
        <v>74</v>
      </c>
      <c r="T857" t="s">
        <v>16500</v>
      </c>
      <c r="U857" t="s">
        <v>16501</v>
      </c>
      <c r="V857" t="s">
        <v>16502</v>
      </c>
      <c r="W857" t="s">
        <v>16503</v>
      </c>
      <c r="X857" t="s">
        <v>16504</v>
      </c>
      <c r="Y857" t="s">
        <v>16505</v>
      </c>
      <c r="Z857" t="s">
        <v>16506</v>
      </c>
      <c r="AA857" t="s">
        <v>16507</v>
      </c>
      <c r="AB857" t="s">
        <v>16508</v>
      </c>
      <c r="AC857" t="s">
        <v>16509</v>
      </c>
      <c r="AD857" t="s">
        <v>16510</v>
      </c>
      <c r="AE857" t="s">
        <v>16511</v>
      </c>
      <c r="AF857" t="s">
        <v>74</v>
      </c>
      <c r="AG857">
        <v>44</v>
      </c>
      <c r="AH857">
        <v>45</v>
      </c>
      <c r="AI857">
        <v>46</v>
      </c>
      <c r="AJ857">
        <v>2</v>
      </c>
      <c r="AK857">
        <v>48</v>
      </c>
      <c r="AL857" t="s">
        <v>914</v>
      </c>
      <c r="AM857" t="s">
        <v>452</v>
      </c>
      <c r="AN857" t="s">
        <v>915</v>
      </c>
      <c r="AO857" t="s">
        <v>8602</v>
      </c>
      <c r="AP857" t="s">
        <v>8603</v>
      </c>
      <c r="AQ857" t="s">
        <v>74</v>
      </c>
      <c r="AR857" t="s">
        <v>8594</v>
      </c>
      <c r="AS857" t="s">
        <v>8604</v>
      </c>
      <c r="AT857" t="s">
        <v>16512</v>
      </c>
      <c r="AU857">
        <v>2018</v>
      </c>
      <c r="AV857">
        <v>486</v>
      </c>
      <c r="AW857" t="s">
        <v>74</v>
      </c>
      <c r="AX857" t="s">
        <v>74</v>
      </c>
      <c r="AY857" t="s">
        <v>74</v>
      </c>
      <c r="AZ857" t="s">
        <v>74</v>
      </c>
      <c r="BA857" t="s">
        <v>74</v>
      </c>
      <c r="BB857">
        <v>122</v>
      </c>
      <c r="BC857">
        <v>129</v>
      </c>
      <c r="BD857" t="s">
        <v>74</v>
      </c>
      <c r="BE857" t="s">
        <v>16513</v>
      </c>
      <c r="BF857" t="str">
        <f>HYPERLINK("http://dx.doi.org/10.1016/j.aquaculture.2017.12.008","http://dx.doi.org/10.1016/j.aquaculture.2017.12.008")</f>
        <v>http://dx.doi.org/10.1016/j.aquaculture.2017.12.008</v>
      </c>
      <c r="BG857" t="s">
        <v>74</v>
      </c>
      <c r="BH857" t="s">
        <v>74</v>
      </c>
      <c r="BI857">
        <v>8</v>
      </c>
      <c r="BJ857" t="s">
        <v>3627</v>
      </c>
      <c r="BK857" t="s">
        <v>101</v>
      </c>
      <c r="BL857" t="s">
        <v>3627</v>
      </c>
      <c r="BM857" t="s">
        <v>16514</v>
      </c>
      <c r="BN857" t="s">
        <v>74</v>
      </c>
      <c r="BO857" t="s">
        <v>74</v>
      </c>
      <c r="BP857" t="s">
        <v>74</v>
      </c>
      <c r="BQ857" t="s">
        <v>74</v>
      </c>
      <c r="BR857" t="s">
        <v>105</v>
      </c>
      <c r="BS857" t="s">
        <v>16515</v>
      </c>
      <c r="BT857" t="str">
        <f>HYPERLINK("https%3A%2F%2Fwww.webofscience.com%2Fwos%2Fwoscc%2Ffull-record%2FWOS:000425875900017","View Full Record in Web of Science")</f>
        <v>View Full Record in Web of Science</v>
      </c>
    </row>
    <row r="858" spans="1:72" x14ac:dyDescent="0.15">
      <c r="A858" t="s">
        <v>72</v>
      </c>
      <c r="B858" t="s">
        <v>16516</v>
      </c>
      <c r="C858" t="s">
        <v>74</v>
      </c>
      <c r="D858" t="s">
        <v>74</v>
      </c>
      <c r="E858" t="s">
        <v>74</v>
      </c>
      <c r="F858" t="s">
        <v>16517</v>
      </c>
      <c r="G858" t="s">
        <v>74</v>
      </c>
      <c r="H858" t="s">
        <v>74</v>
      </c>
      <c r="I858" t="s">
        <v>16518</v>
      </c>
      <c r="J858" t="s">
        <v>2298</v>
      </c>
      <c r="K858" t="s">
        <v>74</v>
      </c>
      <c r="L858" t="s">
        <v>74</v>
      </c>
      <c r="M858" t="s">
        <v>78</v>
      </c>
      <c r="N858" t="s">
        <v>79</v>
      </c>
      <c r="O858" t="s">
        <v>74</v>
      </c>
      <c r="P858" t="s">
        <v>74</v>
      </c>
      <c r="Q858" t="s">
        <v>74</v>
      </c>
      <c r="R858" t="s">
        <v>74</v>
      </c>
      <c r="S858" t="s">
        <v>74</v>
      </c>
      <c r="T858" t="s">
        <v>74</v>
      </c>
      <c r="U858" t="s">
        <v>16519</v>
      </c>
      <c r="V858" t="s">
        <v>16520</v>
      </c>
      <c r="W858" t="s">
        <v>16521</v>
      </c>
      <c r="X858" t="s">
        <v>16522</v>
      </c>
      <c r="Y858" t="s">
        <v>16523</v>
      </c>
      <c r="Z858" t="s">
        <v>16524</v>
      </c>
      <c r="AA858" t="s">
        <v>16525</v>
      </c>
      <c r="AB858" t="s">
        <v>16526</v>
      </c>
      <c r="AC858" t="s">
        <v>16527</v>
      </c>
      <c r="AD858" t="s">
        <v>16528</v>
      </c>
      <c r="AE858" t="s">
        <v>16529</v>
      </c>
      <c r="AF858" t="s">
        <v>74</v>
      </c>
      <c r="AG858">
        <v>43</v>
      </c>
      <c r="AH858">
        <v>14</v>
      </c>
      <c r="AI858">
        <v>17</v>
      </c>
      <c r="AJ858">
        <v>0</v>
      </c>
      <c r="AK858">
        <v>17</v>
      </c>
      <c r="AL858" t="s">
        <v>2310</v>
      </c>
      <c r="AM858" t="s">
        <v>2311</v>
      </c>
      <c r="AN858" t="s">
        <v>2312</v>
      </c>
      <c r="AO858" t="s">
        <v>2313</v>
      </c>
      <c r="AP858" t="s">
        <v>74</v>
      </c>
      <c r="AQ858" t="s">
        <v>74</v>
      </c>
      <c r="AR858" t="s">
        <v>2298</v>
      </c>
      <c r="AS858" t="s">
        <v>2314</v>
      </c>
      <c r="AT858" t="s">
        <v>16530</v>
      </c>
      <c r="AU858">
        <v>2018</v>
      </c>
      <c r="AV858">
        <v>13</v>
      </c>
      <c r="AW858">
        <v>2</v>
      </c>
      <c r="AX858" t="s">
        <v>74</v>
      </c>
      <c r="AY858" t="s">
        <v>74</v>
      </c>
      <c r="AZ858" t="s">
        <v>74</v>
      </c>
      <c r="BA858" t="s">
        <v>74</v>
      </c>
      <c r="BB858" t="s">
        <v>74</v>
      </c>
      <c r="BC858" t="s">
        <v>74</v>
      </c>
      <c r="BD858" t="s">
        <v>16531</v>
      </c>
      <c r="BE858" t="s">
        <v>16532</v>
      </c>
      <c r="BF858" t="str">
        <f>HYPERLINK("http://dx.doi.org/10.1371/journal.pone.0192415","http://dx.doi.org/10.1371/journal.pone.0192415")</f>
        <v>http://dx.doi.org/10.1371/journal.pone.0192415</v>
      </c>
      <c r="BG858" t="s">
        <v>74</v>
      </c>
      <c r="BH858" t="s">
        <v>74</v>
      </c>
      <c r="BI858">
        <v>17</v>
      </c>
      <c r="BJ858" t="s">
        <v>1670</v>
      </c>
      <c r="BK858" t="s">
        <v>101</v>
      </c>
      <c r="BL858" t="s">
        <v>1671</v>
      </c>
      <c r="BM858" t="s">
        <v>16533</v>
      </c>
      <c r="BN858">
        <v>29394293</v>
      </c>
      <c r="BO858" t="s">
        <v>2293</v>
      </c>
      <c r="BP858" t="s">
        <v>74</v>
      </c>
      <c r="BQ858" t="s">
        <v>74</v>
      </c>
      <c r="BR858" t="s">
        <v>105</v>
      </c>
      <c r="BS858" t="s">
        <v>16534</v>
      </c>
      <c r="BT858" t="str">
        <f>HYPERLINK("https%3A%2F%2Fwww.webofscience.com%2Fwos%2Fwoscc%2Ffull-record%2FWOS:000424060400044","View Full Record in Web of Science")</f>
        <v>View Full Record in Web of Science</v>
      </c>
    </row>
    <row r="859" spans="1:72" x14ac:dyDescent="0.15">
      <c r="A859" t="s">
        <v>72</v>
      </c>
      <c r="B859" t="s">
        <v>16535</v>
      </c>
      <c r="C859" t="s">
        <v>74</v>
      </c>
      <c r="D859" t="s">
        <v>74</v>
      </c>
      <c r="E859" t="s">
        <v>74</v>
      </c>
      <c r="F859" t="s">
        <v>16536</v>
      </c>
      <c r="G859" t="s">
        <v>74</v>
      </c>
      <c r="H859" t="s">
        <v>74</v>
      </c>
      <c r="I859" t="s">
        <v>16537</v>
      </c>
      <c r="J859" t="s">
        <v>16538</v>
      </c>
      <c r="K859" t="s">
        <v>74</v>
      </c>
      <c r="L859" t="s">
        <v>74</v>
      </c>
      <c r="M859" t="s">
        <v>78</v>
      </c>
      <c r="N859" t="s">
        <v>79</v>
      </c>
      <c r="O859" t="s">
        <v>74</v>
      </c>
      <c r="P859" t="s">
        <v>74</v>
      </c>
      <c r="Q859" t="s">
        <v>74</v>
      </c>
      <c r="R859" t="s">
        <v>74</v>
      </c>
      <c r="S859" t="s">
        <v>74</v>
      </c>
      <c r="T859" t="s">
        <v>16539</v>
      </c>
      <c r="U859" t="s">
        <v>16540</v>
      </c>
      <c r="V859" t="s">
        <v>16541</v>
      </c>
      <c r="W859" t="s">
        <v>16542</v>
      </c>
      <c r="X859" t="s">
        <v>74</v>
      </c>
      <c r="Y859" t="s">
        <v>16543</v>
      </c>
      <c r="Z859" t="s">
        <v>16544</v>
      </c>
      <c r="AA859" t="s">
        <v>16545</v>
      </c>
      <c r="AB859" t="s">
        <v>16546</v>
      </c>
      <c r="AC859" t="s">
        <v>16547</v>
      </c>
      <c r="AD859" t="s">
        <v>16547</v>
      </c>
      <c r="AE859" t="s">
        <v>16548</v>
      </c>
      <c r="AF859" t="s">
        <v>74</v>
      </c>
      <c r="AG859">
        <v>46</v>
      </c>
      <c r="AH859">
        <v>1</v>
      </c>
      <c r="AI859">
        <v>1</v>
      </c>
      <c r="AJ859">
        <v>0</v>
      </c>
      <c r="AK859">
        <v>1</v>
      </c>
      <c r="AL859" t="s">
        <v>2619</v>
      </c>
      <c r="AM859" t="s">
        <v>2536</v>
      </c>
      <c r="AN859" t="s">
        <v>2537</v>
      </c>
      <c r="AO859" t="s">
        <v>16549</v>
      </c>
      <c r="AP859" t="s">
        <v>74</v>
      </c>
      <c r="AQ859" t="s">
        <v>74</v>
      </c>
      <c r="AR859" t="s">
        <v>16550</v>
      </c>
      <c r="AS859" t="s">
        <v>16551</v>
      </c>
      <c r="AT859" t="s">
        <v>16530</v>
      </c>
      <c r="AU859">
        <v>2018</v>
      </c>
      <c r="AV859">
        <v>94</v>
      </c>
      <c r="AW859">
        <v>1</v>
      </c>
      <c r="AX859" t="s">
        <v>74</v>
      </c>
      <c r="AY859" t="s">
        <v>74</v>
      </c>
      <c r="AZ859" t="s">
        <v>74</v>
      </c>
      <c r="BA859" t="s">
        <v>74</v>
      </c>
      <c r="BB859">
        <v>95</v>
      </c>
      <c r="BC859">
        <v>108</v>
      </c>
      <c r="BD859" t="s">
        <v>74</v>
      </c>
      <c r="BE859" t="s">
        <v>16552</v>
      </c>
      <c r="BF859" t="str">
        <f>HYPERLINK("http://dx.doi.org/10.3897/zse.94.22501","http://dx.doi.org/10.3897/zse.94.22501")</f>
        <v>http://dx.doi.org/10.3897/zse.94.22501</v>
      </c>
      <c r="BG859" t="s">
        <v>74</v>
      </c>
      <c r="BH859" t="s">
        <v>74</v>
      </c>
      <c r="BI859">
        <v>14</v>
      </c>
      <c r="BJ859" t="s">
        <v>2624</v>
      </c>
      <c r="BK859" t="s">
        <v>101</v>
      </c>
      <c r="BL859" t="s">
        <v>2624</v>
      </c>
      <c r="BM859" t="s">
        <v>16553</v>
      </c>
      <c r="BN859" t="s">
        <v>74</v>
      </c>
      <c r="BO859" t="s">
        <v>16554</v>
      </c>
      <c r="BP859" t="s">
        <v>74</v>
      </c>
      <c r="BQ859" t="s">
        <v>74</v>
      </c>
      <c r="BR859" t="s">
        <v>105</v>
      </c>
      <c r="BS859" t="s">
        <v>16555</v>
      </c>
      <c r="BT859" t="str">
        <f>HYPERLINK("https%3A%2F%2Fwww.webofscience.com%2Fwos%2Fwoscc%2Ffull-record%2FWOS:000424272800001","View Full Record in Web of Science")</f>
        <v>View Full Record in Web of Science</v>
      </c>
    </row>
    <row r="860" spans="1:72" x14ac:dyDescent="0.15">
      <c r="A860" t="s">
        <v>72</v>
      </c>
      <c r="B860" t="s">
        <v>16556</v>
      </c>
      <c r="C860" t="s">
        <v>74</v>
      </c>
      <c r="D860" t="s">
        <v>74</v>
      </c>
      <c r="E860" t="s">
        <v>74</v>
      </c>
      <c r="F860" t="s">
        <v>16557</v>
      </c>
      <c r="G860" t="s">
        <v>74</v>
      </c>
      <c r="H860" t="s">
        <v>74</v>
      </c>
      <c r="I860" t="s">
        <v>16558</v>
      </c>
      <c r="J860" t="s">
        <v>1552</v>
      </c>
      <c r="K860" t="s">
        <v>74</v>
      </c>
      <c r="L860" t="s">
        <v>74</v>
      </c>
      <c r="M860" t="s">
        <v>78</v>
      </c>
      <c r="N860" t="s">
        <v>79</v>
      </c>
      <c r="O860" t="s">
        <v>74</v>
      </c>
      <c r="P860" t="s">
        <v>74</v>
      </c>
      <c r="Q860" t="s">
        <v>74</v>
      </c>
      <c r="R860" t="s">
        <v>74</v>
      </c>
      <c r="S860" t="s">
        <v>74</v>
      </c>
      <c r="T860" t="s">
        <v>74</v>
      </c>
      <c r="U860" t="s">
        <v>16559</v>
      </c>
      <c r="V860" t="s">
        <v>16560</v>
      </c>
      <c r="W860" t="s">
        <v>16561</v>
      </c>
      <c r="X860" t="s">
        <v>16562</v>
      </c>
      <c r="Y860" t="s">
        <v>16563</v>
      </c>
      <c r="Z860" t="s">
        <v>16564</v>
      </c>
      <c r="AA860" t="s">
        <v>16565</v>
      </c>
      <c r="AB860" t="s">
        <v>16566</v>
      </c>
      <c r="AC860" t="s">
        <v>16567</v>
      </c>
      <c r="AD860" t="s">
        <v>16568</v>
      </c>
      <c r="AE860" t="s">
        <v>16569</v>
      </c>
      <c r="AF860" t="s">
        <v>74</v>
      </c>
      <c r="AG860">
        <v>47</v>
      </c>
      <c r="AH860">
        <v>11</v>
      </c>
      <c r="AI860">
        <v>12</v>
      </c>
      <c r="AJ860">
        <v>1</v>
      </c>
      <c r="AK860">
        <v>7</v>
      </c>
      <c r="AL860" t="s">
        <v>1563</v>
      </c>
      <c r="AM860" t="s">
        <v>1564</v>
      </c>
      <c r="AN860" t="s">
        <v>1565</v>
      </c>
      <c r="AO860" t="s">
        <v>1566</v>
      </c>
      <c r="AP860" t="s">
        <v>1567</v>
      </c>
      <c r="AQ860" t="s">
        <v>74</v>
      </c>
      <c r="AR860" t="s">
        <v>1568</v>
      </c>
      <c r="AS860" t="s">
        <v>1569</v>
      </c>
      <c r="AT860" t="s">
        <v>16530</v>
      </c>
      <c r="AU860">
        <v>2018</v>
      </c>
      <c r="AV860">
        <v>18</v>
      </c>
      <c r="AW860">
        <v>3</v>
      </c>
      <c r="AX860" t="s">
        <v>74</v>
      </c>
      <c r="AY860" t="s">
        <v>74</v>
      </c>
      <c r="AZ860" t="s">
        <v>74</v>
      </c>
      <c r="BA860" t="s">
        <v>74</v>
      </c>
      <c r="BB860">
        <v>1475</v>
      </c>
      <c r="BC860">
        <v>1494</v>
      </c>
      <c r="BD860" t="s">
        <v>74</v>
      </c>
      <c r="BE860" t="s">
        <v>16570</v>
      </c>
      <c r="BF860" t="str">
        <f>HYPERLINK("http://dx.doi.org/10.5194/acp-18-1475-2018","http://dx.doi.org/10.5194/acp-18-1475-2018")</f>
        <v>http://dx.doi.org/10.5194/acp-18-1475-2018</v>
      </c>
      <c r="BG860" t="s">
        <v>74</v>
      </c>
      <c r="BH860" t="s">
        <v>74</v>
      </c>
      <c r="BI860">
        <v>20</v>
      </c>
      <c r="BJ860" t="s">
        <v>285</v>
      </c>
      <c r="BK860" t="s">
        <v>101</v>
      </c>
      <c r="BL860" t="s">
        <v>286</v>
      </c>
      <c r="BM860" t="s">
        <v>16571</v>
      </c>
      <c r="BN860" t="s">
        <v>74</v>
      </c>
      <c r="BO860" t="s">
        <v>830</v>
      </c>
      <c r="BP860" t="s">
        <v>74</v>
      </c>
      <c r="BQ860" t="s">
        <v>74</v>
      </c>
      <c r="BR860" t="s">
        <v>105</v>
      </c>
      <c r="BS860" t="s">
        <v>16572</v>
      </c>
      <c r="BT860" t="str">
        <f>HYPERLINK("https%3A%2F%2Fwww.webofscience.com%2Fwos%2Fwoscc%2Ffull-record%2FWOS:000424049100002","View Full Record in Web of Science")</f>
        <v>View Full Record in Web of Science</v>
      </c>
    </row>
    <row r="861" spans="1:72" x14ac:dyDescent="0.15">
      <c r="A861" t="s">
        <v>72</v>
      </c>
      <c r="B861" t="s">
        <v>16573</v>
      </c>
      <c r="C861" t="s">
        <v>74</v>
      </c>
      <c r="D861" t="s">
        <v>74</v>
      </c>
      <c r="E861" t="s">
        <v>74</v>
      </c>
      <c r="F861" t="s">
        <v>16574</v>
      </c>
      <c r="G861" t="s">
        <v>74</v>
      </c>
      <c r="H861" t="s">
        <v>74</v>
      </c>
      <c r="I861" t="s">
        <v>16575</v>
      </c>
      <c r="J861" t="s">
        <v>1552</v>
      </c>
      <c r="K861" t="s">
        <v>74</v>
      </c>
      <c r="L861" t="s">
        <v>74</v>
      </c>
      <c r="M861" t="s">
        <v>78</v>
      </c>
      <c r="N861" t="s">
        <v>79</v>
      </c>
      <c r="O861" t="s">
        <v>74</v>
      </c>
      <c r="P861" t="s">
        <v>74</v>
      </c>
      <c r="Q861" t="s">
        <v>74</v>
      </c>
      <c r="R861" t="s">
        <v>74</v>
      </c>
      <c r="S861" t="s">
        <v>74</v>
      </c>
      <c r="T861" t="s">
        <v>74</v>
      </c>
      <c r="U861" t="s">
        <v>16576</v>
      </c>
      <c r="V861" t="s">
        <v>16577</v>
      </c>
      <c r="W861" t="s">
        <v>16578</v>
      </c>
      <c r="X861" t="s">
        <v>16579</v>
      </c>
      <c r="Y861" t="s">
        <v>16580</v>
      </c>
      <c r="Z861" t="s">
        <v>16581</v>
      </c>
      <c r="AA861" t="s">
        <v>16582</v>
      </c>
      <c r="AB861" t="s">
        <v>16583</v>
      </c>
      <c r="AC861" t="s">
        <v>16584</v>
      </c>
      <c r="AD861" t="s">
        <v>16585</v>
      </c>
      <c r="AE861" t="s">
        <v>16586</v>
      </c>
      <c r="AF861" t="s">
        <v>74</v>
      </c>
      <c r="AG861">
        <v>63</v>
      </c>
      <c r="AH861">
        <v>7</v>
      </c>
      <c r="AI861">
        <v>8</v>
      </c>
      <c r="AJ861">
        <v>1</v>
      </c>
      <c r="AK861">
        <v>11</v>
      </c>
      <c r="AL861" t="s">
        <v>1563</v>
      </c>
      <c r="AM861" t="s">
        <v>1564</v>
      </c>
      <c r="AN861" t="s">
        <v>1565</v>
      </c>
      <c r="AO861" t="s">
        <v>1566</v>
      </c>
      <c r="AP861" t="s">
        <v>1567</v>
      </c>
      <c r="AQ861" t="s">
        <v>74</v>
      </c>
      <c r="AR861" t="s">
        <v>1568</v>
      </c>
      <c r="AS861" t="s">
        <v>1569</v>
      </c>
      <c r="AT861" t="s">
        <v>16530</v>
      </c>
      <c r="AU861">
        <v>2018</v>
      </c>
      <c r="AV861">
        <v>18</v>
      </c>
      <c r="AW861">
        <v>3</v>
      </c>
      <c r="AX861" t="s">
        <v>74</v>
      </c>
      <c r="AY861" t="s">
        <v>74</v>
      </c>
      <c r="AZ861" t="s">
        <v>74</v>
      </c>
      <c r="BA861" t="s">
        <v>74</v>
      </c>
      <c r="BB861">
        <v>1507</v>
      </c>
      <c r="BC861">
        <v>1534</v>
      </c>
      <c r="BD861" t="s">
        <v>74</v>
      </c>
      <c r="BE861" t="s">
        <v>16587</v>
      </c>
      <c r="BF861" t="str">
        <f>HYPERLINK("http://dx.doi.org/10.5194/acp-18-1507-2018","http://dx.doi.org/10.5194/acp-18-1507-2018")</f>
        <v>http://dx.doi.org/10.5194/acp-18-1507-2018</v>
      </c>
      <c r="BG861" t="s">
        <v>74</v>
      </c>
      <c r="BH861" t="s">
        <v>74</v>
      </c>
      <c r="BI861">
        <v>28</v>
      </c>
      <c r="BJ861" t="s">
        <v>285</v>
      </c>
      <c r="BK861" t="s">
        <v>101</v>
      </c>
      <c r="BL861" t="s">
        <v>286</v>
      </c>
      <c r="BM861" t="s">
        <v>16571</v>
      </c>
      <c r="BN861" t="s">
        <v>74</v>
      </c>
      <c r="BO861" t="s">
        <v>3020</v>
      </c>
      <c r="BP861" t="s">
        <v>74</v>
      </c>
      <c r="BQ861" t="s">
        <v>74</v>
      </c>
      <c r="BR861" t="s">
        <v>105</v>
      </c>
      <c r="BS861" t="s">
        <v>16588</v>
      </c>
      <c r="BT861" t="str">
        <f>HYPERLINK("https%3A%2F%2Fwww.webofscience.com%2Fwos%2Fwoscc%2Ffull-record%2FWOS:000424049100004","View Full Record in Web of Science")</f>
        <v>View Full Record in Web of Science</v>
      </c>
    </row>
    <row r="862" spans="1:72" x14ac:dyDescent="0.15">
      <c r="A862" t="s">
        <v>72</v>
      </c>
      <c r="B862" t="s">
        <v>16589</v>
      </c>
      <c r="C862" t="s">
        <v>74</v>
      </c>
      <c r="D862" t="s">
        <v>74</v>
      </c>
      <c r="E862" t="s">
        <v>74</v>
      </c>
      <c r="F862" t="s">
        <v>16590</v>
      </c>
      <c r="G862" t="s">
        <v>74</v>
      </c>
      <c r="H862" t="s">
        <v>74</v>
      </c>
      <c r="I862" t="s">
        <v>16591</v>
      </c>
      <c r="J862" t="s">
        <v>2139</v>
      </c>
      <c r="K862" t="s">
        <v>74</v>
      </c>
      <c r="L862" t="s">
        <v>74</v>
      </c>
      <c r="M862" t="s">
        <v>78</v>
      </c>
      <c r="N862" t="s">
        <v>79</v>
      </c>
      <c r="O862" t="s">
        <v>74</v>
      </c>
      <c r="P862" t="s">
        <v>74</v>
      </c>
      <c r="Q862" t="s">
        <v>74</v>
      </c>
      <c r="R862" t="s">
        <v>74</v>
      </c>
      <c r="S862" t="s">
        <v>74</v>
      </c>
      <c r="T862" t="s">
        <v>16592</v>
      </c>
      <c r="U862" t="s">
        <v>74</v>
      </c>
      <c r="V862" t="s">
        <v>16593</v>
      </c>
      <c r="W862" t="s">
        <v>16594</v>
      </c>
      <c r="X862" t="s">
        <v>16595</v>
      </c>
      <c r="Y862" t="s">
        <v>16596</v>
      </c>
      <c r="Z862" t="s">
        <v>16597</v>
      </c>
      <c r="AA862" t="s">
        <v>16598</v>
      </c>
      <c r="AB862" t="s">
        <v>16599</v>
      </c>
      <c r="AC862" t="s">
        <v>16600</v>
      </c>
      <c r="AD862" t="s">
        <v>4316</v>
      </c>
      <c r="AE862" t="s">
        <v>16601</v>
      </c>
      <c r="AF862" t="s">
        <v>74</v>
      </c>
      <c r="AG862">
        <v>59</v>
      </c>
      <c r="AH862">
        <v>19</v>
      </c>
      <c r="AI862">
        <v>22</v>
      </c>
      <c r="AJ862">
        <v>0</v>
      </c>
      <c r="AK862">
        <v>2</v>
      </c>
      <c r="AL862" t="s">
        <v>2152</v>
      </c>
      <c r="AM862" t="s">
        <v>2153</v>
      </c>
      <c r="AN862" t="s">
        <v>2154</v>
      </c>
      <c r="AO862" t="s">
        <v>74</v>
      </c>
      <c r="AP862" t="s">
        <v>2155</v>
      </c>
      <c r="AQ862" t="s">
        <v>74</v>
      </c>
      <c r="AR862" t="s">
        <v>2156</v>
      </c>
      <c r="AS862" t="s">
        <v>2157</v>
      </c>
      <c r="AT862" t="s">
        <v>16530</v>
      </c>
      <c r="AU862">
        <v>2018</v>
      </c>
      <c r="AV862">
        <v>5</v>
      </c>
      <c r="AW862" t="s">
        <v>74</v>
      </c>
      <c r="AX862" t="s">
        <v>74</v>
      </c>
      <c r="AY862" t="s">
        <v>74</v>
      </c>
      <c r="AZ862" t="s">
        <v>74</v>
      </c>
      <c r="BA862" t="s">
        <v>74</v>
      </c>
      <c r="BB862" t="s">
        <v>74</v>
      </c>
      <c r="BC862" t="s">
        <v>74</v>
      </c>
      <c r="BD862">
        <v>13</v>
      </c>
      <c r="BE862" t="s">
        <v>16602</v>
      </c>
      <c r="BF862" t="str">
        <f>HYPERLINK("http://dx.doi.org/10.3389/fmars.2018.00013","http://dx.doi.org/10.3389/fmars.2018.00013")</f>
        <v>http://dx.doi.org/10.3389/fmars.2018.00013</v>
      </c>
      <c r="BG862" t="s">
        <v>74</v>
      </c>
      <c r="BH862" t="s">
        <v>74</v>
      </c>
      <c r="BI862">
        <v>12</v>
      </c>
      <c r="BJ862" t="s">
        <v>2159</v>
      </c>
      <c r="BK862" t="s">
        <v>101</v>
      </c>
      <c r="BL862" t="s">
        <v>1268</v>
      </c>
      <c r="BM862" t="s">
        <v>16603</v>
      </c>
      <c r="BN862" t="s">
        <v>74</v>
      </c>
      <c r="BO862" t="s">
        <v>764</v>
      </c>
      <c r="BP862" t="s">
        <v>74</v>
      </c>
      <c r="BQ862" t="s">
        <v>74</v>
      </c>
      <c r="BR862" t="s">
        <v>105</v>
      </c>
      <c r="BS862" t="s">
        <v>16604</v>
      </c>
      <c r="BT862" t="str">
        <f>HYPERLINK("https%3A%2F%2Fwww.webofscience.com%2Fwos%2Fwoscc%2Ffull-record%2FWOS:001029306800001","View Full Record in Web of Science")</f>
        <v>View Full Record in Web of Science</v>
      </c>
    </row>
    <row r="863" spans="1:72" x14ac:dyDescent="0.15">
      <c r="A863" t="s">
        <v>72</v>
      </c>
      <c r="B863" t="s">
        <v>16605</v>
      </c>
      <c r="C863" t="s">
        <v>74</v>
      </c>
      <c r="D863" t="s">
        <v>74</v>
      </c>
      <c r="E863" t="s">
        <v>74</v>
      </c>
      <c r="F863" t="s">
        <v>16606</v>
      </c>
      <c r="G863" t="s">
        <v>74</v>
      </c>
      <c r="H863" t="s">
        <v>74</v>
      </c>
      <c r="I863" t="s">
        <v>16607</v>
      </c>
      <c r="J863" t="s">
        <v>15074</v>
      </c>
      <c r="K863" t="s">
        <v>74</v>
      </c>
      <c r="L863" t="s">
        <v>74</v>
      </c>
      <c r="M863" t="s">
        <v>78</v>
      </c>
      <c r="N863" t="s">
        <v>79</v>
      </c>
      <c r="O863" t="s">
        <v>74</v>
      </c>
      <c r="P863" t="s">
        <v>74</v>
      </c>
      <c r="Q863" t="s">
        <v>74</v>
      </c>
      <c r="R863" t="s">
        <v>74</v>
      </c>
      <c r="S863" t="s">
        <v>74</v>
      </c>
      <c r="T863" t="s">
        <v>16608</v>
      </c>
      <c r="U863" t="s">
        <v>16609</v>
      </c>
      <c r="V863" t="s">
        <v>16610</v>
      </c>
      <c r="W863" t="s">
        <v>16611</v>
      </c>
      <c r="X863" t="s">
        <v>16612</v>
      </c>
      <c r="Y863" t="s">
        <v>16613</v>
      </c>
      <c r="Z863" t="s">
        <v>16614</v>
      </c>
      <c r="AA863" t="s">
        <v>16615</v>
      </c>
      <c r="AB863" t="s">
        <v>16616</v>
      </c>
      <c r="AC863" t="s">
        <v>16617</v>
      </c>
      <c r="AD863" t="s">
        <v>16618</v>
      </c>
      <c r="AE863" t="s">
        <v>16619</v>
      </c>
      <c r="AF863" t="s">
        <v>74</v>
      </c>
      <c r="AG863">
        <v>69</v>
      </c>
      <c r="AH863">
        <v>90</v>
      </c>
      <c r="AI863">
        <v>91</v>
      </c>
      <c r="AJ863">
        <v>3</v>
      </c>
      <c r="AK863">
        <v>77</v>
      </c>
      <c r="AL863" t="s">
        <v>7397</v>
      </c>
      <c r="AM863" t="s">
        <v>575</v>
      </c>
      <c r="AN863" t="s">
        <v>7398</v>
      </c>
      <c r="AO863" t="s">
        <v>15086</v>
      </c>
      <c r="AP863" t="s">
        <v>15087</v>
      </c>
      <c r="AQ863" t="s">
        <v>74</v>
      </c>
      <c r="AR863" t="s">
        <v>15088</v>
      </c>
      <c r="AS863" t="s">
        <v>15089</v>
      </c>
      <c r="AT863" t="s">
        <v>16620</v>
      </c>
      <c r="AU863">
        <v>2018</v>
      </c>
      <c r="AV863">
        <v>84</v>
      </c>
      <c r="AW863">
        <v>4</v>
      </c>
      <c r="AX863" t="s">
        <v>74</v>
      </c>
      <c r="AY863" t="s">
        <v>74</v>
      </c>
      <c r="AZ863" t="s">
        <v>74</v>
      </c>
      <c r="BA863" t="s">
        <v>74</v>
      </c>
      <c r="BB863" t="s">
        <v>74</v>
      </c>
      <c r="BC863" t="s">
        <v>74</v>
      </c>
      <c r="BD863" t="s">
        <v>16621</v>
      </c>
      <c r="BE863" t="s">
        <v>16622</v>
      </c>
      <c r="BF863" t="str">
        <f>HYPERLINK("http://dx.doi.org/10.1128/AEM.01624-17","http://dx.doi.org/10.1128/AEM.01624-17")</f>
        <v>http://dx.doi.org/10.1128/AEM.01624-17</v>
      </c>
      <c r="BG863" t="s">
        <v>74</v>
      </c>
      <c r="BH863" t="s">
        <v>74</v>
      </c>
      <c r="BI863">
        <v>18</v>
      </c>
      <c r="BJ863" t="s">
        <v>1158</v>
      </c>
      <c r="BK863" t="s">
        <v>101</v>
      </c>
      <c r="BL863" t="s">
        <v>1158</v>
      </c>
      <c r="BM863" t="s">
        <v>16623</v>
      </c>
      <c r="BN863">
        <v>29180360</v>
      </c>
      <c r="BO863" t="s">
        <v>4167</v>
      </c>
      <c r="BP863" t="s">
        <v>74</v>
      </c>
      <c r="BQ863" t="s">
        <v>74</v>
      </c>
      <c r="BR863" t="s">
        <v>105</v>
      </c>
      <c r="BS863" t="s">
        <v>16624</v>
      </c>
      <c r="BT863" t="str">
        <f>HYPERLINK("https%3A%2F%2Fwww.webofscience.com%2Fwos%2Fwoscc%2Ffull-record%2FWOS:000423774600002","View Full Record in Web of Science")</f>
        <v>View Full Record in Web of Science</v>
      </c>
    </row>
    <row r="864" spans="1:72" x14ac:dyDescent="0.15">
      <c r="A864" t="s">
        <v>72</v>
      </c>
      <c r="B864" t="s">
        <v>16625</v>
      </c>
      <c r="C864" t="s">
        <v>74</v>
      </c>
      <c r="D864" t="s">
        <v>74</v>
      </c>
      <c r="E864" t="s">
        <v>74</v>
      </c>
      <c r="F864" t="s">
        <v>16626</v>
      </c>
      <c r="G864" t="s">
        <v>74</v>
      </c>
      <c r="H864" t="s">
        <v>74</v>
      </c>
      <c r="I864" t="s">
        <v>16627</v>
      </c>
      <c r="J864" t="s">
        <v>4448</v>
      </c>
      <c r="K864" t="s">
        <v>74</v>
      </c>
      <c r="L864" t="s">
        <v>74</v>
      </c>
      <c r="M864" t="s">
        <v>78</v>
      </c>
      <c r="N864" t="s">
        <v>79</v>
      </c>
      <c r="O864" t="s">
        <v>74</v>
      </c>
      <c r="P864" t="s">
        <v>74</v>
      </c>
      <c r="Q864" t="s">
        <v>74</v>
      </c>
      <c r="R864" t="s">
        <v>74</v>
      </c>
      <c r="S864" t="s">
        <v>74</v>
      </c>
      <c r="T864" t="s">
        <v>74</v>
      </c>
      <c r="U864" t="s">
        <v>16628</v>
      </c>
      <c r="V864" t="s">
        <v>16629</v>
      </c>
      <c r="W864" t="s">
        <v>16630</v>
      </c>
      <c r="X864" t="s">
        <v>16631</v>
      </c>
      <c r="Y864" t="s">
        <v>16632</v>
      </c>
      <c r="Z864" t="s">
        <v>16633</v>
      </c>
      <c r="AA864" t="s">
        <v>16634</v>
      </c>
      <c r="AB864" t="s">
        <v>16635</v>
      </c>
      <c r="AC864" t="s">
        <v>16636</v>
      </c>
      <c r="AD864" t="s">
        <v>16637</v>
      </c>
      <c r="AE864" t="s">
        <v>16638</v>
      </c>
      <c r="AF864" t="s">
        <v>74</v>
      </c>
      <c r="AG864">
        <v>65</v>
      </c>
      <c r="AH864">
        <v>25</v>
      </c>
      <c r="AI864">
        <v>33</v>
      </c>
      <c r="AJ864">
        <v>1</v>
      </c>
      <c r="AK864">
        <v>19</v>
      </c>
      <c r="AL864" t="s">
        <v>3595</v>
      </c>
      <c r="AM864" t="s">
        <v>3596</v>
      </c>
      <c r="AN864" t="s">
        <v>3597</v>
      </c>
      <c r="AO864" t="s">
        <v>4460</v>
      </c>
      <c r="AP864" t="s">
        <v>4461</v>
      </c>
      <c r="AQ864" t="s">
        <v>74</v>
      </c>
      <c r="AR864" t="s">
        <v>4462</v>
      </c>
      <c r="AS864" t="s">
        <v>4463</v>
      </c>
      <c r="AT864" t="s">
        <v>16620</v>
      </c>
      <c r="AU864">
        <v>2018</v>
      </c>
      <c r="AV864">
        <v>99</v>
      </c>
      <c r="AW864">
        <v>2</v>
      </c>
      <c r="AX864" t="s">
        <v>74</v>
      </c>
      <c r="AY864" t="s">
        <v>74</v>
      </c>
      <c r="AZ864" t="s">
        <v>74</v>
      </c>
      <c r="BA864" t="s">
        <v>74</v>
      </c>
      <c r="BB864">
        <v>381</v>
      </c>
      <c r="BC864">
        <v>402</v>
      </c>
      <c r="BD864" t="s">
        <v>74</v>
      </c>
      <c r="BE864" t="s">
        <v>16639</v>
      </c>
      <c r="BF864" t="str">
        <f>HYPERLINK("http://dx.doi.org/10.1175/BAMS-D-16-0206.1","http://dx.doi.org/10.1175/BAMS-D-16-0206.1")</f>
        <v>http://dx.doi.org/10.1175/BAMS-D-16-0206.1</v>
      </c>
      <c r="BG864" t="s">
        <v>74</v>
      </c>
      <c r="BH864" t="s">
        <v>74</v>
      </c>
      <c r="BI864">
        <v>22</v>
      </c>
      <c r="BJ864" t="s">
        <v>131</v>
      </c>
      <c r="BK864" t="s">
        <v>101</v>
      </c>
      <c r="BL864" t="s">
        <v>131</v>
      </c>
      <c r="BM864" t="s">
        <v>16640</v>
      </c>
      <c r="BN864" t="s">
        <v>74</v>
      </c>
      <c r="BO864" t="s">
        <v>980</v>
      </c>
      <c r="BP864" t="s">
        <v>74</v>
      </c>
      <c r="BQ864" t="s">
        <v>74</v>
      </c>
      <c r="BR864" t="s">
        <v>105</v>
      </c>
      <c r="BS864" t="s">
        <v>16641</v>
      </c>
      <c r="BT864" t="str">
        <f>HYPERLINK("https%3A%2F%2Fwww.webofscience.com%2Fwos%2Fwoscc%2Ffull-record%2FWOS:000426486800011","View Full Record in Web of Science")</f>
        <v>View Full Record in Web of Science</v>
      </c>
    </row>
    <row r="865" spans="1:72" x14ac:dyDescent="0.15">
      <c r="A865" t="s">
        <v>72</v>
      </c>
      <c r="B865" t="s">
        <v>16642</v>
      </c>
      <c r="C865" t="s">
        <v>74</v>
      </c>
      <c r="D865" t="s">
        <v>74</v>
      </c>
      <c r="E865" t="s">
        <v>74</v>
      </c>
      <c r="F865" t="s">
        <v>16643</v>
      </c>
      <c r="G865" t="s">
        <v>74</v>
      </c>
      <c r="H865" t="s">
        <v>74</v>
      </c>
      <c r="I865" t="s">
        <v>16644</v>
      </c>
      <c r="J865" t="s">
        <v>16645</v>
      </c>
      <c r="K865" t="s">
        <v>74</v>
      </c>
      <c r="L865" t="s">
        <v>74</v>
      </c>
      <c r="M865" t="s">
        <v>78</v>
      </c>
      <c r="N865" t="s">
        <v>79</v>
      </c>
      <c r="O865" t="s">
        <v>74</v>
      </c>
      <c r="P865" t="s">
        <v>74</v>
      </c>
      <c r="Q865" t="s">
        <v>74</v>
      </c>
      <c r="R865" t="s">
        <v>74</v>
      </c>
      <c r="S865" t="s">
        <v>74</v>
      </c>
      <c r="T865" t="s">
        <v>16646</v>
      </c>
      <c r="U865" t="s">
        <v>16647</v>
      </c>
      <c r="V865" t="s">
        <v>16648</v>
      </c>
      <c r="W865" t="s">
        <v>16649</v>
      </c>
      <c r="X865" t="s">
        <v>16650</v>
      </c>
      <c r="Y865" t="s">
        <v>16651</v>
      </c>
      <c r="Z865" t="s">
        <v>16652</v>
      </c>
      <c r="AA865" t="s">
        <v>74</v>
      </c>
      <c r="AB865" t="s">
        <v>74</v>
      </c>
      <c r="AC865" t="s">
        <v>74</v>
      </c>
      <c r="AD865" t="s">
        <v>74</v>
      </c>
      <c r="AE865" t="s">
        <v>74</v>
      </c>
      <c r="AF865" t="s">
        <v>74</v>
      </c>
      <c r="AG865">
        <v>89</v>
      </c>
      <c r="AH865">
        <v>8</v>
      </c>
      <c r="AI865">
        <v>8</v>
      </c>
      <c r="AJ865">
        <v>2</v>
      </c>
      <c r="AK865">
        <v>29</v>
      </c>
      <c r="AL865" t="s">
        <v>914</v>
      </c>
      <c r="AM865" t="s">
        <v>452</v>
      </c>
      <c r="AN865" t="s">
        <v>915</v>
      </c>
      <c r="AO865" t="s">
        <v>16653</v>
      </c>
      <c r="AP865" t="s">
        <v>74</v>
      </c>
      <c r="AQ865" t="s">
        <v>74</v>
      </c>
      <c r="AR865" t="s">
        <v>16654</v>
      </c>
      <c r="AS865" t="s">
        <v>16655</v>
      </c>
      <c r="AT865" t="s">
        <v>16620</v>
      </c>
      <c r="AU865">
        <v>2018</v>
      </c>
      <c r="AV865">
        <v>29</v>
      </c>
      <c r="AW865" t="s">
        <v>74</v>
      </c>
      <c r="AX865" t="s">
        <v>7986</v>
      </c>
      <c r="AY865" t="s">
        <v>74</v>
      </c>
      <c r="AZ865" t="s">
        <v>74</v>
      </c>
      <c r="BA865" t="s">
        <v>74</v>
      </c>
      <c r="BB865">
        <v>381</v>
      </c>
      <c r="BC865">
        <v>394</v>
      </c>
      <c r="BD865" t="s">
        <v>74</v>
      </c>
      <c r="BE865" t="s">
        <v>16656</v>
      </c>
      <c r="BF865" t="str">
        <f>HYPERLINK("http://dx.doi.org/10.1016/j.ecoser.2017.10.015","http://dx.doi.org/10.1016/j.ecoser.2017.10.015")</f>
        <v>http://dx.doi.org/10.1016/j.ecoser.2017.10.015</v>
      </c>
      <c r="BG865" t="s">
        <v>74</v>
      </c>
      <c r="BH865" t="s">
        <v>74</v>
      </c>
      <c r="BI865">
        <v>14</v>
      </c>
      <c r="BJ865" t="s">
        <v>16657</v>
      </c>
      <c r="BK865" t="s">
        <v>484</v>
      </c>
      <c r="BL865" t="s">
        <v>315</v>
      </c>
      <c r="BM865" t="s">
        <v>16658</v>
      </c>
      <c r="BN865" t="s">
        <v>74</v>
      </c>
      <c r="BO865" t="s">
        <v>74</v>
      </c>
      <c r="BP865" t="s">
        <v>74</v>
      </c>
      <c r="BQ865" t="s">
        <v>74</v>
      </c>
      <c r="BR865" t="s">
        <v>105</v>
      </c>
      <c r="BS865" t="s">
        <v>16659</v>
      </c>
      <c r="BT865" t="str">
        <f>HYPERLINK("https%3A%2F%2Fwww.webofscience.com%2Fwos%2Fwoscc%2Ffull-record%2FWOS:000428532000020","View Full Record in Web of Science")</f>
        <v>View Full Record in Web of Science</v>
      </c>
    </row>
    <row r="866" spans="1:72" x14ac:dyDescent="0.15">
      <c r="A866" t="s">
        <v>72</v>
      </c>
      <c r="B866" t="s">
        <v>16660</v>
      </c>
      <c r="C866" t="s">
        <v>74</v>
      </c>
      <c r="D866" t="s">
        <v>74</v>
      </c>
      <c r="E866" t="s">
        <v>74</v>
      </c>
      <c r="F866" t="s">
        <v>16661</v>
      </c>
      <c r="G866" t="s">
        <v>74</v>
      </c>
      <c r="H866" t="s">
        <v>74</v>
      </c>
      <c r="I866" t="s">
        <v>16662</v>
      </c>
      <c r="J866" t="s">
        <v>167</v>
      </c>
      <c r="K866" t="s">
        <v>74</v>
      </c>
      <c r="L866" t="s">
        <v>74</v>
      </c>
      <c r="M866" t="s">
        <v>78</v>
      </c>
      <c r="N866" t="s">
        <v>79</v>
      </c>
      <c r="O866" t="s">
        <v>74</v>
      </c>
      <c r="P866" t="s">
        <v>74</v>
      </c>
      <c r="Q866" t="s">
        <v>74</v>
      </c>
      <c r="R866" t="s">
        <v>74</v>
      </c>
      <c r="S866" t="s">
        <v>74</v>
      </c>
      <c r="T866" t="s">
        <v>74</v>
      </c>
      <c r="U866" t="s">
        <v>16663</v>
      </c>
      <c r="V866" t="s">
        <v>16664</v>
      </c>
      <c r="W866" t="s">
        <v>16665</v>
      </c>
      <c r="X866" t="s">
        <v>16666</v>
      </c>
      <c r="Y866" t="s">
        <v>16667</v>
      </c>
      <c r="Z866" t="s">
        <v>16668</v>
      </c>
      <c r="AA866" t="s">
        <v>16669</v>
      </c>
      <c r="AB866" t="s">
        <v>16670</v>
      </c>
      <c r="AC866" t="s">
        <v>16671</v>
      </c>
      <c r="AD866" t="s">
        <v>16672</v>
      </c>
      <c r="AE866" t="s">
        <v>16673</v>
      </c>
      <c r="AF866" t="s">
        <v>74</v>
      </c>
      <c r="AG866">
        <v>21</v>
      </c>
      <c r="AH866">
        <v>16</v>
      </c>
      <c r="AI866">
        <v>16</v>
      </c>
      <c r="AJ866">
        <v>1</v>
      </c>
      <c r="AK866">
        <v>12</v>
      </c>
      <c r="AL866" t="s">
        <v>179</v>
      </c>
      <c r="AM866" t="s">
        <v>180</v>
      </c>
      <c r="AN866" t="s">
        <v>181</v>
      </c>
      <c r="AO866" t="s">
        <v>182</v>
      </c>
      <c r="AP866" t="s">
        <v>74</v>
      </c>
      <c r="AQ866" t="s">
        <v>74</v>
      </c>
      <c r="AR866" t="s">
        <v>183</v>
      </c>
      <c r="AS866" t="s">
        <v>184</v>
      </c>
      <c r="AT866" t="s">
        <v>16620</v>
      </c>
      <c r="AU866">
        <v>2018</v>
      </c>
      <c r="AV866">
        <v>10</v>
      </c>
      <c r="AW866">
        <v>1</v>
      </c>
      <c r="AX866" t="s">
        <v>74</v>
      </c>
      <c r="AY866" t="s">
        <v>74</v>
      </c>
      <c r="AZ866" t="s">
        <v>74</v>
      </c>
      <c r="BA866" t="s">
        <v>74</v>
      </c>
      <c r="BB866">
        <v>75</v>
      </c>
      <c r="BC866">
        <v>79</v>
      </c>
      <c r="BD866" t="s">
        <v>74</v>
      </c>
      <c r="BE866" t="s">
        <v>16674</v>
      </c>
      <c r="BF866" t="str">
        <f>HYPERLINK("http://dx.doi.org/10.1111/1758-2229.12608","http://dx.doi.org/10.1111/1758-2229.12608")</f>
        <v>http://dx.doi.org/10.1111/1758-2229.12608</v>
      </c>
      <c r="BG866" t="s">
        <v>74</v>
      </c>
      <c r="BH866" t="s">
        <v>74</v>
      </c>
      <c r="BI866">
        <v>5</v>
      </c>
      <c r="BJ866" t="s">
        <v>186</v>
      </c>
      <c r="BK866" t="s">
        <v>101</v>
      </c>
      <c r="BL866" t="s">
        <v>187</v>
      </c>
      <c r="BM866" t="s">
        <v>16675</v>
      </c>
      <c r="BN866">
        <v>29194980</v>
      </c>
      <c r="BO866" t="s">
        <v>74</v>
      </c>
      <c r="BP866" t="s">
        <v>74</v>
      </c>
      <c r="BQ866" t="s">
        <v>74</v>
      </c>
      <c r="BR866" t="s">
        <v>105</v>
      </c>
      <c r="BS866" t="s">
        <v>16676</v>
      </c>
      <c r="BT866" t="str">
        <f>HYPERLINK("https%3A%2F%2Fwww.webofscience.com%2Fwos%2Fwoscc%2Ffull-record%2FWOS:000425020700010","View Full Record in Web of Science")</f>
        <v>View Full Record in Web of Science</v>
      </c>
    </row>
    <row r="867" spans="1:72" x14ac:dyDescent="0.15">
      <c r="A867" t="s">
        <v>72</v>
      </c>
      <c r="B867" t="s">
        <v>16677</v>
      </c>
      <c r="C867" t="s">
        <v>74</v>
      </c>
      <c r="D867" t="s">
        <v>74</v>
      </c>
      <c r="E867" t="s">
        <v>74</v>
      </c>
      <c r="F867" t="s">
        <v>16678</v>
      </c>
      <c r="G867" t="s">
        <v>74</v>
      </c>
      <c r="H867" t="s">
        <v>74</v>
      </c>
      <c r="I867" t="s">
        <v>16679</v>
      </c>
      <c r="J867" t="s">
        <v>4132</v>
      </c>
      <c r="K867" t="s">
        <v>74</v>
      </c>
      <c r="L867" t="s">
        <v>74</v>
      </c>
      <c r="M867" t="s">
        <v>78</v>
      </c>
      <c r="N867" t="s">
        <v>79</v>
      </c>
      <c r="O867" t="s">
        <v>74</v>
      </c>
      <c r="P867" t="s">
        <v>74</v>
      </c>
      <c r="Q867" t="s">
        <v>74</v>
      </c>
      <c r="R867" t="s">
        <v>74</v>
      </c>
      <c r="S867" t="s">
        <v>74</v>
      </c>
      <c r="T867" t="s">
        <v>16680</v>
      </c>
      <c r="U867" t="s">
        <v>16681</v>
      </c>
      <c r="V867" t="s">
        <v>16682</v>
      </c>
      <c r="W867" t="s">
        <v>16683</v>
      </c>
      <c r="X867" t="s">
        <v>16684</v>
      </c>
      <c r="Y867" t="s">
        <v>16685</v>
      </c>
      <c r="Z867" t="s">
        <v>16686</v>
      </c>
      <c r="AA867" t="s">
        <v>16687</v>
      </c>
      <c r="AB867" t="s">
        <v>16688</v>
      </c>
      <c r="AC867" t="s">
        <v>16689</v>
      </c>
      <c r="AD867" t="s">
        <v>16690</v>
      </c>
      <c r="AE867" t="s">
        <v>16691</v>
      </c>
      <c r="AF867" t="s">
        <v>74</v>
      </c>
      <c r="AG867">
        <v>115</v>
      </c>
      <c r="AH867">
        <v>23</v>
      </c>
      <c r="AI867">
        <v>29</v>
      </c>
      <c r="AJ867">
        <v>3</v>
      </c>
      <c r="AK867">
        <v>20</v>
      </c>
      <c r="AL867" t="s">
        <v>574</v>
      </c>
      <c r="AM867" t="s">
        <v>575</v>
      </c>
      <c r="AN867" t="s">
        <v>576</v>
      </c>
      <c r="AO867" t="s">
        <v>4144</v>
      </c>
      <c r="AP867" t="s">
        <v>74</v>
      </c>
      <c r="AQ867" t="s">
        <v>74</v>
      </c>
      <c r="AR867" t="s">
        <v>4145</v>
      </c>
      <c r="AS867" t="s">
        <v>4146</v>
      </c>
      <c r="AT867" t="s">
        <v>16620</v>
      </c>
      <c r="AU867">
        <v>2018</v>
      </c>
      <c r="AV867">
        <v>19</v>
      </c>
      <c r="AW867">
        <v>2</v>
      </c>
      <c r="AX867" t="s">
        <v>74</v>
      </c>
      <c r="AY867" t="s">
        <v>74</v>
      </c>
      <c r="AZ867" t="s">
        <v>74</v>
      </c>
      <c r="BA867" t="s">
        <v>74</v>
      </c>
      <c r="BB867">
        <v>379</v>
      </c>
      <c r="BC867">
        <v>395</v>
      </c>
      <c r="BD867" t="s">
        <v>74</v>
      </c>
      <c r="BE867" t="s">
        <v>16692</v>
      </c>
      <c r="BF867" t="str">
        <f>HYPERLINK("http://dx.doi.org/10.1002/2017GC007250","http://dx.doi.org/10.1002/2017GC007250")</f>
        <v>http://dx.doi.org/10.1002/2017GC007250</v>
      </c>
      <c r="BG867" t="s">
        <v>74</v>
      </c>
      <c r="BH867" t="s">
        <v>74</v>
      </c>
      <c r="BI867">
        <v>17</v>
      </c>
      <c r="BJ867" t="s">
        <v>260</v>
      </c>
      <c r="BK867" t="s">
        <v>101</v>
      </c>
      <c r="BL867" t="s">
        <v>260</v>
      </c>
      <c r="BM867" t="s">
        <v>16693</v>
      </c>
      <c r="BN867" t="s">
        <v>74</v>
      </c>
      <c r="BO867" t="s">
        <v>2416</v>
      </c>
      <c r="BP867" t="s">
        <v>74</v>
      </c>
      <c r="BQ867" t="s">
        <v>74</v>
      </c>
      <c r="BR867" t="s">
        <v>105</v>
      </c>
      <c r="BS867" t="s">
        <v>16694</v>
      </c>
      <c r="BT867" t="str">
        <f>HYPERLINK("https%3A%2F%2Fwww.webofscience.com%2Fwos%2Fwoscc%2Ffull-record%2FWOS:000428401300004","View Full Record in Web of Science")</f>
        <v>View Full Record in Web of Science</v>
      </c>
    </row>
    <row r="868" spans="1:72" x14ac:dyDescent="0.15">
      <c r="A868" t="s">
        <v>72</v>
      </c>
      <c r="B868" t="s">
        <v>16695</v>
      </c>
      <c r="C868" t="s">
        <v>74</v>
      </c>
      <c r="D868" t="s">
        <v>74</v>
      </c>
      <c r="E868" t="s">
        <v>74</v>
      </c>
      <c r="F868" t="s">
        <v>16696</v>
      </c>
      <c r="G868" t="s">
        <v>74</v>
      </c>
      <c r="H868" t="s">
        <v>74</v>
      </c>
      <c r="I868" t="s">
        <v>16697</v>
      </c>
      <c r="J868" t="s">
        <v>1297</v>
      </c>
      <c r="K868" t="s">
        <v>74</v>
      </c>
      <c r="L868" t="s">
        <v>74</v>
      </c>
      <c r="M868" t="s">
        <v>78</v>
      </c>
      <c r="N868" t="s">
        <v>79</v>
      </c>
      <c r="O868" t="s">
        <v>74</v>
      </c>
      <c r="P868" t="s">
        <v>74</v>
      </c>
      <c r="Q868" t="s">
        <v>74</v>
      </c>
      <c r="R868" t="s">
        <v>74</v>
      </c>
      <c r="S868" t="s">
        <v>74</v>
      </c>
      <c r="T868" t="s">
        <v>16698</v>
      </c>
      <c r="U868" t="s">
        <v>16699</v>
      </c>
      <c r="V868" t="s">
        <v>16700</v>
      </c>
      <c r="W868" t="s">
        <v>16701</v>
      </c>
      <c r="X868" t="s">
        <v>10991</v>
      </c>
      <c r="Y868" t="s">
        <v>10992</v>
      </c>
      <c r="Z868" t="s">
        <v>16702</v>
      </c>
      <c r="AA868" t="s">
        <v>10994</v>
      </c>
      <c r="AB868" t="s">
        <v>16703</v>
      </c>
      <c r="AC868" t="s">
        <v>16704</v>
      </c>
      <c r="AD868" t="s">
        <v>16705</v>
      </c>
      <c r="AE868" t="s">
        <v>16706</v>
      </c>
      <c r="AF868" t="s">
        <v>74</v>
      </c>
      <c r="AG868">
        <v>124</v>
      </c>
      <c r="AH868">
        <v>33</v>
      </c>
      <c r="AI868">
        <v>36</v>
      </c>
      <c r="AJ868">
        <v>5</v>
      </c>
      <c r="AK868">
        <v>60</v>
      </c>
      <c r="AL868" t="s">
        <v>277</v>
      </c>
      <c r="AM868" t="s">
        <v>278</v>
      </c>
      <c r="AN868" t="s">
        <v>279</v>
      </c>
      <c r="AO868" t="s">
        <v>1310</v>
      </c>
      <c r="AP868" t="s">
        <v>1311</v>
      </c>
      <c r="AQ868" t="s">
        <v>74</v>
      </c>
      <c r="AR868" t="s">
        <v>1312</v>
      </c>
      <c r="AS868" t="s">
        <v>1313</v>
      </c>
      <c r="AT868" t="s">
        <v>16707</v>
      </c>
      <c r="AU868">
        <v>2018</v>
      </c>
      <c r="AV868">
        <v>222</v>
      </c>
      <c r="AW868" t="s">
        <v>74</v>
      </c>
      <c r="AX868" t="s">
        <v>74</v>
      </c>
      <c r="AY868" t="s">
        <v>74</v>
      </c>
      <c r="AZ868" t="s">
        <v>74</v>
      </c>
      <c r="BA868" t="s">
        <v>74</v>
      </c>
      <c r="BB868">
        <v>508</v>
      </c>
      <c r="BC868">
        <v>534</v>
      </c>
      <c r="BD868" t="s">
        <v>74</v>
      </c>
      <c r="BE868" t="s">
        <v>16708</v>
      </c>
      <c r="BF868" t="str">
        <f>HYPERLINK("http://dx.doi.org/10.1016/j.gca.2017.11.008","http://dx.doi.org/10.1016/j.gca.2017.11.008")</f>
        <v>http://dx.doi.org/10.1016/j.gca.2017.11.008</v>
      </c>
      <c r="BG868" t="s">
        <v>74</v>
      </c>
      <c r="BH868" t="s">
        <v>74</v>
      </c>
      <c r="BI868">
        <v>27</v>
      </c>
      <c r="BJ868" t="s">
        <v>260</v>
      </c>
      <c r="BK868" t="s">
        <v>101</v>
      </c>
      <c r="BL868" t="s">
        <v>260</v>
      </c>
      <c r="BM868" t="s">
        <v>16709</v>
      </c>
      <c r="BN868" t="s">
        <v>74</v>
      </c>
      <c r="BO868" t="s">
        <v>74</v>
      </c>
      <c r="BP868" t="s">
        <v>74</v>
      </c>
      <c r="BQ868" t="s">
        <v>74</v>
      </c>
      <c r="BR868" t="s">
        <v>105</v>
      </c>
      <c r="BS868" t="s">
        <v>16710</v>
      </c>
      <c r="BT868" t="str">
        <f>HYPERLINK("https%3A%2F%2Fwww.webofscience.com%2Fwos%2Fwoscc%2Ffull-record%2FWOS:000424972200029","View Full Record in Web of Science")</f>
        <v>View Full Record in Web of Science</v>
      </c>
    </row>
    <row r="869" spans="1:72" x14ac:dyDescent="0.15">
      <c r="A869" t="s">
        <v>72</v>
      </c>
      <c r="B869" t="s">
        <v>16711</v>
      </c>
      <c r="C869" t="s">
        <v>74</v>
      </c>
      <c r="D869" t="s">
        <v>74</v>
      </c>
      <c r="E869" t="s">
        <v>74</v>
      </c>
      <c r="F869" t="s">
        <v>16712</v>
      </c>
      <c r="G869" t="s">
        <v>74</v>
      </c>
      <c r="H869" t="s">
        <v>74</v>
      </c>
      <c r="I869" t="s">
        <v>16713</v>
      </c>
      <c r="J869" t="s">
        <v>516</v>
      </c>
      <c r="K869" t="s">
        <v>74</v>
      </c>
      <c r="L869" t="s">
        <v>74</v>
      </c>
      <c r="M869" t="s">
        <v>78</v>
      </c>
      <c r="N869" t="s">
        <v>466</v>
      </c>
      <c r="O869" t="s">
        <v>74</v>
      </c>
      <c r="P869" t="s">
        <v>74</v>
      </c>
      <c r="Q869" t="s">
        <v>74</v>
      </c>
      <c r="R869" t="s">
        <v>74</v>
      </c>
      <c r="S869" t="s">
        <v>74</v>
      </c>
      <c r="T869" t="s">
        <v>16714</v>
      </c>
      <c r="U869" t="s">
        <v>16715</v>
      </c>
      <c r="V869" t="s">
        <v>16716</v>
      </c>
      <c r="W869" t="s">
        <v>16717</v>
      </c>
      <c r="X869" t="s">
        <v>16718</v>
      </c>
      <c r="Y869" t="s">
        <v>16719</v>
      </c>
      <c r="Z869" t="s">
        <v>16720</v>
      </c>
      <c r="AA869" t="s">
        <v>16721</v>
      </c>
      <c r="AB869" t="s">
        <v>16722</v>
      </c>
      <c r="AC869" t="s">
        <v>16723</v>
      </c>
      <c r="AD869" t="s">
        <v>16724</v>
      </c>
      <c r="AE869" t="s">
        <v>16725</v>
      </c>
      <c r="AF869" t="s">
        <v>74</v>
      </c>
      <c r="AG869">
        <v>162</v>
      </c>
      <c r="AH869">
        <v>37</v>
      </c>
      <c r="AI869">
        <v>39</v>
      </c>
      <c r="AJ869">
        <v>7</v>
      </c>
      <c r="AK869">
        <v>90</v>
      </c>
      <c r="AL869" t="s">
        <v>179</v>
      </c>
      <c r="AM869" t="s">
        <v>180</v>
      </c>
      <c r="AN869" t="s">
        <v>181</v>
      </c>
      <c r="AO869" t="s">
        <v>529</v>
      </c>
      <c r="AP869" t="s">
        <v>530</v>
      </c>
      <c r="AQ869" t="s">
        <v>74</v>
      </c>
      <c r="AR869" t="s">
        <v>531</v>
      </c>
      <c r="AS869" t="s">
        <v>532</v>
      </c>
      <c r="AT869" t="s">
        <v>16620</v>
      </c>
      <c r="AU869">
        <v>2018</v>
      </c>
      <c r="AV869">
        <v>24</v>
      </c>
      <c r="AW869">
        <v>2</v>
      </c>
      <c r="AX869" t="s">
        <v>74</v>
      </c>
      <c r="AY869" t="s">
        <v>74</v>
      </c>
      <c r="AZ869" t="s">
        <v>74</v>
      </c>
      <c r="BA869" t="s">
        <v>74</v>
      </c>
      <c r="BB869">
        <v>580</v>
      </c>
      <c r="BC869">
        <v>596</v>
      </c>
      <c r="BD869" t="s">
        <v>74</v>
      </c>
      <c r="BE869" t="s">
        <v>16726</v>
      </c>
      <c r="BF869" t="str">
        <f>HYPERLINK("http://dx.doi.org/10.1111/gcb.13873","http://dx.doi.org/10.1111/gcb.13873")</f>
        <v>http://dx.doi.org/10.1111/gcb.13873</v>
      </c>
      <c r="BG869" t="s">
        <v>74</v>
      </c>
      <c r="BH869" t="s">
        <v>74</v>
      </c>
      <c r="BI869">
        <v>17</v>
      </c>
      <c r="BJ869" t="s">
        <v>534</v>
      </c>
      <c r="BK869" t="s">
        <v>484</v>
      </c>
      <c r="BL869" t="s">
        <v>102</v>
      </c>
      <c r="BM869" t="s">
        <v>16727</v>
      </c>
      <c r="BN869">
        <v>28833818</v>
      </c>
      <c r="BO869" t="s">
        <v>1111</v>
      </c>
      <c r="BP869" t="s">
        <v>74</v>
      </c>
      <c r="BQ869" t="s">
        <v>74</v>
      </c>
      <c r="BR869" t="s">
        <v>105</v>
      </c>
      <c r="BS869" t="s">
        <v>16728</v>
      </c>
      <c r="BT869" t="str">
        <f>HYPERLINK("https%3A%2F%2Fwww.webofscience.com%2Fwos%2Fwoscc%2Ffull-record%2FWOS:000423994700032","View Full Record in Web of Science")</f>
        <v>View Full Record in Web of Science</v>
      </c>
    </row>
    <row r="870" spans="1:72" x14ac:dyDescent="0.15">
      <c r="A870" t="s">
        <v>72</v>
      </c>
      <c r="B870" t="s">
        <v>16729</v>
      </c>
      <c r="C870" t="s">
        <v>74</v>
      </c>
      <c r="D870" t="s">
        <v>74</v>
      </c>
      <c r="E870" t="s">
        <v>74</v>
      </c>
      <c r="F870" t="s">
        <v>16730</v>
      </c>
      <c r="G870" t="s">
        <v>74</v>
      </c>
      <c r="H870" t="s">
        <v>74</v>
      </c>
      <c r="I870" t="s">
        <v>16731</v>
      </c>
      <c r="J870" t="s">
        <v>16732</v>
      </c>
      <c r="K870" t="s">
        <v>74</v>
      </c>
      <c r="L870" t="s">
        <v>74</v>
      </c>
      <c r="M870" t="s">
        <v>78</v>
      </c>
      <c r="N870" t="s">
        <v>79</v>
      </c>
      <c r="O870" t="s">
        <v>74</v>
      </c>
      <c r="P870" t="s">
        <v>74</v>
      </c>
      <c r="Q870" t="s">
        <v>74</v>
      </c>
      <c r="R870" t="s">
        <v>74</v>
      </c>
      <c r="S870" t="s">
        <v>74</v>
      </c>
      <c r="T870" t="s">
        <v>16733</v>
      </c>
      <c r="U870" t="s">
        <v>16734</v>
      </c>
      <c r="V870" t="s">
        <v>16735</v>
      </c>
      <c r="W870" t="s">
        <v>16736</v>
      </c>
      <c r="X870" t="s">
        <v>16737</v>
      </c>
      <c r="Y870" t="s">
        <v>16738</v>
      </c>
      <c r="Z870" t="s">
        <v>16739</v>
      </c>
      <c r="AA870" t="s">
        <v>16740</v>
      </c>
      <c r="AB870" t="s">
        <v>16741</v>
      </c>
      <c r="AC870" t="s">
        <v>16742</v>
      </c>
      <c r="AD870" t="s">
        <v>16743</v>
      </c>
      <c r="AE870" t="s">
        <v>16744</v>
      </c>
      <c r="AF870" t="s">
        <v>74</v>
      </c>
      <c r="AG870">
        <v>30</v>
      </c>
      <c r="AH870">
        <v>19</v>
      </c>
      <c r="AI870">
        <v>20</v>
      </c>
      <c r="AJ870">
        <v>1</v>
      </c>
      <c r="AK870">
        <v>27</v>
      </c>
      <c r="AL870" t="s">
        <v>451</v>
      </c>
      <c r="AM870" t="s">
        <v>452</v>
      </c>
      <c r="AN870" t="s">
        <v>453</v>
      </c>
      <c r="AO870" t="s">
        <v>16745</v>
      </c>
      <c r="AP870" t="s">
        <v>16746</v>
      </c>
      <c r="AQ870" t="s">
        <v>74</v>
      </c>
      <c r="AR870" t="s">
        <v>16747</v>
      </c>
      <c r="AS870" t="s">
        <v>16748</v>
      </c>
      <c r="AT870" t="s">
        <v>16620</v>
      </c>
      <c r="AU870">
        <v>2018</v>
      </c>
      <c r="AV870">
        <v>136</v>
      </c>
      <c r="AW870" t="s">
        <v>74</v>
      </c>
      <c r="AX870" t="s">
        <v>74</v>
      </c>
      <c r="AY870" t="s">
        <v>74</v>
      </c>
      <c r="AZ870" t="s">
        <v>74</v>
      </c>
      <c r="BA870" t="s">
        <v>74</v>
      </c>
      <c r="BB870">
        <v>120</v>
      </c>
      <c r="BC870">
        <v>133</v>
      </c>
      <c r="BD870" t="s">
        <v>74</v>
      </c>
      <c r="BE870" t="s">
        <v>16749</v>
      </c>
      <c r="BF870" t="str">
        <f>HYPERLINK("http://dx.doi.org/10.1016/j.isprsjprs.2017.12.008","http://dx.doi.org/10.1016/j.isprsjprs.2017.12.008")</f>
        <v>http://dx.doi.org/10.1016/j.isprsjprs.2017.12.008</v>
      </c>
      <c r="BG870" t="s">
        <v>74</v>
      </c>
      <c r="BH870" t="s">
        <v>74</v>
      </c>
      <c r="BI870">
        <v>14</v>
      </c>
      <c r="BJ870" t="s">
        <v>16750</v>
      </c>
      <c r="BK870" t="s">
        <v>101</v>
      </c>
      <c r="BL870" t="s">
        <v>16751</v>
      </c>
      <c r="BM870" t="s">
        <v>16752</v>
      </c>
      <c r="BN870" t="s">
        <v>74</v>
      </c>
      <c r="BO870" t="s">
        <v>341</v>
      </c>
      <c r="BP870" t="s">
        <v>74</v>
      </c>
      <c r="BQ870" t="s">
        <v>74</v>
      </c>
      <c r="BR870" t="s">
        <v>105</v>
      </c>
      <c r="BS870" t="s">
        <v>16753</v>
      </c>
      <c r="BT870" t="str">
        <f>HYPERLINK("https%3A%2F%2Fwww.webofscience.com%2Fwos%2Fwoscc%2Ffull-record%2FWOS:000425079200009","View Full Record in Web of Science")</f>
        <v>View Full Record in Web of Science</v>
      </c>
    </row>
    <row r="871" spans="1:72" x14ac:dyDescent="0.15">
      <c r="A871" t="s">
        <v>72</v>
      </c>
      <c r="B871" t="s">
        <v>16754</v>
      </c>
      <c r="C871" t="s">
        <v>74</v>
      </c>
      <c r="D871" t="s">
        <v>74</v>
      </c>
      <c r="E871" t="s">
        <v>74</v>
      </c>
      <c r="F871" t="s">
        <v>16755</v>
      </c>
      <c r="G871" t="s">
        <v>74</v>
      </c>
      <c r="H871" t="s">
        <v>74</v>
      </c>
      <c r="I871" t="s">
        <v>16756</v>
      </c>
      <c r="J871" t="s">
        <v>16757</v>
      </c>
      <c r="K871" t="s">
        <v>74</v>
      </c>
      <c r="L871" t="s">
        <v>74</v>
      </c>
      <c r="M871" t="s">
        <v>78</v>
      </c>
      <c r="N871" t="s">
        <v>1427</v>
      </c>
      <c r="O871" t="s">
        <v>16758</v>
      </c>
      <c r="P871" t="s">
        <v>16759</v>
      </c>
      <c r="Q871" t="s">
        <v>16760</v>
      </c>
      <c r="R871" t="s">
        <v>74</v>
      </c>
      <c r="S871" t="s">
        <v>74</v>
      </c>
      <c r="T871" t="s">
        <v>16761</v>
      </c>
      <c r="U871" t="s">
        <v>16762</v>
      </c>
      <c r="V871" t="s">
        <v>16763</v>
      </c>
      <c r="W871" t="s">
        <v>16764</v>
      </c>
      <c r="X871" t="s">
        <v>16765</v>
      </c>
      <c r="Y871" t="s">
        <v>16766</v>
      </c>
      <c r="Z871" t="s">
        <v>16767</v>
      </c>
      <c r="AA871" t="s">
        <v>16768</v>
      </c>
      <c r="AB871" t="s">
        <v>16769</v>
      </c>
      <c r="AC871" t="s">
        <v>16770</v>
      </c>
      <c r="AD871" t="s">
        <v>16771</v>
      </c>
      <c r="AE871" t="s">
        <v>16772</v>
      </c>
      <c r="AF871" t="s">
        <v>74</v>
      </c>
      <c r="AG871">
        <v>95</v>
      </c>
      <c r="AH871">
        <v>28</v>
      </c>
      <c r="AI871">
        <v>30</v>
      </c>
      <c r="AJ871">
        <v>5</v>
      </c>
      <c r="AK871">
        <v>59</v>
      </c>
      <c r="AL871" t="s">
        <v>91</v>
      </c>
      <c r="AM871" t="s">
        <v>1468</v>
      </c>
      <c r="AN871" t="s">
        <v>1469</v>
      </c>
      <c r="AO871" t="s">
        <v>16773</v>
      </c>
      <c r="AP871" t="s">
        <v>16774</v>
      </c>
      <c r="AQ871" t="s">
        <v>74</v>
      </c>
      <c r="AR871" t="s">
        <v>16775</v>
      </c>
      <c r="AS871" t="s">
        <v>16776</v>
      </c>
      <c r="AT871" t="s">
        <v>16620</v>
      </c>
      <c r="AU871">
        <v>2018</v>
      </c>
      <c r="AV871">
        <v>30</v>
      </c>
      <c r="AW871">
        <v>1</v>
      </c>
      <c r="AX871" t="s">
        <v>74</v>
      </c>
      <c r="AY871" t="s">
        <v>74</v>
      </c>
      <c r="AZ871" t="s">
        <v>74</v>
      </c>
      <c r="BA871" t="s">
        <v>74</v>
      </c>
      <c r="BB871">
        <v>1</v>
      </c>
      <c r="BC871">
        <v>13</v>
      </c>
      <c r="BD871" t="s">
        <v>74</v>
      </c>
      <c r="BE871" t="s">
        <v>16777</v>
      </c>
      <c r="BF871" t="str">
        <f>HYPERLINK("http://dx.doi.org/10.1007/s10811-017-1198-z","http://dx.doi.org/10.1007/s10811-017-1198-z")</f>
        <v>http://dx.doi.org/10.1007/s10811-017-1198-z</v>
      </c>
      <c r="BG871" t="s">
        <v>74</v>
      </c>
      <c r="BH871" t="s">
        <v>74</v>
      </c>
      <c r="BI871">
        <v>13</v>
      </c>
      <c r="BJ871" t="s">
        <v>16778</v>
      </c>
      <c r="BK871" t="s">
        <v>1449</v>
      </c>
      <c r="BL871" t="s">
        <v>16778</v>
      </c>
      <c r="BM871" t="s">
        <v>16779</v>
      </c>
      <c r="BN871" t="s">
        <v>74</v>
      </c>
      <c r="BO871" t="s">
        <v>74</v>
      </c>
      <c r="BP871" t="s">
        <v>74</v>
      </c>
      <c r="BQ871" t="s">
        <v>74</v>
      </c>
      <c r="BR871" t="s">
        <v>105</v>
      </c>
      <c r="BS871" t="s">
        <v>16780</v>
      </c>
      <c r="BT871" t="str">
        <f>HYPERLINK("https%3A%2F%2Fwww.webofscience.com%2Fwos%2Fwoscc%2Ffull-record%2FWOS:000427804800001","View Full Record in Web of Science")</f>
        <v>View Full Record in Web of Science</v>
      </c>
    </row>
    <row r="872" spans="1:72" x14ac:dyDescent="0.15">
      <c r="A872" t="s">
        <v>72</v>
      </c>
      <c r="B872" t="s">
        <v>16781</v>
      </c>
      <c r="C872" t="s">
        <v>74</v>
      </c>
      <c r="D872" t="s">
        <v>74</v>
      </c>
      <c r="E872" t="s">
        <v>74</v>
      </c>
      <c r="F872" t="s">
        <v>16782</v>
      </c>
      <c r="G872" t="s">
        <v>74</v>
      </c>
      <c r="H872" t="s">
        <v>74</v>
      </c>
      <c r="I872" t="s">
        <v>16783</v>
      </c>
      <c r="J872" t="s">
        <v>16757</v>
      </c>
      <c r="K872" t="s">
        <v>74</v>
      </c>
      <c r="L872" t="s">
        <v>74</v>
      </c>
      <c r="M872" t="s">
        <v>78</v>
      </c>
      <c r="N872" t="s">
        <v>1427</v>
      </c>
      <c r="O872" t="s">
        <v>16758</v>
      </c>
      <c r="P872" t="s">
        <v>16759</v>
      </c>
      <c r="Q872" t="s">
        <v>16760</v>
      </c>
      <c r="R872" t="s">
        <v>74</v>
      </c>
      <c r="S872" t="s">
        <v>74</v>
      </c>
      <c r="T872" t="s">
        <v>16784</v>
      </c>
      <c r="U872" t="s">
        <v>16785</v>
      </c>
      <c r="V872" t="s">
        <v>16786</v>
      </c>
      <c r="W872" t="s">
        <v>16787</v>
      </c>
      <c r="X872" t="s">
        <v>16788</v>
      </c>
      <c r="Y872" t="s">
        <v>16789</v>
      </c>
      <c r="Z872" t="s">
        <v>16790</v>
      </c>
      <c r="AA872" t="s">
        <v>16791</v>
      </c>
      <c r="AB872" t="s">
        <v>16792</v>
      </c>
      <c r="AC872" t="s">
        <v>16793</v>
      </c>
      <c r="AD872" t="s">
        <v>16794</v>
      </c>
      <c r="AE872" t="s">
        <v>16795</v>
      </c>
      <c r="AF872" t="s">
        <v>74</v>
      </c>
      <c r="AG872">
        <v>89</v>
      </c>
      <c r="AH872">
        <v>25</v>
      </c>
      <c r="AI872">
        <v>26</v>
      </c>
      <c r="AJ872">
        <v>4</v>
      </c>
      <c r="AK872">
        <v>58</v>
      </c>
      <c r="AL872" t="s">
        <v>91</v>
      </c>
      <c r="AM872" t="s">
        <v>1468</v>
      </c>
      <c r="AN872" t="s">
        <v>1469</v>
      </c>
      <c r="AO872" t="s">
        <v>16773</v>
      </c>
      <c r="AP872" t="s">
        <v>16774</v>
      </c>
      <c r="AQ872" t="s">
        <v>74</v>
      </c>
      <c r="AR872" t="s">
        <v>16775</v>
      </c>
      <c r="AS872" t="s">
        <v>16776</v>
      </c>
      <c r="AT872" t="s">
        <v>16620</v>
      </c>
      <c r="AU872">
        <v>2018</v>
      </c>
      <c r="AV872">
        <v>30</v>
      </c>
      <c r="AW872">
        <v>1</v>
      </c>
      <c r="AX872" t="s">
        <v>74</v>
      </c>
      <c r="AY872" t="s">
        <v>74</v>
      </c>
      <c r="AZ872" t="s">
        <v>74</v>
      </c>
      <c r="BA872" t="s">
        <v>74</v>
      </c>
      <c r="BB872">
        <v>87</v>
      </c>
      <c r="BC872">
        <v>99</v>
      </c>
      <c r="BD872" t="s">
        <v>74</v>
      </c>
      <c r="BE872" t="s">
        <v>16796</v>
      </c>
      <c r="BF872" t="str">
        <f>HYPERLINK("http://dx.doi.org/10.1007/s10811-017-1124-4","http://dx.doi.org/10.1007/s10811-017-1124-4")</f>
        <v>http://dx.doi.org/10.1007/s10811-017-1124-4</v>
      </c>
      <c r="BG872" t="s">
        <v>74</v>
      </c>
      <c r="BH872" t="s">
        <v>74</v>
      </c>
      <c r="BI872">
        <v>13</v>
      </c>
      <c r="BJ872" t="s">
        <v>16778</v>
      </c>
      <c r="BK872" t="s">
        <v>1449</v>
      </c>
      <c r="BL872" t="s">
        <v>16778</v>
      </c>
      <c r="BM872" t="s">
        <v>16779</v>
      </c>
      <c r="BN872" t="s">
        <v>74</v>
      </c>
      <c r="BO872" t="s">
        <v>74</v>
      </c>
      <c r="BP872" t="s">
        <v>74</v>
      </c>
      <c r="BQ872" t="s">
        <v>74</v>
      </c>
      <c r="BR872" t="s">
        <v>105</v>
      </c>
      <c r="BS872" t="s">
        <v>16797</v>
      </c>
      <c r="BT872" t="str">
        <f>HYPERLINK("https%3A%2F%2Fwww.webofscience.com%2Fwos%2Fwoscc%2Ffull-record%2FWOS:000427804800010","View Full Record in Web of Science")</f>
        <v>View Full Record in Web of Science</v>
      </c>
    </row>
    <row r="873" spans="1:72" x14ac:dyDescent="0.15">
      <c r="A873" t="s">
        <v>72</v>
      </c>
      <c r="B873" t="s">
        <v>16798</v>
      </c>
      <c r="C873" t="s">
        <v>74</v>
      </c>
      <c r="D873" t="s">
        <v>74</v>
      </c>
      <c r="E873" t="s">
        <v>74</v>
      </c>
      <c r="F873" t="s">
        <v>16799</v>
      </c>
      <c r="G873" t="s">
        <v>74</v>
      </c>
      <c r="H873" t="s">
        <v>74</v>
      </c>
      <c r="I873" t="s">
        <v>16800</v>
      </c>
      <c r="J873" t="s">
        <v>16801</v>
      </c>
      <c r="K873" t="s">
        <v>74</v>
      </c>
      <c r="L873" t="s">
        <v>74</v>
      </c>
      <c r="M873" t="s">
        <v>78</v>
      </c>
      <c r="N873" t="s">
        <v>79</v>
      </c>
      <c r="O873" t="s">
        <v>74</v>
      </c>
      <c r="P873" t="s">
        <v>74</v>
      </c>
      <c r="Q873" t="s">
        <v>74</v>
      </c>
      <c r="R873" t="s">
        <v>74</v>
      </c>
      <c r="S873" t="s">
        <v>74</v>
      </c>
      <c r="T873" t="s">
        <v>16802</v>
      </c>
      <c r="U873" t="s">
        <v>16803</v>
      </c>
      <c r="V873" t="s">
        <v>16804</v>
      </c>
      <c r="W873" t="s">
        <v>16805</v>
      </c>
      <c r="X873" t="s">
        <v>16806</v>
      </c>
      <c r="Y873" t="s">
        <v>16807</v>
      </c>
      <c r="Z873" t="s">
        <v>16808</v>
      </c>
      <c r="AA873" t="s">
        <v>16809</v>
      </c>
      <c r="AB873" t="s">
        <v>16810</v>
      </c>
      <c r="AC873" t="s">
        <v>16811</v>
      </c>
      <c r="AD873" t="s">
        <v>16812</v>
      </c>
      <c r="AE873" t="s">
        <v>16813</v>
      </c>
      <c r="AF873" t="s">
        <v>74</v>
      </c>
      <c r="AG873">
        <v>83</v>
      </c>
      <c r="AH873">
        <v>18</v>
      </c>
      <c r="AI873">
        <v>20</v>
      </c>
      <c r="AJ873">
        <v>7</v>
      </c>
      <c r="AK873">
        <v>76</v>
      </c>
      <c r="AL873" t="s">
        <v>574</v>
      </c>
      <c r="AM873" t="s">
        <v>575</v>
      </c>
      <c r="AN873" t="s">
        <v>576</v>
      </c>
      <c r="AO873" t="s">
        <v>16814</v>
      </c>
      <c r="AP873" t="s">
        <v>16815</v>
      </c>
      <c r="AQ873" t="s">
        <v>74</v>
      </c>
      <c r="AR873" t="s">
        <v>16816</v>
      </c>
      <c r="AS873" t="s">
        <v>16817</v>
      </c>
      <c r="AT873" t="s">
        <v>16620</v>
      </c>
      <c r="AU873">
        <v>2018</v>
      </c>
      <c r="AV873">
        <v>123</v>
      </c>
      <c r="AW873">
        <v>2</v>
      </c>
      <c r="AX873" t="s">
        <v>74</v>
      </c>
      <c r="AY873" t="s">
        <v>74</v>
      </c>
      <c r="AZ873" t="s">
        <v>74</v>
      </c>
      <c r="BA873" t="s">
        <v>74</v>
      </c>
      <c r="BB873">
        <v>372</v>
      </c>
      <c r="BC873">
        <v>390</v>
      </c>
      <c r="BD873" t="s">
        <v>74</v>
      </c>
      <c r="BE873" t="s">
        <v>16818</v>
      </c>
      <c r="BF873" t="str">
        <f>HYPERLINK("http://dx.doi.org/10.1002/2017JG004069","http://dx.doi.org/10.1002/2017JG004069")</f>
        <v>http://dx.doi.org/10.1002/2017JG004069</v>
      </c>
      <c r="BG873" t="s">
        <v>74</v>
      </c>
      <c r="BH873" t="s">
        <v>74</v>
      </c>
      <c r="BI873">
        <v>19</v>
      </c>
      <c r="BJ873" t="s">
        <v>11923</v>
      </c>
      <c r="BK873" t="s">
        <v>101</v>
      </c>
      <c r="BL873" t="s">
        <v>804</v>
      </c>
      <c r="BM873" t="s">
        <v>16819</v>
      </c>
      <c r="BN873" t="s">
        <v>74</v>
      </c>
      <c r="BO873" t="s">
        <v>74</v>
      </c>
      <c r="BP873" t="s">
        <v>74</v>
      </c>
      <c r="BQ873" t="s">
        <v>74</v>
      </c>
      <c r="BR873" t="s">
        <v>105</v>
      </c>
      <c r="BS873" t="s">
        <v>16820</v>
      </c>
      <c r="BT873" t="str">
        <f>HYPERLINK("https%3A%2F%2Fwww.webofscience.com%2Fwos%2Fwoscc%2Ffull-record%2FWOS:000427478500004","View Full Record in Web of Science")</f>
        <v>View Full Record in Web of Science</v>
      </c>
    </row>
    <row r="874" spans="1:72" x14ac:dyDescent="0.15">
      <c r="A874" t="s">
        <v>72</v>
      </c>
      <c r="B874" t="s">
        <v>16821</v>
      </c>
      <c r="C874" t="s">
        <v>74</v>
      </c>
      <c r="D874" t="s">
        <v>74</v>
      </c>
      <c r="E874" t="s">
        <v>74</v>
      </c>
      <c r="F874" t="s">
        <v>16822</v>
      </c>
      <c r="G874" t="s">
        <v>74</v>
      </c>
      <c r="H874" t="s">
        <v>74</v>
      </c>
      <c r="I874" t="s">
        <v>16823</v>
      </c>
      <c r="J874" t="s">
        <v>3633</v>
      </c>
      <c r="K874" t="s">
        <v>74</v>
      </c>
      <c r="L874" t="s">
        <v>74</v>
      </c>
      <c r="M874" t="s">
        <v>78</v>
      </c>
      <c r="N874" t="s">
        <v>79</v>
      </c>
      <c r="O874" t="s">
        <v>74</v>
      </c>
      <c r="P874" t="s">
        <v>74</v>
      </c>
      <c r="Q874" t="s">
        <v>74</v>
      </c>
      <c r="R874" t="s">
        <v>74</v>
      </c>
      <c r="S874" t="s">
        <v>74</v>
      </c>
      <c r="T874" t="s">
        <v>16824</v>
      </c>
      <c r="U874" t="s">
        <v>16825</v>
      </c>
      <c r="V874" t="s">
        <v>16826</v>
      </c>
      <c r="W874" t="s">
        <v>16827</v>
      </c>
      <c r="X874" t="s">
        <v>16828</v>
      </c>
      <c r="Y874" t="s">
        <v>16829</v>
      </c>
      <c r="Z874" t="s">
        <v>16830</v>
      </c>
      <c r="AA874" t="s">
        <v>16831</v>
      </c>
      <c r="AB874" t="s">
        <v>16832</v>
      </c>
      <c r="AC874" t="s">
        <v>16833</v>
      </c>
      <c r="AD874" t="s">
        <v>16834</v>
      </c>
      <c r="AE874" t="s">
        <v>16835</v>
      </c>
      <c r="AF874" t="s">
        <v>74</v>
      </c>
      <c r="AG874">
        <v>118</v>
      </c>
      <c r="AH874">
        <v>43</v>
      </c>
      <c r="AI874">
        <v>49</v>
      </c>
      <c r="AJ874">
        <v>1</v>
      </c>
      <c r="AK874">
        <v>28</v>
      </c>
      <c r="AL874" t="s">
        <v>574</v>
      </c>
      <c r="AM874" t="s">
        <v>575</v>
      </c>
      <c r="AN874" t="s">
        <v>576</v>
      </c>
      <c r="AO874" t="s">
        <v>3646</v>
      </c>
      <c r="AP874" t="s">
        <v>3647</v>
      </c>
      <c r="AQ874" t="s">
        <v>74</v>
      </c>
      <c r="AR874" t="s">
        <v>3648</v>
      </c>
      <c r="AS874" t="s">
        <v>3649</v>
      </c>
      <c r="AT874" t="s">
        <v>16620</v>
      </c>
      <c r="AU874">
        <v>2018</v>
      </c>
      <c r="AV874">
        <v>123</v>
      </c>
      <c r="AW874">
        <v>2</v>
      </c>
      <c r="AX874" t="s">
        <v>74</v>
      </c>
      <c r="AY874" t="s">
        <v>74</v>
      </c>
      <c r="AZ874" t="s">
        <v>74</v>
      </c>
      <c r="BA874" t="s">
        <v>74</v>
      </c>
      <c r="BB874">
        <v>324</v>
      </c>
      <c r="BC874">
        <v>348</v>
      </c>
      <c r="BD874" t="s">
        <v>74</v>
      </c>
      <c r="BE874" t="s">
        <v>16836</v>
      </c>
      <c r="BF874" t="str">
        <f>HYPERLINK("http://dx.doi.org/10.1002/2017JF004529","http://dx.doi.org/10.1002/2017JF004529")</f>
        <v>http://dx.doi.org/10.1002/2017JF004529</v>
      </c>
      <c r="BG874" t="s">
        <v>74</v>
      </c>
      <c r="BH874" t="s">
        <v>74</v>
      </c>
      <c r="BI874">
        <v>25</v>
      </c>
      <c r="BJ874" t="s">
        <v>1243</v>
      </c>
      <c r="BK874" t="s">
        <v>101</v>
      </c>
      <c r="BL874" t="s">
        <v>1181</v>
      </c>
      <c r="BM874" t="s">
        <v>16837</v>
      </c>
      <c r="BN874" t="s">
        <v>74</v>
      </c>
      <c r="BO874" t="s">
        <v>16838</v>
      </c>
      <c r="BP874" t="s">
        <v>74</v>
      </c>
      <c r="BQ874" t="s">
        <v>74</v>
      </c>
      <c r="BR874" t="s">
        <v>105</v>
      </c>
      <c r="BS874" t="s">
        <v>16839</v>
      </c>
      <c r="BT874" t="str">
        <f>HYPERLINK("https%3A%2F%2Fwww.webofscience.com%2Fwos%2Fwoscc%2Ffull-record%2FWOS:000427254000007","View Full Record in Web of Science")</f>
        <v>View Full Record in Web of Science</v>
      </c>
    </row>
    <row r="875" spans="1:72" x14ac:dyDescent="0.15">
      <c r="A875" t="s">
        <v>72</v>
      </c>
      <c r="B875" t="s">
        <v>16840</v>
      </c>
      <c r="C875" t="s">
        <v>74</v>
      </c>
      <c r="D875" t="s">
        <v>74</v>
      </c>
      <c r="E875" t="s">
        <v>74</v>
      </c>
      <c r="F875" t="s">
        <v>16841</v>
      </c>
      <c r="G875" t="s">
        <v>74</v>
      </c>
      <c r="H875" t="s">
        <v>74</v>
      </c>
      <c r="I875" t="s">
        <v>16842</v>
      </c>
      <c r="J875" t="s">
        <v>3633</v>
      </c>
      <c r="K875" t="s">
        <v>74</v>
      </c>
      <c r="L875" t="s">
        <v>74</v>
      </c>
      <c r="M875" t="s">
        <v>78</v>
      </c>
      <c r="N875" t="s">
        <v>79</v>
      </c>
      <c r="O875" t="s">
        <v>74</v>
      </c>
      <c r="P875" t="s">
        <v>74</v>
      </c>
      <c r="Q875" t="s">
        <v>74</v>
      </c>
      <c r="R875" t="s">
        <v>74</v>
      </c>
      <c r="S875" t="s">
        <v>74</v>
      </c>
      <c r="T875" t="s">
        <v>16843</v>
      </c>
      <c r="U875" t="s">
        <v>16844</v>
      </c>
      <c r="V875" t="s">
        <v>16845</v>
      </c>
      <c r="W875" t="s">
        <v>16846</v>
      </c>
      <c r="X875" t="s">
        <v>16847</v>
      </c>
      <c r="Y875" t="s">
        <v>16848</v>
      </c>
      <c r="Z875" t="s">
        <v>16849</v>
      </c>
      <c r="AA875" t="s">
        <v>16850</v>
      </c>
      <c r="AB875" t="s">
        <v>16851</v>
      </c>
      <c r="AC875" t="s">
        <v>16852</v>
      </c>
      <c r="AD875" t="s">
        <v>16853</v>
      </c>
      <c r="AE875" t="s">
        <v>16854</v>
      </c>
      <c r="AF875" t="s">
        <v>74</v>
      </c>
      <c r="AG875">
        <v>53</v>
      </c>
      <c r="AH875">
        <v>27</v>
      </c>
      <c r="AI875">
        <v>29</v>
      </c>
      <c r="AJ875">
        <v>0</v>
      </c>
      <c r="AK875">
        <v>11</v>
      </c>
      <c r="AL875" t="s">
        <v>574</v>
      </c>
      <c r="AM875" t="s">
        <v>575</v>
      </c>
      <c r="AN875" t="s">
        <v>576</v>
      </c>
      <c r="AO875" t="s">
        <v>3646</v>
      </c>
      <c r="AP875" t="s">
        <v>3647</v>
      </c>
      <c r="AQ875" t="s">
        <v>74</v>
      </c>
      <c r="AR875" t="s">
        <v>3648</v>
      </c>
      <c r="AS875" t="s">
        <v>3649</v>
      </c>
      <c r="AT875" t="s">
        <v>16620</v>
      </c>
      <c r="AU875">
        <v>2018</v>
      </c>
      <c r="AV875">
        <v>123</v>
      </c>
      <c r="AW875">
        <v>2</v>
      </c>
      <c r="AX875" t="s">
        <v>74</v>
      </c>
      <c r="AY875" t="s">
        <v>74</v>
      </c>
      <c r="AZ875" t="s">
        <v>74</v>
      </c>
      <c r="BA875" t="s">
        <v>74</v>
      </c>
      <c r="BB875">
        <v>349</v>
      </c>
      <c r="BC875">
        <v>362</v>
      </c>
      <c r="BD875" t="s">
        <v>74</v>
      </c>
      <c r="BE875" t="s">
        <v>16855</v>
      </c>
      <c r="BF875" t="str">
        <f>HYPERLINK("http://dx.doi.org/10.1002/2017JF004297","http://dx.doi.org/10.1002/2017JF004297")</f>
        <v>http://dx.doi.org/10.1002/2017JF004297</v>
      </c>
      <c r="BG875" t="s">
        <v>74</v>
      </c>
      <c r="BH875" t="s">
        <v>74</v>
      </c>
      <c r="BI875">
        <v>14</v>
      </c>
      <c r="BJ875" t="s">
        <v>1243</v>
      </c>
      <c r="BK875" t="s">
        <v>101</v>
      </c>
      <c r="BL875" t="s">
        <v>1181</v>
      </c>
      <c r="BM875" t="s">
        <v>16837</v>
      </c>
      <c r="BN875" t="s">
        <v>74</v>
      </c>
      <c r="BO875" t="s">
        <v>1316</v>
      </c>
      <c r="BP875" t="s">
        <v>74</v>
      </c>
      <c r="BQ875" t="s">
        <v>74</v>
      </c>
      <c r="BR875" t="s">
        <v>105</v>
      </c>
      <c r="BS875" t="s">
        <v>16856</v>
      </c>
      <c r="BT875" t="str">
        <f>HYPERLINK("https%3A%2F%2Fwww.webofscience.com%2Fwos%2Fwoscc%2Ffull-record%2FWOS:000427254000008","View Full Record in Web of Science")</f>
        <v>View Full Record in Web of Science</v>
      </c>
    </row>
    <row r="876" spans="1:72" x14ac:dyDescent="0.15">
      <c r="A876" t="s">
        <v>72</v>
      </c>
      <c r="B876" t="s">
        <v>16857</v>
      </c>
      <c r="C876" t="s">
        <v>74</v>
      </c>
      <c r="D876" t="s">
        <v>74</v>
      </c>
      <c r="E876" t="s">
        <v>74</v>
      </c>
      <c r="F876" t="s">
        <v>16858</v>
      </c>
      <c r="G876" t="s">
        <v>74</v>
      </c>
      <c r="H876" t="s">
        <v>74</v>
      </c>
      <c r="I876" t="s">
        <v>16859</v>
      </c>
      <c r="J876" t="s">
        <v>3656</v>
      </c>
      <c r="K876" t="s">
        <v>74</v>
      </c>
      <c r="L876" t="s">
        <v>74</v>
      </c>
      <c r="M876" t="s">
        <v>78</v>
      </c>
      <c r="N876" t="s">
        <v>79</v>
      </c>
      <c r="O876" t="s">
        <v>74</v>
      </c>
      <c r="P876" t="s">
        <v>74</v>
      </c>
      <c r="Q876" t="s">
        <v>74</v>
      </c>
      <c r="R876" t="s">
        <v>74</v>
      </c>
      <c r="S876" t="s">
        <v>74</v>
      </c>
      <c r="T876" t="s">
        <v>74</v>
      </c>
      <c r="U876" t="s">
        <v>16860</v>
      </c>
      <c r="V876" t="s">
        <v>16861</v>
      </c>
      <c r="W876" t="s">
        <v>16862</v>
      </c>
      <c r="X876" t="s">
        <v>16863</v>
      </c>
      <c r="Y876" t="s">
        <v>16864</v>
      </c>
      <c r="Z876" t="s">
        <v>16865</v>
      </c>
      <c r="AA876" t="s">
        <v>3861</v>
      </c>
      <c r="AB876" t="s">
        <v>16866</v>
      </c>
      <c r="AC876" t="s">
        <v>16867</v>
      </c>
      <c r="AD876" t="s">
        <v>16868</v>
      </c>
      <c r="AE876" t="s">
        <v>16869</v>
      </c>
      <c r="AF876" t="s">
        <v>74</v>
      </c>
      <c r="AG876">
        <v>38</v>
      </c>
      <c r="AH876">
        <v>23</v>
      </c>
      <c r="AI876">
        <v>26</v>
      </c>
      <c r="AJ876">
        <v>1</v>
      </c>
      <c r="AK876">
        <v>8</v>
      </c>
      <c r="AL876" t="s">
        <v>574</v>
      </c>
      <c r="AM876" t="s">
        <v>575</v>
      </c>
      <c r="AN876" t="s">
        <v>576</v>
      </c>
      <c r="AO876" t="s">
        <v>3669</v>
      </c>
      <c r="AP876" t="s">
        <v>3670</v>
      </c>
      <c r="AQ876" t="s">
        <v>74</v>
      </c>
      <c r="AR876" t="s">
        <v>3671</v>
      </c>
      <c r="AS876" t="s">
        <v>3672</v>
      </c>
      <c r="AT876" t="s">
        <v>16620</v>
      </c>
      <c r="AU876">
        <v>2018</v>
      </c>
      <c r="AV876">
        <v>123</v>
      </c>
      <c r="AW876">
        <v>2</v>
      </c>
      <c r="AX876" t="s">
        <v>74</v>
      </c>
      <c r="AY876" t="s">
        <v>74</v>
      </c>
      <c r="AZ876" t="s">
        <v>74</v>
      </c>
      <c r="BA876" t="s">
        <v>74</v>
      </c>
      <c r="BB876">
        <v>864</v>
      </c>
      <c r="BC876">
        <v>882</v>
      </c>
      <c r="BD876" t="s">
        <v>74</v>
      </c>
      <c r="BE876" t="s">
        <v>16870</v>
      </c>
      <c r="BF876" t="str">
        <f>HYPERLINK("http://dx.doi.org/10.1002/2017JC013251","http://dx.doi.org/10.1002/2017JC013251")</f>
        <v>http://dx.doi.org/10.1002/2017JC013251</v>
      </c>
      <c r="BG876" t="s">
        <v>74</v>
      </c>
      <c r="BH876" t="s">
        <v>74</v>
      </c>
      <c r="BI876">
        <v>19</v>
      </c>
      <c r="BJ876" t="s">
        <v>364</v>
      </c>
      <c r="BK876" t="s">
        <v>101</v>
      </c>
      <c r="BL876" t="s">
        <v>364</v>
      </c>
      <c r="BM876" t="s">
        <v>16871</v>
      </c>
      <c r="BN876" t="s">
        <v>74</v>
      </c>
      <c r="BO876" t="s">
        <v>2453</v>
      </c>
      <c r="BP876" t="s">
        <v>74</v>
      </c>
      <c r="BQ876" t="s">
        <v>74</v>
      </c>
      <c r="BR876" t="s">
        <v>105</v>
      </c>
      <c r="BS876" t="s">
        <v>16872</v>
      </c>
      <c r="BT876" t="str">
        <f>HYPERLINK("https%3A%2F%2Fwww.webofscience.com%2Fwos%2Fwoscc%2Ffull-record%2FWOS:000427970400009","View Full Record in Web of Science")</f>
        <v>View Full Record in Web of Science</v>
      </c>
    </row>
    <row r="877" spans="1:72" x14ac:dyDescent="0.15">
      <c r="A877" t="s">
        <v>72</v>
      </c>
      <c r="B877" t="s">
        <v>16873</v>
      </c>
      <c r="C877" t="s">
        <v>74</v>
      </c>
      <c r="D877" t="s">
        <v>74</v>
      </c>
      <c r="E877" t="s">
        <v>74</v>
      </c>
      <c r="F877" t="s">
        <v>16874</v>
      </c>
      <c r="G877" t="s">
        <v>74</v>
      </c>
      <c r="H877" t="s">
        <v>74</v>
      </c>
      <c r="I877" t="s">
        <v>16875</v>
      </c>
      <c r="J877" t="s">
        <v>3656</v>
      </c>
      <c r="K877" t="s">
        <v>74</v>
      </c>
      <c r="L877" t="s">
        <v>74</v>
      </c>
      <c r="M877" t="s">
        <v>78</v>
      </c>
      <c r="N877" t="s">
        <v>79</v>
      </c>
      <c r="O877" t="s">
        <v>74</v>
      </c>
      <c r="P877" t="s">
        <v>74</v>
      </c>
      <c r="Q877" t="s">
        <v>74</v>
      </c>
      <c r="R877" t="s">
        <v>74</v>
      </c>
      <c r="S877" t="s">
        <v>74</v>
      </c>
      <c r="T877" t="s">
        <v>16876</v>
      </c>
      <c r="U877" t="s">
        <v>16877</v>
      </c>
      <c r="V877" t="s">
        <v>16878</v>
      </c>
      <c r="W877" t="s">
        <v>16879</v>
      </c>
      <c r="X877" t="s">
        <v>16880</v>
      </c>
      <c r="Y877" t="s">
        <v>16881</v>
      </c>
      <c r="Z877" t="s">
        <v>16882</v>
      </c>
      <c r="AA877" t="s">
        <v>16883</v>
      </c>
      <c r="AB877" t="s">
        <v>16884</v>
      </c>
      <c r="AC877" t="s">
        <v>16885</v>
      </c>
      <c r="AD877" t="s">
        <v>16886</v>
      </c>
      <c r="AE877" t="s">
        <v>16887</v>
      </c>
      <c r="AF877" t="s">
        <v>74</v>
      </c>
      <c r="AG877">
        <v>69</v>
      </c>
      <c r="AH877">
        <v>32</v>
      </c>
      <c r="AI877">
        <v>32</v>
      </c>
      <c r="AJ877">
        <v>1</v>
      </c>
      <c r="AK877">
        <v>13</v>
      </c>
      <c r="AL877" t="s">
        <v>574</v>
      </c>
      <c r="AM877" t="s">
        <v>575</v>
      </c>
      <c r="AN877" t="s">
        <v>576</v>
      </c>
      <c r="AO877" t="s">
        <v>3669</v>
      </c>
      <c r="AP877" t="s">
        <v>3670</v>
      </c>
      <c r="AQ877" t="s">
        <v>74</v>
      </c>
      <c r="AR877" t="s">
        <v>3671</v>
      </c>
      <c r="AS877" t="s">
        <v>3672</v>
      </c>
      <c r="AT877" t="s">
        <v>16620</v>
      </c>
      <c r="AU877">
        <v>2018</v>
      </c>
      <c r="AV877">
        <v>123</v>
      </c>
      <c r="AW877">
        <v>2</v>
      </c>
      <c r="AX877" t="s">
        <v>74</v>
      </c>
      <c r="AY877" t="s">
        <v>74</v>
      </c>
      <c r="AZ877" t="s">
        <v>74</v>
      </c>
      <c r="BA877" t="s">
        <v>74</v>
      </c>
      <c r="BB877">
        <v>1123</v>
      </c>
      <c r="BC877">
        <v>1141</v>
      </c>
      <c r="BD877" t="s">
        <v>74</v>
      </c>
      <c r="BE877" t="s">
        <v>16888</v>
      </c>
      <c r="BF877" t="str">
        <f>HYPERLINK("http://dx.doi.org/10.1002/2017JC013233","http://dx.doi.org/10.1002/2017JC013233")</f>
        <v>http://dx.doi.org/10.1002/2017JC013233</v>
      </c>
      <c r="BG877" t="s">
        <v>74</v>
      </c>
      <c r="BH877" t="s">
        <v>74</v>
      </c>
      <c r="BI877">
        <v>19</v>
      </c>
      <c r="BJ877" t="s">
        <v>364</v>
      </c>
      <c r="BK877" t="s">
        <v>101</v>
      </c>
      <c r="BL877" t="s">
        <v>364</v>
      </c>
      <c r="BM877" t="s">
        <v>16871</v>
      </c>
      <c r="BN877" t="s">
        <v>74</v>
      </c>
      <c r="BO877" t="s">
        <v>2416</v>
      </c>
      <c r="BP877" t="s">
        <v>74</v>
      </c>
      <c r="BQ877" t="s">
        <v>74</v>
      </c>
      <c r="BR877" t="s">
        <v>105</v>
      </c>
      <c r="BS877" t="s">
        <v>16889</v>
      </c>
      <c r="BT877" t="str">
        <f>HYPERLINK("https%3A%2F%2Fwww.webofscience.com%2Fwos%2Fwoscc%2Ffull-record%2FWOS:000427970400024","View Full Record in Web of Science")</f>
        <v>View Full Record in Web of Science</v>
      </c>
    </row>
    <row r="878" spans="1:72" x14ac:dyDescent="0.15">
      <c r="A878" t="s">
        <v>72</v>
      </c>
      <c r="B878" t="s">
        <v>16890</v>
      </c>
      <c r="C878" t="s">
        <v>74</v>
      </c>
      <c r="D878" t="s">
        <v>74</v>
      </c>
      <c r="E878" t="s">
        <v>74</v>
      </c>
      <c r="F878" t="s">
        <v>16891</v>
      </c>
      <c r="G878" t="s">
        <v>74</v>
      </c>
      <c r="H878" t="s">
        <v>74</v>
      </c>
      <c r="I878" t="s">
        <v>16892</v>
      </c>
      <c r="J878" t="s">
        <v>561</v>
      </c>
      <c r="K878" t="s">
        <v>74</v>
      </c>
      <c r="L878" t="s">
        <v>74</v>
      </c>
      <c r="M878" t="s">
        <v>78</v>
      </c>
      <c r="N878" t="s">
        <v>79</v>
      </c>
      <c r="O878" t="s">
        <v>74</v>
      </c>
      <c r="P878" t="s">
        <v>74</v>
      </c>
      <c r="Q878" t="s">
        <v>74</v>
      </c>
      <c r="R878" t="s">
        <v>74</v>
      </c>
      <c r="S878" t="s">
        <v>74</v>
      </c>
      <c r="T878" t="s">
        <v>74</v>
      </c>
      <c r="U878" t="s">
        <v>16893</v>
      </c>
      <c r="V878" t="s">
        <v>16894</v>
      </c>
      <c r="W878" t="s">
        <v>16895</v>
      </c>
      <c r="X878" t="s">
        <v>16896</v>
      </c>
      <c r="Y878" t="s">
        <v>16897</v>
      </c>
      <c r="Z878" t="s">
        <v>16898</v>
      </c>
      <c r="AA878" t="s">
        <v>16899</v>
      </c>
      <c r="AB878" t="s">
        <v>16900</v>
      </c>
      <c r="AC878" t="s">
        <v>16901</v>
      </c>
      <c r="AD878" t="s">
        <v>16902</v>
      </c>
      <c r="AE878" t="s">
        <v>16903</v>
      </c>
      <c r="AF878" t="s">
        <v>74</v>
      </c>
      <c r="AG878">
        <v>76</v>
      </c>
      <c r="AH878">
        <v>18</v>
      </c>
      <c r="AI878">
        <v>19</v>
      </c>
      <c r="AJ878">
        <v>2</v>
      </c>
      <c r="AK878">
        <v>7</v>
      </c>
      <c r="AL878" t="s">
        <v>574</v>
      </c>
      <c r="AM878" t="s">
        <v>575</v>
      </c>
      <c r="AN878" t="s">
        <v>576</v>
      </c>
      <c r="AO878" t="s">
        <v>577</v>
      </c>
      <c r="AP878" t="s">
        <v>578</v>
      </c>
      <c r="AQ878" t="s">
        <v>74</v>
      </c>
      <c r="AR878" t="s">
        <v>579</v>
      </c>
      <c r="AS878" t="s">
        <v>580</v>
      </c>
      <c r="AT878" t="s">
        <v>16620</v>
      </c>
      <c r="AU878">
        <v>2018</v>
      </c>
      <c r="AV878">
        <v>123</v>
      </c>
      <c r="AW878">
        <v>2</v>
      </c>
      <c r="AX878" t="s">
        <v>74</v>
      </c>
      <c r="AY878" t="s">
        <v>74</v>
      </c>
      <c r="AZ878" t="s">
        <v>74</v>
      </c>
      <c r="BA878" t="s">
        <v>74</v>
      </c>
      <c r="BB878">
        <v>1410</v>
      </c>
      <c r="BC878">
        <v>1428</v>
      </c>
      <c r="BD878" t="s">
        <v>74</v>
      </c>
      <c r="BE878" t="s">
        <v>16904</v>
      </c>
      <c r="BF878" t="str">
        <f>HYPERLINK("http://dx.doi.org/10.1002/2017JA024411","http://dx.doi.org/10.1002/2017JA024411")</f>
        <v>http://dx.doi.org/10.1002/2017JA024411</v>
      </c>
      <c r="BG878" t="s">
        <v>74</v>
      </c>
      <c r="BH878" t="s">
        <v>74</v>
      </c>
      <c r="BI878">
        <v>19</v>
      </c>
      <c r="BJ878" t="s">
        <v>582</v>
      </c>
      <c r="BK878" t="s">
        <v>101</v>
      </c>
      <c r="BL878" t="s">
        <v>582</v>
      </c>
      <c r="BM878" t="s">
        <v>16905</v>
      </c>
      <c r="BN878" t="s">
        <v>74</v>
      </c>
      <c r="BO878" t="s">
        <v>1111</v>
      </c>
      <c r="BP878" t="s">
        <v>74</v>
      </c>
      <c r="BQ878" t="s">
        <v>74</v>
      </c>
      <c r="BR878" t="s">
        <v>105</v>
      </c>
      <c r="BS878" t="s">
        <v>16906</v>
      </c>
      <c r="BT878" t="str">
        <f>HYPERLINK("https%3A%2F%2Fwww.webofscience.com%2Fwos%2Fwoscc%2Ffull-record%2FWOS:000427568000027","View Full Record in Web of Science")</f>
        <v>View Full Record in Web of Science</v>
      </c>
    </row>
    <row r="879" spans="1:72" x14ac:dyDescent="0.15">
      <c r="A879" t="s">
        <v>72</v>
      </c>
      <c r="B879" t="s">
        <v>16907</v>
      </c>
      <c r="C879" t="s">
        <v>74</v>
      </c>
      <c r="D879" t="s">
        <v>74</v>
      </c>
      <c r="E879" t="s">
        <v>74</v>
      </c>
      <c r="F879" t="s">
        <v>16908</v>
      </c>
      <c r="G879" t="s">
        <v>74</v>
      </c>
      <c r="H879" t="s">
        <v>74</v>
      </c>
      <c r="I879" t="s">
        <v>16909</v>
      </c>
      <c r="J879" t="s">
        <v>16910</v>
      </c>
      <c r="K879" t="s">
        <v>74</v>
      </c>
      <c r="L879" t="s">
        <v>74</v>
      </c>
      <c r="M879" t="s">
        <v>78</v>
      </c>
      <c r="N879" t="s">
        <v>79</v>
      </c>
      <c r="O879" t="s">
        <v>74</v>
      </c>
      <c r="P879" t="s">
        <v>74</v>
      </c>
      <c r="Q879" t="s">
        <v>74</v>
      </c>
      <c r="R879" t="s">
        <v>74</v>
      </c>
      <c r="S879" t="s">
        <v>74</v>
      </c>
      <c r="T879" t="s">
        <v>16911</v>
      </c>
      <c r="U879" t="s">
        <v>16912</v>
      </c>
      <c r="V879" t="s">
        <v>16913</v>
      </c>
      <c r="W879" t="s">
        <v>16914</v>
      </c>
      <c r="X879" t="s">
        <v>16915</v>
      </c>
      <c r="Y879" t="s">
        <v>16916</v>
      </c>
      <c r="Z879" t="s">
        <v>16917</v>
      </c>
      <c r="AA879" t="s">
        <v>16918</v>
      </c>
      <c r="AB879" t="s">
        <v>16919</v>
      </c>
      <c r="AC879" t="s">
        <v>16920</v>
      </c>
      <c r="AD879" t="s">
        <v>16921</v>
      </c>
      <c r="AE879" t="s">
        <v>16922</v>
      </c>
      <c r="AF879" t="s">
        <v>74</v>
      </c>
      <c r="AG879">
        <v>92</v>
      </c>
      <c r="AH879">
        <v>26</v>
      </c>
      <c r="AI879">
        <v>26</v>
      </c>
      <c r="AJ879">
        <v>0</v>
      </c>
      <c r="AK879">
        <v>21</v>
      </c>
      <c r="AL879" t="s">
        <v>914</v>
      </c>
      <c r="AM879" t="s">
        <v>452</v>
      </c>
      <c r="AN879" t="s">
        <v>915</v>
      </c>
      <c r="AO879" t="s">
        <v>16923</v>
      </c>
      <c r="AP879" t="s">
        <v>16924</v>
      </c>
      <c r="AQ879" t="s">
        <v>74</v>
      </c>
      <c r="AR879" t="s">
        <v>16925</v>
      </c>
      <c r="AS879" t="s">
        <v>16926</v>
      </c>
      <c r="AT879" t="s">
        <v>16620</v>
      </c>
      <c r="AU879">
        <v>2018</v>
      </c>
      <c r="AV879">
        <v>178</v>
      </c>
      <c r="AW879" t="s">
        <v>74</v>
      </c>
      <c r="AX879" t="s">
        <v>74</v>
      </c>
      <c r="AY879" t="s">
        <v>74</v>
      </c>
      <c r="AZ879" t="s">
        <v>74</v>
      </c>
      <c r="BA879" t="s">
        <v>74</v>
      </c>
      <c r="BB879">
        <v>1</v>
      </c>
      <c r="BC879">
        <v>14</v>
      </c>
      <c r="BD879" t="s">
        <v>74</v>
      </c>
      <c r="BE879" t="s">
        <v>16927</v>
      </c>
      <c r="BF879" t="str">
        <f>HYPERLINK("http://dx.doi.org/10.1016/j.jmarsys.2017.10.007","http://dx.doi.org/10.1016/j.jmarsys.2017.10.007")</f>
        <v>http://dx.doi.org/10.1016/j.jmarsys.2017.10.007</v>
      </c>
      <c r="BG879" t="s">
        <v>74</v>
      </c>
      <c r="BH879" t="s">
        <v>74</v>
      </c>
      <c r="BI879">
        <v>14</v>
      </c>
      <c r="BJ879" t="s">
        <v>16928</v>
      </c>
      <c r="BK879" t="s">
        <v>101</v>
      </c>
      <c r="BL879" t="s">
        <v>16929</v>
      </c>
      <c r="BM879" t="s">
        <v>16930</v>
      </c>
      <c r="BN879" t="s">
        <v>74</v>
      </c>
      <c r="BO879" t="s">
        <v>74</v>
      </c>
      <c r="BP879" t="s">
        <v>74</v>
      </c>
      <c r="BQ879" t="s">
        <v>74</v>
      </c>
      <c r="BR879" t="s">
        <v>105</v>
      </c>
      <c r="BS879" t="s">
        <v>16931</v>
      </c>
      <c r="BT879" t="str">
        <f>HYPERLINK("https%3A%2F%2Fwww.webofscience.com%2Fwos%2Fwoscc%2Ffull-record%2FWOS:000418215000001","View Full Record in Web of Science")</f>
        <v>View Full Record in Web of Science</v>
      </c>
    </row>
    <row r="880" spans="1:72" x14ac:dyDescent="0.15">
      <c r="A880" t="s">
        <v>72</v>
      </c>
      <c r="B880" t="s">
        <v>16932</v>
      </c>
      <c r="C880" t="s">
        <v>74</v>
      </c>
      <c r="D880" t="s">
        <v>74</v>
      </c>
      <c r="E880" t="s">
        <v>74</v>
      </c>
      <c r="F880" t="s">
        <v>16933</v>
      </c>
      <c r="G880" t="s">
        <v>74</v>
      </c>
      <c r="H880" t="s">
        <v>74</v>
      </c>
      <c r="I880" t="s">
        <v>16934</v>
      </c>
      <c r="J880" t="s">
        <v>4115</v>
      </c>
      <c r="K880" t="s">
        <v>74</v>
      </c>
      <c r="L880" t="s">
        <v>74</v>
      </c>
      <c r="M880" t="s">
        <v>78</v>
      </c>
      <c r="N880" t="s">
        <v>79</v>
      </c>
      <c r="O880" t="s">
        <v>74</v>
      </c>
      <c r="P880" t="s">
        <v>74</v>
      </c>
      <c r="Q880" t="s">
        <v>74</v>
      </c>
      <c r="R880" t="s">
        <v>74</v>
      </c>
      <c r="S880" t="s">
        <v>74</v>
      </c>
      <c r="T880" t="s">
        <v>74</v>
      </c>
      <c r="U880" t="s">
        <v>16935</v>
      </c>
      <c r="V880" t="s">
        <v>16936</v>
      </c>
      <c r="W880" t="s">
        <v>16937</v>
      </c>
      <c r="X880" t="s">
        <v>4260</v>
      </c>
      <c r="Y880" t="s">
        <v>16938</v>
      </c>
      <c r="Z880" t="s">
        <v>16939</v>
      </c>
      <c r="AA880" t="s">
        <v>16940</v>
      </c>
      <c r="AB880" t="s">
        <v>16941</v>
      </c>
      <c r="AC880" t="s">
        <v>16942</v>
      </c>
      <c r="AD880" t="s">
        <v>16943</v>
      </c>
      <c r="AE880" t="s">
        <v>16944</v>
      </c>
      <c r="AF880" t="s">
        <v>74</v>
      </c>
      <c r="AG880">
        <v>57</v>
      </c>
      <c r="AH880">
        <v>7</v>
      </c>
      <c r="AI880">
        <v>8</v>
      </c>
      <c r="AJ880">
        <v>1</v>
      </c>
      <c r="AK880">
        <v>3</v>
      </c>
      <c r="AL880" t="s">
        <v>3595</v>
      </c>
      <c r="AM880" t="s">
        <v>3596</v>
      </c>
      <c r="AN880" t="s">
        <v>3597</v>
      </c>
      <c r="AO880" t="s">
        <v>4122</v>
      </c>
      <c r="AP880" t="s">
        <v>4123</v>
      </c>
      <c r="AQ880" t="s">
        <v>74</v>
      </c>
      <c r="AR880" t="s">
        <v>4124</v>
      </c>
      <c r="AS880" t="s">
        <v>4125</v>
      </c>
      <c r="AT880" t="s">
        <v>16620</v>
      </c>
      <c r="AU880">
        <v>2018</v>
      </c>
      <c r="AV880">
        <v>48</v>
      </c>
      <c r="AW880">
        <v>2</v>
      </c>
      <c r="AX880" t="s">
        <v>74</v>
      </c>
      <c r="AY880" t="s">
        <v>74</v>
      </c>
      <c r="AZ880" t="s">
        <v>74</v>
      </c>
      <c r="BA880" t="s">
        <v>74</v>
      </c>
      <c r="BB880">
        <v>397</v>
      </c>
      <c r="BC880">
        <v>411</v>
      </c>
      <c r="BD880" t="s">
        <v>74</v>
      </c>
      <c r="BE880" t="s">
        <v>16945</v>
      </c>
      <c r="BF880" t="str">
        <f>HYPERLINK("http://dx.doi.org/10.1175/JPO-D-17-0182.1","http://dx.doi.org/10.1175/JPO-D-17-0182.1")</f>
        <v>http://dx.doi.org/10.1175/JPO-D-17-0182.1</v>
      </c>
      <c r="BG880" t="s">
        <v>74</v>
      </c>
      <c r="BH880" t="s">
        <v>74</v>
      </c>
      <c r="BI880">
        <v>15</v>
      </c>
      <c r="BJ880" t="s">
        <v>364</v>
      </c>
      <c r="BK880" t="s">
        <v>101</v>
      </c>
      <c r="BL880" t="s">
        <v>364</v>
      </c>
      <c r="BM880" t="s">
        <v>16946</v>
      </c>
      <c r="BN880" t="s">
        <v>74</v>
      </c>
      <c r="BO880" t="s">
        <v>3604</v>
      </c>
      <c r="BP880" t="s">
        <v>74</v>
      </c>
      <c r="BQ880" t="s">
        <v>74</v>
      </c>
      <c r="BR880" t="s">
        <v>105</v>
      </c>
      <c r="BS880" t="s">
        <v>16947</v>
      </c>
      <c r="BT880" t="str">
        <f>HYPERLINK("https%3A%2F%2Fwww.webofscience.com%2Fwos%2Fwoscc%2Ffull-record%2FWOS:000430755800011","View Full Record in Web of Science")</f>
        <v>View Full Record in Web of Science</v>
      </c>
    </row>
    <row r="881" spans="1:72" x14ac:dyDescent="0.15">
      <c r="A881" t="s">
        <v>72</v>
      </c>
      <c r="B881" t="s">
        <v>16948</v>
      </c>
      <c r="C881" t="s">
        <v>74</v>
      </c>
      <c r="D881" t="s">
        <v>74</v>
      </c>
      <c r="E881" t="s">
        <v>74</v>
      </c>
      <c r="F881" t="s">
        <v>16949</v>
      </c>
      <c r="G881" t="s">
        <v>74</v>
      </c>
      <c r="H881" t="s">
        <v>74</v>
      </c>
      <c r="I881" t="s">
        <v>16950</v>
      </c>
      <c r="J881" t="s">
        <v>4115</v>
      </c>
      <c r="K881" t="s">
        <v>74</v>
      </c>
      <c r="L881" t="s">
        <v>74</v>
      </c>
      <c r="M881" t="s">
        <v>78</v>
      </c>
      <c r="N881" t="s">
        <v>79</v>
      </c>
      <c r="O881" t="s">
        <v>74</v>
      </c>
      <c r="P881" t="s">
        <v>74</v>
      </c>
      <c r="Q881" t="s">
        <v>74</v>
      </c>
      <c r="R881" t="s">
        <v>74</v>
      </c>
      <c r="S881" t="s">
        <v>74</v>
      </c>
      <c r="T881" t="s">
        <v>74</v>
      </c>
      <c r="U881" t="s">
        <v>16951</v>
      </c>
      <c r="V881" t="s">
        <v>16952</v>
      </c>
      <c r="W881" t="s">
        <v>16953</v>
      </c>
      <c r="X881" t="s">
        <v>16954</v>
      </c>
      <c r="Y881" t="s">
        <v>16955</v>
      </c>
      <c r="Z881" t="s">
        <v>16956</v>
      </c>
      <c r="AA881" t="s">
        <v>16957</v>
      </c>
      <c r="AB881" t="s">
        <v>74</v>
      </c>
      <c r="AC881" t="s">
        <v>16958</v>
      </c>
      <c r="AD881" t="s">
        <v>16959</v>
      </c>
      <c r="AE881" t="s">
        <v>16960</v>
      </c>
      <c r="AF881" t="s">
        <v>74</v>
      </c>
      <c r="AG881">
        <v>82</v>
      </c>
      <c r="AH881">
        <v>23</v>
      </c>
      <c r="AI881">
        <v>27</v>
      </c>
      <c r="AJ881">
        <v>1</v>
      </c>
      <c r="AK881">
        <v>20</v>
      </c>
      <c r="AL881" t="s">
        <v>3595</v>
      </c>
      <c r="AM881" t="s">
        <v>3596</v>
      </c>
      <c r="AN881" t="s">
        <v>3597</v>
      </c>
      <c r="AO881" t="s">
        <v>4122</v>
      </c>
      <c r="AP881" t="s">
        <v>4123</v>
      </c>
      <c r="AQ881" t="s">
        <v>74</v>
      </c>
      <c r="AR881" t="s">
        <v>4124</v>
      </c>
      <c r="AS881" t="s">
        <v>4125</v>
      </c>
      <c r="AT881" t="s">
        <v>16620</v>
      </c>
      <c r="AU881">
        <v>2018</v>
      </c>
      <c r="AV881">
        <v>48</v>
      </c>
      <c r="AW881">
        <v>2</v>
      </c>
      <c r="AX881" t="s">
        <v>74</v>
      </c>
      <c r="AY881" t="s">
        <v>74</v>
      </c>
      <c r="AZ881" t="s">
        <v>74</v>
      </c>
      <c r="BA881" t="s">
        <v>74</v>
      </c>
      <c r="BB881">
        <v>413</v>
      </c>
      <c r="BC881">
        <v>434</v>
      </c>
      <c r="BD881" t="s">
        <v>74</v>
      </c>
      <c r="BE881" t="s">
        <v>16961</v>
      </c>
      <c r="BF881" t="str">
        <f>HYPERLINK("http://dx.doi.org/10.1175/JPO-D-17-0127.1","http://dx.doi.org/10.1175/JPO-D-17-0127.1")</f>
        <v>http://dx.doi.org/10.1175/JPO-D-17-0127.1</v>
      </c>
      <c r="BG881" t="s">
        <v>74</v>
      </c>
      <c r="BH881" t="s">
        <v>74</v>
      </c>
      <c r="BI881">
        <v>22</v>
      </c>
      <c r="BJ881" t="s">
        <v>364</v>
      </c>
      <c r="BK881" t="s">
        <v>101</v>
      </c>
      <c r="BL881" t="s">
        <v>364</v>
      </c>
      <c r="BM881" t="s">
        <v>16946</v>
      </c>
      <c r="BN881" t="s">
        <v>74</v>
      </c>
      <c r="BO881" t="s">
        <v>341</v>
      </c>
      <c r="BP881" t="s">
        <v>74</v>
      </c>
      <c r="BQ881" t="s">
        <v>74</v>
      </c>
      <c r="BR881" t="s">
        <v>105</v>
      </c>
      <c r="BS881" t="s">
        <v>16962</v>
      </c>
      <c r="BT881" t="str">
        <f>HYPERLINK("https%3A%2F%2Fwww.webofscience.com%2Fwos%2Fwoscc%2Ffull-record%2FWOS:000430755800012","View Full Record in Web of Science")</f>
        <v>View Full Record in Web of Science</v>
      </c>
    </row>
    <row r="882" spans="1:72" x14ac:dyDescent="0.15">
      <c r="A882" t="s">
        <v>72</v>
      </c>
      <c r="B882" t="s">
        <v>16963</v>
      </c>
      <c r="C882" t="s">
        <v>74</v>
      </c>
      <c r="D882" t="s">
        <v>74</v>
      </c>
      <c r="E882" t="s">
        <v>74</v>
      </c>
      <c r="F882" t="s">
        <v>16964</v>
      </c>
      <c r="G882" t="s">
        <v>74</v>
      </c>
      <c r="H882" t="s">
        <v>74</v>
      </c>
      <c r="I882" t="s">
        <v>16965</v>
      </c>
      <c r="J882" t="s">
        <v>3720</v>
      </c>
      <c r="K882" t="s">
        <v>74</v>
      </c>
      <c r="L882" t="s">
        <v>74</v>
      </c>
      <c r="M882" t="s">
        <v>78</v>
      </c>
      <c r="N882" t="s">
        <v>79</v>
      </c>
      <c r="O882" t="s">
        <v>74</v>
      </c>
      <c r="P882" t="s">
        <v>74</v>
      </c>
      <c r="Q882" t="s">
        <v>74</v>
      </c>
      <c r="R882" t="s">
        <v>74</v>
      </c>
      <c r="S882" t="s">
        <v>74</v>
      </c>
      <c r="T882" t="s">
        <v>74</v>
      </c>
      <c r="U882" t="s">
        <v>16966</v>
      </c>
      <c r="V882" t="s">
        <v>16967</v>
      </c>
      <c r="W882" t="s">
        <v>16968</v>
      </c>
      <c r="X882" t="s">
        <v>16969</v>
      </c>
      <c r="Y882" t="s">
        <v>16970</v>
      </c>
      <c r="Z882" t="s">
        <v>16971</v>
      </c>
      <c r="AA882" t="s">
        <v>16972</v>
      </c>
      <c r="AB882" t="s">
        <v>16973</v>
      </c>
      <c r="AC882" t="s">
        <v>16974</v>
      </c>
      <c r="AD882" t="s">
        <v>16975</v>
      </c>
      <c r="AE882" t="s">
        <v>16976</v>
      </c>
      <c r="AF882" t="s">
        <v>74</v>
      </c>
      <c r="AG882">
        <v>82</v>
      </c>
      <c r="AH882">
        <v>10</v>
      </c>
      <c r="AI882">
        <v>10</v>
      </c>
      <c r="AJ882">
        <v>2</v>
      </c>
      <c r="AK882">
        <v>39</v>
      </c>
      <c r="AL882" t="s">
        <v>397</v>
      </c>
      <c r="AM882" t="s">
        <v>398</v>
      </c>
      <c r="AN882" t="s">
        <v>399</v>
      </c>
      <c r="AO882" t="s">
        <v>3732</v>
      </c>
      <c r="AP882" t="s">
        <v>3733</v>
      </c>
      <c r="AQ882" t="s">
        <v>74</v>
      </c>
      <c r="AR882" t="s">
        <v>3734</v>
      </c>
      <c r="AS882" t="s">
        <v>3735</v>
      </c>
      <c r="AT882" t="s">
        <v>16620</v>
      </c>
      <c r="AU882">
        <v>2018</v>
      </c>
      <c r="AV882">
        <v>165</v>
      </c>
      <c r="AW882">
        <v>2</v>
      </c>
      <c r="AX882" t="s">
        <v>74</v>
      </c>
      <c r="AY882" t="s">
        <v>74</v>
      </c>
      <c r="AZ882" t="s">
        <v>74</v>
      </c>
      <c r="BA882" t="s">
        <v>74</v>
      </c>
      <c r="BB882" t="s">
        <v>74</v>
      </c>
      <c r="BC882" t="s">
        <v>74</v>
      </c>
      <c r="BD882" t="s">
        <v>74</v>
      </c>
      <c r="BE882" t="s">
        <v>16977</v>
      </c>
      <c r="BF882" t="str">
        <f>HYPERLINK("http://dx.doi.org/10.1007/s00227-018-3294-2","http://dx.doi.org/10.1007/s00227-018-3294-2")</f>
        <v>http://dx.doi.org/10.1007/s00227-018-3294-2</v>
      </c>
      <c r="BG882" t="s">
        <v>74</v>
      </c>
      <c r="BH882" t="s">
        <v>74</v>
      </c>
      <c r="BI882">
        <v>12</v>
      </c>
      <c r="BJ882" t="s">
        <v>3737</v>
      </c>
      <c r="BK882" t="s">
        <v>101</v>
      </c>
      <c r="BL882" t="s">
        <v>3737</v>
      </c>
      <c r="BM882" t="s">
        <v>16978</v>
      </c>
      <c r="BN882" t="s">
        <v>74</v>
      </c>
      <c r="BO882" t="s">
        <v>980</v>
      </c>
      <c r="BP882" t="s">
        <v>74</v>
      </c>
      <c r="BQ882" t="s">
        <v>74</v>
      </c>
      <c r="BR882" t="s">
        <v>105</v>
      </c>
      <c r="BS882" t="s">
        <v>16979</v>
      </c>
      <c r="BT882" t="str">
        <f>HYPERLINK("https%3A%2F%2Fwww.webofscience.com%2Fwos%2Fwoscc%2Ffull-record%2FWOS:000424326200015","View Full Record in Web of Science")</f>
        <v>View Full Record in Web of Science</v>
      </c>
    </row>
    <row r="883" spans="1:72" x14ac:dyDescent="0.15">
      <c r="A883" t="s">
        <v>72</v>
      </c>
      <c r="B883" t="s">
        <v>16980</v>
      </c>
      <c r="C883" t="s">
        <v>74</v>
      </c>
      <c r="D883" t="s">
        <v>74</v>
      </c>
      <c r="E883" t="s">
        <v>74</v>
      </c>
      <c r="F883" t="s">
        <v>16981</v>
      </c>
      <c r="G883" t="s">
        <v>74</v>
      </c>
      <c r="H883" t="s">
        <v>74</v>
      </c>
      <c r="I883" t="s">
        <v>16982</v>
      </c>
      <c r="J883" t="s">
        <v>3743</v>
      </c>
      <c r="K883" t="s">
        <v>74</v>
      </c>
      <c r="L883" t="s">
        <v>74</v>
      </c>
      <c r="M883" t="s">
        <v>78</v>
      </c>
      <c r="N883" t="s">
        <v>79</v>
      </c>
      <c r="O883" t="s">
        <v>74</v>
      </c>
      <c r="P883" t="s">
        <v>74</v>
      </c>
      <c r="Q883" t="s">
        <v>74</v>
      </c>
      <c r="R883" t="s">
        <v>74</v>
      </c>
      <c r="S883" t="s">
        <v>74</v>
      </c>
      <c r="T883" t="s">
        <v>16983</v>
      </c>
      <c r="U883" t="s">
        <v>74</v>
      </c>
      <c r="V883" t="s">
        <v>16984</v>
      </c>
      <c r="W883" t="s">
        <v>16985</v>
      </c>
      <c r="X883" t="s">
        <v>3455</v>
      </c>
      <c r="Y883" t="s">
        <v>16986</v>
      </c>
      <c r="Z883" t="s">
        <v>16987</v>
      </c>
      <c r="AA883" t="s">
        <v>74</v>
      </c>
      <c r="AB883" t="s">
        <v>16988</v>
      </c>
      <c r="AC883" t="s">
        <v>74</v>
      </c>
      <c r="AD883" t="s">
        <v>74</v>
      </c>
      <c r="AE883" t="s">
        <v>74</v>
      </c>
      <c r="AF883" t="s">
        <v>74</v>
      </c>
      <c r="AG883">
        <v>46</v>
      </c>
      <c r="AH883">
        <v>77</v>
      </c>
      <c r="AI883">
        <v>83</v>
      </c>
      <c r="AJ883">
        <v>7</v>
      </c>
      <c r="AK883">
        <v>119</v>
      </c>
      <c r="AL883" t="s">
        <v>277</v>
      </c>
      <c r="AM883" t="s">
        <v>278</v>
      </c>
      <c r="AN883" t="s">
        <v>279</v>
      </c>
      <c r="AO883" t="s">
        <v>3756</v>
      </c>
      <c r="AP883" t="s">
        <v>3757</v>
      </c>
      <c r="AQ883" t="s">
        <v>74</v>
      </c>
      <c r="AR883" t="s">
        <v>3758</v>
      </c>
      <c r="AS883" t="s">
        <v>3759</v>
      </c>
      <c r="AT883" t="s">
        <v>16620</v>
      </c>
      <c r="AU883">
        <v>2018</v>
      </c>
      <c r="AV883">
        <v>127</v>
      </c>
      <c r="AW883" t="s">
        <v>74</v>
      </c>
      <c r="AX883" t="s">
        <v>74</v>
      </c>
      <c r="AY883" t="s">
        <v>74</v>
      </c>
      <c r="AZ883" t="s">
        <v>74</v>
      </c>
      <c r="BA883" t="s">
        <v>74</v>
      </c>
      <c r="BB883">
        <v>310</v>
      </c>
      <c r="BC883">
        <v>319</v>
      </c>
      <c r="BD883" t="s">
        <v>74</v>
      </c>
      <c r="BE883" t="s">
        <v>16989</v>
      </c>
      <c r="BF883" t="str">
        <f>HYPERLINK("http://dx.doi.org/10.1016/j.marpolbul.2017.11.054","http://dx.doi.org/10.1016/j.marpolbul.2017.11.054")</f>
        <v>http://dx.doi.org/10.1016/j.marpolbul.2017.11.054</v>
      </c>
      <c r="BG883" t="s">
        <v>74</v>
      </c>
      <c r="BH883" t="s">
        <v>74</v>
      </c>
      <c r="BI883">
        <v>10</v>
      </c>
      <c r="BJ883" t="s">
        <v>2159</v>
      </c>
      <c r="BK883" t="s">
        <v>484</v>
      </c>
      <c r="BL883" t="s">
        <v>1268</v>
      </c>
      <c r="BM883" t="s">
        <v>16990</v>
      </c>
      <c r="BN883">
        <v>29475667</v>
      </c>
      <c r="BO883" t="s">
        <v>74</v>
      </c>
      <c r="BP883" t="s">
        <v>74</v>
      </c>
      <c r="BQ883" t="s">
        <v>74</v>
      </c>
      <c r="BR883" t="s">
        <v>105</v>
      </c>
      <c r="BS883" t="s">
        <v>16991</v>
      </c>
      <c r="BT883" t="str">
        <f>HYPERLINK("https%3A%2F%2Fwww.webofscience.com%2Fwos%2Fwoscc%2Ffull-record%2FWOS:000427332900035","View Full Record in Web of Science")</f>
        <v>View Full Record in Web of Science</v>
      </c>
    </row>
    <row r="884" spans="1:72" x14ac:dyDescent="0.15">
      <c r="A884" t="s">
        <v>72</v>
      </c>
      <c r="B884" t="s">
        <v>16992</v>
      </c>
      <c r="C884" t="s">
        <v>74</v>
      </c>
      <c r="D884" t="s">
        <v>74</v>
      </c>
      <c r="E884" t="s">
        <v>74</v>
      </c>
      <c r="F884" t="s">
        <v>16993</v>
      </c>
      <c r="G884" t="s">
        <v>74</v>
      </c>
      <c r="H884" t="s">
        <v>74</v>
      </c>
      <c r="I884" t="s">
        <v>16994</v>
      </c>
      <c r="J884" t="s">
        <v>77</v>
      </c>
      <c r="K884" t="s">
        <v>74</v>
      </c>
      <c r="L884" t="s">
        <v>74</v>
      </c>
      <c r="M884" t="s">
        <v>78</v>
      </c>
      <c r="N884" t="s">
        <v>79</v>
      </c>
      <c r="O884" t="s">
        <v>74</v>
      </c>
      <c r="P884" t="s">
        <v>74</v>
      </c>
      <c r="Q884" t="s">
        <v>74</v>
      </c>
      <c r="R884" t="s">
        <v>74</v>
      </c>
      <c r="S884" t="s">
        <v>74</v>
      </c>
      <c r="T884" t="s">
        <v>16995</v>
      </c>
      <c r="U884" t="s">
        <v>16996</v>
      </c>
      <c r="V884" t="s">
        <v>16997</v>
      </c>
      <c r="W884" t="s">
        <v>16998</v>
      </c>
      <c r="X884" t="s">
        <v>16999</v>
      </c>
      <c r="Y884" t="s">
        <v>17000</v>
      </c>
      <c r="Z884" t="s">
        <v>17001</v>
      </c>
      <c r="AA884" t="s">
        <v>17002</v>
      </c>
      <c r="AB884" t="s">
        <v>17003</v>
      </c>
      <c r="AC884" t="s">
        <v>17004</v>
      </c>
      <c r="AD884" t="s">
        <v>17005</v>
      </c>
      <c r="AE884" t="s">
        <v>17006</v>
      </c>
      <c r="AF884" t="s">
        <v>74</v>
      </c>
      <c r="AG884">
        <v>47</v>
      </c>
      <c r="AH884">
        <v>11</v>
      </c>
      <c r="AI884">
        <v>15</v>
      </c>
      <c r="AJ884">
        <v>2</v>
      </c>
      <c r="AK884">
        <v>52</v>
      </c>
      <c r="AL884" t="s">
        <v>91</v>
      </c>
      <c r="AM884" t="s">
        <v>92</v>
      </c>
      <c r="AN884" t="s">
        <v>93</v>
      </c>
      <c r="AO884" t="s">
        <v>94</v>
      </c>
      <c r="AP884" t="s">
        <v>95</v>
      </c>
      <c r="AQ884" t="s">
        <v>74</v>
      </c>
      <c r="AR884" t="s">
        <v>96</v>
      </c>
      <c r="AS884" t="s">
        <v>97</v>
      </c>
      <c r="AT884" t="s">
        <v>16620</v>
      </c>
      <c r="AU884">
        <v>2018</v>
      </c>
      <c r="AV884">
        <v>41</v>
      </c>
      <c r="AW884">
        <v>2</v>
      </c>
      <c r="AX884" t="s">
        <v>74</v>
      </c>
      <c r="AY884" t="s">
        <v>74</v>
      </c>
      <c r="AZ884" t="s">
        <v>74</v>
      </c>
      <c r="BA884" t="s">
        <v>74</v>
      </c>
      <c r="BB884">
        <v>353</v>
      </c>
      <c r="BC884">
        <v>364</v>
      </c>
      <c r="BD884" t="s">
        <v>74</v>
      </c>
      <c r="BE884" t="s">
        <v>17007</v>
      </c>
      <c r="BF884" t="str">
        <f>HYPERLINK("http://dx.doi.org/10.1007/s00300-017-2195-z","http://dx.doi.org/10.1007/s00300-017-2195-z")</f>
        <v>http://dx.doi.org/10.1007/s00300-017-2195-z</v>
      </c>
      <c r="BG884" t="s">
        <v>74</v>
      </c>
      <c r="BH884" t="s">
        <v>74</v>
      </c>
      <c r="BI884">
        <v>12</v>
      </c>
      <c r="BJ884" t="s">
        <v>100</v>
      </c>
      <c r="BK884" t="s">
        <v>101</v>
      </c>
      <c r="BL884" t="s">
        <v>102</v>
      </c>
      <c r="BM884" t="s">
        <v>17008</v>
      </c>
      <c r="BN884" t="s">
        <v>74</v>
      </c>
      <c r="BO884" t="s">
        <v>74</v>
      </c>
      <c r="BP884" t="s">
        <v>74</v>
      </c>
      <c r="BQ884" t="s">
        <v>74</v>
      </c>
      <c r="BR884" t="s">
        <v>105</v>
      </c>
      <c r="BS884" t="s">
        <v>17009</v>
      </c>
      <c r="BT884" t="str">
        <f>HYPERLINK("https%3A%2F%2Fwww.webofscience.com%2Fwos%2Fwoscc%2Ffull-record%2FWOS:000424276400013","View Full Record in Web of Science")</f>
        <v>View Full Record in Web of Science</v>
      </c>
    </row>
    <row r="885" spans="1:72" x14ac:dyDescent="0.15">
      <c r="A885" t="s">
        <v>72</v>
      </c>
      <c r="B885" t="s">
        <v>17010</v>
      </c>
      <c r="C885" t="s">
        <v>74</v>
      </c>
      <c r="D885" t="s">
        <v>74</v>
      </c>
      <c r="E885" t="s">
        <v>74</v>
      </c>
      <c r="F885" t="s">
        <v>17011</v>
      </c>
      <c r="G885" t="s">
        <v>74</v>
      </c>
      <c r="H885" t="s">
        <v>74</v>
      </c>
      <c r="I885" t="s">
        <v>17012</v>
      </c>
      <c r="J885" t="s">
        <v>17013</v>
      </c>
      <c r="K885" t="s">
        <v>74</v>
      </c>
      <c r="L885" t="s">
        <v>74</v>
      </c>
      <c r="M885" t="s">
        <v>78</v>
      </c>
      <c r="N885" t="s">
        <v>466</v>
      </c>
      <c r="O885" t="s">
        <v>74</v>
      </c>
      <c r="P885" t="s">
        <v>74</v>
      </c>
      <c r="Q885" t="s">
        <v>74</v>
      </c>
      <c r="R885" t="s">
        <v>74</v>
      </c>
      <c r="S885" t="s">
        <v>74</v>
      </c>
      <c r="T885" t="s">
        <v>17014</v>
      </c>
      <c r="U885" t="s">
        <v>17015</v>
      </c>
      <c r="V885" t="s">
        <v>17016</v>
      </c>
      <c r="W885" t="s">
        <v>17017</v>
      </c>
      <c r="X885" t="s">
        <v>17018</v>
      </c>
      <c r="Y885" t="s">
        <v>17019</v>
      </c>
      <c r="Z885" t="s">
        <v>17020</v>
      </c>
      <c r="AA885" t="s">
        <v>17021</v>
      </c>
      <c r="AB885" t="s">
        <v>17022</v>
      </c>
      <c r="AC885" t="s">
        <v>17023</v>
      </c>
      <c r="AD885" t="s">
        <v>17024</v>
      </c>
      <c r="AE885" t="s">
        <v>17025</v>
      </c>
      <c r="AF885" t="s">
        <v>74</v>
      </c>
      <c r="AG885">
        <v>308</v>
      </c>
      <c r="AH885">
        <v>13</v>
      </c>
      <c r="AI885">
        <v>14</v>
      </c>
      <c r="AJ885">
        <v>0</v>
      </c>
      <c r="AK885">
        <v>135</v>
      </c>
      <c r="AL885" t="s">
        <v>3485</v>
      </c>
      <c r="AM885" t="s">
        <v>1540</v>
      </c>
      <c r="AN885" t="s">
        <v>3486</v>
      </c>
      <c r="AO885" t="s">
        <v>17026</v>
      </c>
      <c r="AP885" t="s">
        <v>17027</v>
      </c>
      <c r="AQ885" t="s">
        <v>74</v>
      </c>
      <c r="AR885" t="s">
        <v>17028</v>
      </c>
      <c r="AS885" t="s">
        <v>17029</v>
      </c>
      <c r="AT885" t="s">
        <v>16620</v>
      </c>
      <c r="AU885">
        <v>2018</v>
      </c>
      <c r="AV885">
        <v>42</v>
      </c>
      <c r="AW885">
        <v>1</v>
      </c>
      <c r="AX885" t="s">
        <v>74</v>
      </c>
      <c r="AY885" t="s">
        <v>74</v>
      </c>
      <c r="AZ885" t="s">
        <v>74</v>
      </c>
      <c r="BA885" t="s">
        <v>74</v>
      </c>
      <c r="BB885">
        <v>24</v>
      </c>
      <c r="BC885">
        <v>60</v>
      </c>
      <c r="BD885" t="s">
        <v>74</v>
      </c>
      <c r="BE885" t="s">
        <v>17030</v>
      </c>
      <c r="BF885" t="str">
        <f>HYPERLINK("http://dx.doi.org/10.1177/0309133317751843","http://dx.doi.org/10.1177/0309133317751843")</f>
        <v>http://dx.doi.org/10.1177/0309133317751843</v>
      </c>
      <c r="BG885" t="s">
        <v>74</v>
      </c>
      <c r="BH885" t="s">
        <v>74</v>
      </c>
      <c r="BI885">
        <v>37</v>
      </c>
      <c r="BJ885" t="s">
        <v>338</v>
      </c>
      <c r="BK885" t="s">
        <v>101</v>
      </c>
      <c r="BL885" t="s">
        <v>339</v>
      </c>
      <c r="BM885" t="s">
        <v>17031</v>
      </c>
      <c r="BN885" t="s">
        <v>74</v>
      </c>
      <c r="BO885" t="s">
        <v>17032</v>
      </c>
      <c r="BP885" t="s">
        <v>74</v>
      </c>
      <c r="BQ885" t="s">
        <v>74</v>
      </c>
      <c r="BR885" t="s">
        <v>105</v>
      </c>
      <c r="BS885" t="s">
        <v>17033</v>
      </c>
      <c r="BT885" t="str">
        <f>HYPERLINK("https%3A%2F%2Fwww.webofscience.com%2Fwos%2Fwoscc%2Ffull-record%2FWOS:000424668100002","View Full Record in Web of Science")</f>
        <v>View Full Record in Web of Science</v>
      </c>
    </row>
    <row r="886" spans="1:72" x14ac:dyDescent="0.15">
      <c r="A886" t="s">
        <v>72</v>
      </c>
      <c r="B886" t="s">
        <v>17034</v>
      </c>
      <c r="C886" t="s">
        <v>74</v>
      </c>
      <c r="D886" t="s">
        <v>74</v>
      </c>
      <c r="E886" t="s">
        <v>74</v>
      </c>
      <c r="F886" t="s">
        <v>17035</v>
      </c>
      <c r="G886" t="s">
        <v>74</v>
      </c>
      <c r="H886" t="s">
        <v>74</v>
      </c>
      <c r="I886" t="s">
        <v>17036</v>
      </c>
      <c r="J886" t="s">
        <v>810</v>
      </c>
      <c r="K886" t="s">
        <v>74</v>
      </c>
      <c r="L886" t="s">
        <v>74</v>
      </c>
      <c r="M886" t="s">
        <v>78</v>
      </c>
      <c r="N886" t="s">
        <v>79</v>
      </c>
      <c r="O886" t="s">
        <v>74</v>
      </c>
      <c r="P886" t="s">
        <v>74</v>
      </c>
      <c r="Q886" t="s">
        <v>74</v>
      </c>
      <c r="R886" t="s">
        <v>74</v>
      </c>
      <c r="S886" t="s">
        <v>74</v>
      </c>
      <c r="T886" t="s">
        <v>17037</v>
      </c>
      <c r="U886" t="s">
        <v>17038</v>
      </c>
      <c r="V886" t="s">
        <v>17039</v>
      </c>
      <c r="W886" t="s">
        <v>17040</v>
      </c>
      <c r="X886" t="s">
        <v>17041</v>
      </c>
      <c r="Y886" t="s">
        <v>17042</v>
      </c>
      <c r="Z886" t="s">
        <v>17043</v>
      </c>
      <c r="AA886" t="s">
        <v>17044</v>
      </c>
      <c r="AB886" t="s">
        <v>17045</v>
      </c>
      <c r="AC886" t="s">
        <v>17046</v>
      </c>
      <c r="AD886" t="s">
        <v>17047</v>
      </c>
      <c r="AE886" t="s">
        <v>17048</v>
      </c>
      <c r="AF886" t="s">
        <v>74</v>
      </c>
      <c r="AG886">
        <v>68</v>
      </c>
      <c r="AH886">
        <v>69</v>
      </c>
      <c r="AI886">
        <v>74</v>
      </c>
      <c r="AJ886">
        <v>0</v>
      </c>
      <c r="AK886">
        <v>89</v>
      </c>
      <c r="AL886" t="s">
        <v>627</v>
      </c>
      <c r="AM886" t="s">
        <v>628</v>
      </c>
      <c r="AN886" t="s">
        <v>629</v>
      </c>
      <c r="AO886" t="s">
        <v>823</v>
      </c>
      <c r="AP886" t="s">
        <v>74</v>
      </c>
      <c r="AQ886" t="s">
        <v>74</v>
      </c>
      <c r="AR886" t="s">
        <v>824</v>
      </c>
      <c r="AS886" t="s">
        <v>825</v>
      </c>
      <c r="AT886" t="s">
        <v>16620</v>
      </c>
      <c r="AU886">
        <v>2018</v>
      </c>
      <c r="AV886">
        <v>10</v>
      </c>
      <c r="AW886">
        <v>2</v>
      </c>
      <c r="AX886" t="s">
        <v>74</v>
      </c>
      <c r="AY886" t="s">
        <v>74</v>
      </c>
      <c r="AZ886" t="s">
        <v>74</v>
      </c>
      <c r="BA886" t="s">
        <v>74</v>
      </c>
      <c r="BB886" t="s">
        <v>74</v>
      </c>
      <c r="BC886" t="s">
        <v>74</v>
      </c>
      <c r="BD886">
        <v>188</v>
      </c>
      <c r="BE886" t="s">
        <v>17049</v>
      </c>
      <c r="BF886" t="str">
        <f>HYPERLINK("http://dx.doi.org/10.3390/rs10020188","http://dx.doi.org/10.3390/rs10020188")</f>
        <v>http://dx.doi.org/10.3390/rs10020188</v>
      </c>
      <c r="BG886" t="s">
        <v>74</v>
      </c>
      <c r="BH886" t="s">
        <v>74</v>
      </c>
      <c r="BI886">
        <v>17</v>
      </c>
      <c r="BJ886" t="s">
        <v>827</v>
      </c>
      <c r="BK886" t="s">
        <v>101</v>
      </c>
      <c r="BL886" t="s">
        <v>828</v>
      </c>
      <c r="BM886" t="s">
        <v>17050</v>
      </c>
      <c r="BN886" t="s">
        <v>74</v>
      </c>
      <c r="BO886" t="s">
        <v>2293</v>
      </c>
      <c r="BP886" t="s">
        <v>74</v>
      </c>
      <c r="BQ886" t="s">
        <v>74</v>
      </c>
      <c r="BR886" t="s">
        <v>105</v>
      </c>
      <c r="BS886" t="s">
        <v>17051</v>
      </c>
      <c r="BT886" t="str">
        <f>HYPERLINK("https%3A%2F%2Fwww.webofscience.com%2Fwos%2Fwoscc%2Ffull-record%2FWOS:000427542100035","View Full Record in Web of Science")</f>
        <v>View Full Record in Web of Science</v>
      </c>
    </row>
    <row r="887" spans="1:72" x14ac:dyDescent="0.15">
      <c r="A887" t="s">
        <v>72</v>
      </c>
      <c r="B887" t="s">
        <v>17052</v>
      </c>
      <c r="C887" t="s">
        <v>74</v>
      </c>
      <c r="D887" t="s">
        <v>74</v>
      </c>
      <c r="E887" t="s">
        <v>74</v>
      </c>
      <c r="F887" t="s">
        <v>17053</v>
      </c>
      <c r="G887" t="s">
        <v>74</v>
      </c>
      <c r="H887" t="s">
        <v>74</v>
      </c>
      <c r="I887" t="s">
        <v>17054</v>
      </c>
      <c r="J887" t="s">
        <v>810</v>
      </c>
      <c r="K887" t="s">
        <v>74</v>
      </c>
      <c r="L887" t="s">
        <v>74</v>
      </c>
      <c r="M887" t="s">
        <v>78</v>
      </c>
      <c r="N887" t="s">
        <v>79</v>
      </c>
      <c r="O887" t="s">
        <v>74</v>
      </c>
      <c r="P887" t="s">
        <v>74</v>
      </c>
      <c r="Q887" t="s">
        <v>74</v>
      </c>
      <c r="R887" t="s">
        <v>74</v>
      </c>
      <c r="S887" t="s">
        <v>74</v>
      </c>
      <c r="T887" t="s">
        <v>17055</v>
      </c>
      <c r="U887" t="s">
        <v>74</v>
      </c>
      <c r="V887" t="s">
        <v>17056</v>
      </c>
      <c r="W887" t="s">
        <v>17057</v>
      </c>
      <c r="X887" t="s">
        <v>17058</v>
      </c>
      <c r="Y887" t="s">
        <v>17059</v>
      </c>
      <c r="Z887" t="s">
        <v>17060</v>
      </c>
      <c r="AA887" t="s">
        <v>17061</v>
      </c>
      <c r="AB887" t="s">
        <v>17062</v>
      </c>
      <c r="AC887" t="s">
        <v>17063</v>
      </c>
      <c r="AD887" t="s">
        <v>17064</v>
      </c>
      <c r="AE887" t="s">
        <v>17065</v>
      </c>
      <c r="AF887" t="s">
        <v>74</v>
      </c>
      <c r="AG887">
        <v>33</v>
      </c>
      <c r="AH887">
        <v>11</v>
      </c>
      <c r="AI887">
        <v>12</v>
      </c>
      <c r="AJ887">
        <v>0</v>
      </c>
      <c r="AK887">
        <v>15</v>
      </c>
      <c r="AL887" t="s">
        <v>627</v>
      </c>
      <c r="AM887" t="s">
        <v>628</v>
      </c>
      <c r="AN887" t="s">
        <v>629</v>
      </c>
      <c r="AO887" t="s">
        <v>74</v>
      </c>
      <c r="AP887" t="s">
        <v>823</v>
      </c>
      <c r="AQ887" t="s">
        <v>74</v>
      </c>
      <c r="AR887" t="s">
        <v>824</v>
      </c>
      <c r="AS887" t="s">
        <v>825</v>
      </c>
      <c r="AT887" t="s">
        <v>16620</v>
      </c>
      <c r="AU887">
        <v>2018</v>
      </c>
      <c r="AV887">
        <v>10</v>
      </c>
      <c r="AW887">
        <v>2</v>
      </c>
      <c r="AX887" t="s">
        <v>74</v>
      </c>
      <c r="AY887" t="s">
        <v>74</v>
      </c>
      <c r="AZ887" t="s">
        <v>74</v>
      </c>
      <c r="BA887" t="s">
        <v>74</v>
      </c>
      <c r="BB887" t="s">
        <v>74</v>
      </c>
      <c r="BC887" t="s">
        <v>74</v>
      </c>
      <c r="BD887">
        <v>233</v>
      </c>
      <c r="BE887" t="s">
        <v>17066</v>
      </c>
      <c r="BF887" t="str">
        <f>HYPERLINK("http://dx.doi.org/10.3390/rs10020233","http://dx.doi.org/10.3390/rs10020233")</f>
        <v>http://dx.doi.org/10.3390/rs10020233</v>
      </c>
      <c r="BG887" t="s">
        <v>74</v>
      </c>
      <c r="BH887" t="s">
        <v>74</v>
      </c>
      <c r="BI887">
        <v>17</v>
      </c>
      <c r="BJ887" t="s">
        <v>827</v>
      </c>
      <c r="BK887" t="s">
        <v>101</v>
      </c>
      <c r="BL887" t="s">
        <v>828</v>
      </c>
      <c r="BM887" t="s">
        <v>17050</v>
      </c>
      <c r="BN887" t="s">
        <v>74</v>
      </c>
      <c r="BO887" t="s">
        <v>830</v>
      </c>
      <c r="BP887" t="s">
        <v>74</v>
      </c>
      <c r="BQ887" t="s">
        <v>74</v>
      </c>
      <c r="BR887" t="s">
        <v>105</v>
      </c>
      <c r="BS887" t="s">
        <v>17067</v>
      </c>
      <c r="BT887" t="str">
        <f>HYPERLINK("https%3A%2F%2Fwww.webofscience.com%2Fwos%2Fwoscc%2Ffull-record%2FWOS:000427542100079","View Full Record in Web of Science")</f>
        <v>View Full Record in Web of Science</v>
      </c>
    </row>
    <row r="888" spans="1:72" x14ac:dyDescent="0.15">
      <c r="A888" t="s">
        <v>72</v>
      </c>
      <c r="B888" t="s">
        <v>17068</v>
      </c>
      <c r="C888" t="s">
        <v>74</v>
      </c>
      <c r="D888" t="s">
        <v>74</v>
      </c>
      <c r="E888" t="s">
        <v>74</v>
      </c>
      <c r="F888" t="s">
        <v>17069</v>
      </c>
      <c r="G888" t="s">
        <v>74</v>
      </c>
      <c r="H888" t="s">
        <v>74</v>
      </c>
      <c r="I888" t="s">
        <v>17070</v>
      </c>
      <c r="J888" t="s">
        <v>901</v>
      </c>
      <c r="K888" t="s">
        <v>74</v>
      </c>
      <c r="L888" t="s">
        <v>74</v>
      </c>
      <c r="M888" t="s">
        <v>78</v>
      </c>
      <c r="N888" t="s">
        <v>79</v>
      </c>
      <c r="O888" t="s">
        <v>74</v>
      </c>
      <c r="P888" t="s">
        <v>74</v>
      </c>
      <c r="Q888" t="s">
        <v>74</v>
      </c>
      <c r="R888" t="s">
        <v>74</v>
      </c>
      <c r="S888" t="s">
        <v>74</v>
      </c>
      <c r="T888" t="s">
        <v>17071</v>
      </c>
      <c r="U888" t="s">
        <v>17072</v>
      </c>
      <c r="V888" t="s">
        <v>17073</v>
      </c>
      <c r="W888" t="s">
        <v>17074</v>
      </c>
      <c r="X888" t="s">
        <v>17075</v>
      </c>
      <c r="Y888" t="s">
        <v>17076</v>
      </c>
      <c r="Z888" t="s">
        <v>17077</v>
      </c>
      <c r="AA888" t="s">
        <v>17078</v>
      </c>
      <c r="AB888" t="s">
        <v>17079</v>
      </c>
      <c r="AC888" t="s">
        <v>17080</v>
      </c>
      <c r="AD888" t="s">
        <v>17081</v>
      </c>
      <c r="AE888" t="s">
        <v>17082</v>
      </c>
      <c r="AF888" t="s">
        <v>74</v>
      </c>
      <c r="AG888">
        <v>75</v>
      </c>
      <c r="AH888">
        <v>22</v>
      </c>
      <c r="AI888">
        <v>22</v>
      </c>
      <c r="AJ888">
        <v>1</v>
      </c>
      <c r="AK888">
        <v>76</v>
      </c>
      <c r="AL888" t="s">
        <v>914</v>
      </c>
      <c r="AM888" t="s">
        <v>452</v>
      </c>
      <c r="AN888" t="s">
        <v>915</v>
      </c>
      <c r="AO888" t="s">
        <v>916</v>
      </c>
      <c r="AP888" t="s">
        <v>917</v>
      </c>
      <c r="AQ888" t="s">
        <v>74</v>
      </c>
      <c r="AR888" t="s">
        <v>918</v>
      </c>
      <c r="AS888" t="s">
        <v>919</v>
      </c>
      <c r="AT888" t="s">
        <v>16707</v>
      </c>
      <c r="AU888">
        <v>2018</v>
      </c>
      <c r="AV888">
        <v>613</v>
      </c>
      <c r="AW888" t="s">
        <v>74</v>
      </c>
      <c r="AX888" t="s">
        <v>74</v>
      </c>
      <c r="AY888" t="s">
        <v>74</v>
      </c>
      <c r="AZ888" t="s">
        <v>74</v>
      </c>
      <c r="BA888" t="s">
        <v>74</v>
      </c>
      <c r="BB888">
        <v>619</v>
      </c>
      <c r="BC888">
        <v>634</v>
      </c>
      <c r="BD888" t="s">
        <v>74</v>
      </c>
      <c r="BE888" t="s">
        <v>17083</v>
      </c>
      <c r="BF888" t="str">
        <f>HYPERLINK("http://dx.doi.org/10.1016/j.scitotenv.2017.09.060","http://dx.doi.org/10.1016/j.scitotenv.2017.09.060")</f>
        <v>http://dx.doi.org/10.1016/j.scitotenv.2017.09.060</v>
      </c>
      <c r="BG888" t="s">
        <v>74</v>
      </c>
      <c r="BH888" t="s">
        <v>74</v>
      </c>
      <c r="BI888">
        <v>16</v>
      </c>
      <c r="BJ888" t="s">
        <v>921</v>
      </c>
      <c r="BK888" t="s">
        <v>101</v>
      </c>
      <c r="BL888" t="s">
        <v>315</v>
      </c>
      <c r="BM888" t="s">
        <v>17084</v>
      </c>
      <c r="BN888">
        <v>28930696</v>
      </c>
      <c r="BO888" t="s">
        <v>74</v>
      </c>
      <c r="BP888" t="s">
        <v>74</v>
      </c>
      <c r="BQ888" t="s">
        <v>74</v>
      </c>
      <c r="BR888" t="s">
        <v>105</v>
      </c>
      <c r="BS888" t="s">
        <v>17085</v>
      </c>
      <c r="BT888" t="str">
        <f>HYPERLINK("https%3A%2F%2Fwww.webofscience.com%2Fwos%2Fwoscc%2Ffull-record%2FWOS:000414160500065","View Full Record in Web of Science")</f>
        <v>View Full Record in Web of Science</v>
      </c>
    </row>
    <row r="889" spans="1:72" x14ac:dyDescent="0.15">
      <c r="A889" t="s">
        <v>72</v>
      </c>
      <c r="B889" t="s">
        <v>17086</v>
      </c>
      <c r="C889" t="s">
        <v>74</v>
      </c>
      <c r="D889" t="s">
        <v>74</v>
      </c>
      <c r="E889" t="s">
        <v>74</v>
      </c>
      <c r="F889" t="s">
        <v>17087</v>
      </c>
      <c r="G889" t="s">
        <v>74</v>
      </c>
      <c r="H889" t="s">
        <v>74</v>
      </c>
      <c r="I889" t="s">
        <v>17088</v>
      </c>
      <c r="J889" t="s">
        <v>17089</v>
      </c>
      <c r="K889" t="s">
        <v>74</v>
      </c>
      <c r="L889" t="s">
        <v>74</v>
      </c>
      <c r="M889" t="s">
        <v>78</v>
      </c>
      <c r="N889" t="s">
        <v>466</v>
      </c>
      <c r="O889" t="s">
        <v>74</v>
      </c>
      <c r="P889" t="s">
        <v>74</v>
      </c>
      <c r="Q889" t="s">
        <v>74</v>
      </c>
      <c r="R889" t="s">
        <v>74</v>
      </c>
      <c r="S889" t="s">
        <v>74</v>
      </c>
      <c r="T889" t="s">
        <v>17090</v>
      </c>
      <c r="U889" t="s">
        <v>17091</v>
      </c>
      <c r="V889" t="s">
        <v>17092</v>
      </c>
      <c r="W889" t="s">
        <v>17093</v>
      </c>
      <c r="X889" t="s">
        <v>17094</v>
      </c>
      <c r="Y889" t="s">
        <v>17095</v>
      </c>
      <c r="Z889" t="s">
        <v>17096</v>
      </c>
      <c r="AA889" t="s">
        <v>17097</v>
      </c>
      <c r="AB889" t="s">
        <v>17098</v>
      </c>
      <c r="AC889" t="s">
        <v>17099</v>
      </c>
      <c r="AD889" t="s">
        <v>17100</v>
      </c>
      <c r="AE889" t="s">
        <v>17101</v>
      </c>
      <c r="AF889" t="s">
        <v>74</v>
      </c>
      <c r="AG889">
        <v>77</v>
      </c>
      <c r="AH889">
        <v>25</v>
      </c>
      <c r="AI889">
        <v>25</v>
      </c>
      <c r="AJ889">
        <v>0</v>
      </c>
      <c r="AK889">
        <v>26</v>
      </c>
      <c r="AL889" t="s">
        <v>17102</v>
      </c>
      <c r="AM889" t="s">
        <v>1540</v>
      </c>
      <c r="AN889" t="s">
        <v>17103</v>
      </c>
      <c r="AO889" t="s">
        <v>17104</v>
      </c>
      <c r="AP889" t="s">
        <v>17105</v>
      </c>
      <c r="AQ889" t="s">
        <v>74</v>
      </c>
      <c r="AR889" t="s">
        <v>17106</v>
      </c>
      <c r="AS889" t="s">
        <v>17107</v>
      </c>
      <c r="AT889" t="s">
        <v>16620</v>
      </c>
      <c r="AU889">
        <v>2018</v>
      </c>
      <c r="AV889">
        <v>37</v>
      </c>
      <c r="AW889" t="s">
        <v>74</v>
      </c>
      <c r="AX889" t="s">
        <v>74</v>
      </c>
      <c r="AY889" t="s">
        <v>74</v>
      </c>
      <c r="AZ889" t="s">
        <v>74</v>
      </c>
      <c r="BA889" t="s">
        <v>74</v>
      </c>
      <c r="BB889">
        <v>159</v>
      </c>
      <c r="BC889">
        <v>172</v>
      </c>
      <c r="BD889" t="s">
        <v>74</v>
      </c>
      <c r="BE889" t="s">
        <v>17108</v>
      </c>
      <c r="BF889" t="str">
        <f>HYPERLINK("http://dx.doi.org/10.1016/j.smrv.2017.03.001","http://dx.doi.org/10.1016/j.smrv.2017.03.001")</f>
        <v>http://dx.doi.org/10.1016/j.smrv.2017.03.001</v>
      </c>
      <c r="BG889" t="s">
        <v>74</v>
      </c>
      <c r="BH889" t="s">
        <v>74</v>
      </c>
      <c r="BI889">
        <v>14</v>
      </c>
      <c r="BJ889" t="s">
        <v>17109</v>
      </c>
      <c r="BK889" t="s">
        <v>484</v>
      </c>
      <c r="BL889" t="s">
        <v>17110</v>
      </c>
      <c r="BM889" t="s">
        <v>17111</v>
      </c>
      <c r="BN889">
        <v>28460798</v>
      </c>
      <c r="BO889" t="s">
        <v>104</v>
      </c>
      <c r="BP889" t="s">
        <v>74</v>
      </c>
      <c r="BQ889" t="s">
        <v>74</v>
      </c>
      <c r="BR889" t="s">
        <v>105</v>
      </c>
      <c r="BS889" t="s">
        <v>17112</v>
      </c>
      <c r="BT889" t="str">
        <f>HYPERLINK("https%3A%2F%2Fwww.webofscience.com%2Fwos%2Fwoscc%2Ffull-record%2FWOS:000418753700017","View Full Record in Web of Science")</f>
        <v>View Full Record in Web of Science</v>
      </c>
    </row>
    <row r="890" spans="1:72" x14ac:dyDescent="0.15">
      <c r="A890" t="s">
        <v>72</v>
      </c>
      <c r="B890" t="s">
        <v>17113</v>
      </c>
      <c r="C890" t="s">
        <v>74</v>
      </c>
      <c r="D890" t="s">
        <v>74</v>
      </c>
      <c r="E890" t="s">
        <v>74</v>
      </c>
      <c r="F890" t="s">
        <v>17114</v>
      </c>
      <c r="G890" t="s">
        <v>74</v>
      </c>
      <c r="H890" t="s">
        <v>74</v>
      </c>
      <c r="I890" t="s">
        <v>17115</v>
      </c>
      <c r="J890" t="s">
        <v>17116</v>
      </c>
      <c r="K890" t="s">
        <v>74</v>
      </c>
      <c r="L890" t="s">
        <v>74</v>
      </c>
      <c r="M890" t="s">
        <v>78</v>
      </c>
      <c r="N890" t="s">
        <v>79</v>
      </c>
      <c r="O890" t="s">
        <v>74</v>
      </c>
      <c r="P890" t="s">
        <v>74</v>
      </c>
      <c r="Q890" t="s">
        <v>74</v>
      </c>
      <c r="R890" t="s">
        <v>74</v>
      </c>
      <c r="S890" t="s">
        <v>74</v>
      </c>
      <c r="T890" t="s">
        <v>17117</v>
      </c>
      <c r="U890" t="s">
        <v>17118</v>
      </c>
      <c r="V890" t="s">
        <v>17119</v>
      </c>
      <c r="W890" t="s">
        <v>17120</v>
      </c>
      <c r="X890" t="s">
        <v>17121</v>
      </c>
      <c r="Y890" t="s">
        <v>17122</v>
      </c>
      <c r="Z890" t="s">
        <v>17123</v>
      </c>
      <c r="AA890" t="s">
        <v>17124</v>
      </c>
      <c r="AB890" t="s">
        <v>17125</v>
      </c>
      <c r="AC890" t="s">
        <v>17126</v>
      </c>
      <c r="AD890" t="s">
        <v>17127</v>
      </c>
      <c r="AE890" t="s">
        <v>17128</v>
      </c>
      <c r="AF890" t="s">
        <v>74</v>
      </c>
      <c r="AG890">
        <v>78</v>
      </c>
      <c r="AH890">
        <v>3</v>
      </c>
      <c r="AI890">
        <v>3</v>
      </c>
      <c r="AJ890">
        <v>0</v>
      </c>
      <c r="AK890">
        <v>1</v>
      </c>
      <c r="AL890" t="s">
        <v>627</v>
      </c>
      <c r="AM890" t="s">
        <v>628</v>
      </c>
      <c r="AN890" t="s">
        <v>629</v>
      </c>
      <c r="AO890" t="s">
        <v>74</v>
      </c>
      <c r="AP890" t="s">
        <v>17129</v>
      </c>
      <c r="AQ890" t="s">
        <v>74</v>
      </c>
      <c r="AR890" t="s">
        <v>17130</v>
      </c>
      <c r="AS890" t="s">
        <v>17131</v>
      </c>
      <c r="AT890" t="s">
        <v>16620</v>
      </c>
      <c r="AU890">
        <v>2018</v>
      </c>
      <c r="AV890">
        <v>4</v>
      </c>
      <c r="AW890">
        <v>2</v>
      </c>
      <c r="AX890" t="s">
        <v>74</v>
      </c>
      <c r="AY890" t="s">
        <v>74</v>
      </c>
      <c r="AZ890" t="s">
        <v>74</v>
      </c>
      <c r="BA890" t="s">
        <v>74</v>
      </c>
      <c r="BB890" t="s">
        <v>74</v>
      </c>
      <c r="BC890" t="s">
        <v>74</v>
      </c>
      <c r="BD890">
        <v>24</v>
      </c>
      <c r="BE890" t="s">
        <v>17132</v>
      </c>
      <c r="BF890" t="str">
        <f>HYPERLINK("http://dx.doi.org/10.3390/universe4020024","http://dx.doi.org/10.3390/universe4020024")</f>
        <v>http://dx.doi.org/10.3390/universe4020024</v>
      </c>
      <c r="BG890" t="s">
        <v>74</v>
      </c>
      <c r="BH890" t="s">
        <v>74</v>
      </c>
      <c r="BI890">
        <v>10</v>
      </c>
      <c r="BJ890" t="s">
        <v>17133</v>
      </c>
      <c r="BK890" t="s">
        <v>101</v>
      </c>
      <c r="BL890" t="s">
        <v>17134</v>
      </c>
      <c r="BM890" t="s">
        <v>17135</v>
      </c>
      <c r="BN890" t="s">
        <v>74</v>
      </c>
      <c r="BO890" t="s">
        <v>3277</v>
      </c>
      <c r="BP890" t="s">
        <v>74</v>
      </c>
      <c r="BQ890" t="s">
        <v>74</v>
      </c>
      <c r="BR890" t="s">
        <v>105</v>
      </c>
      <c r="BS890" t="s">
        <v>17136</v>
      </c>
      <c r="BT890" t="str">
        <f>HYPERLINK("https%3A%2F%2Fwww.webofscience.com%2Fwos%2Fwoscc%2Ffull-record%2FWOS:000427543900005","View Full Record in Web of Science")</f>
        <v>View Full Record in Web of Science</v>
      </c>
    </row>
    <row r="891" spans="1:72" x14ac:dyDescent="0.15">
      <c r="A891" t="s">
        <v>72</v>
      </c>
      <c r="B891" t="s">
        <v>17137</v>
      </c>
      <c r="C891" t="s">
        <v>74</v>
      </c>
      <c r="D891" t="s">
        <v>74</v>
      </c>
      <c r="E891" t="s">
        <v>74</v>
      </c>
      <c r="F891" t="s">
        <v>17138</v>
      </c>
      <c r="G891" t="s">
        <v>74</v>
      </c>
      <c r="H891" t="s">
        <v>74</v>
      </c>
      <c r="I891" t="s">
        <v>17139</v>
      </c>
      <c r="J891" t="s">
        <v>7947</v>
      </c>
      <c r="K891" t="s">
        <v>74</v>
      </c>
      <c r="L891" t="s">
        <v>74</v>
      </c>
      <c r="M891" t="s">
        <v>78</v>
      </c>
      <c r="N891" t="s">
        <v>2606</v>
      </c>
      <c r="O891" t="s">
        <v>74</v>
      </c>
      <c r="P891" t="s">
        <v>74</v>
      </c>
      <c r="Q891" t="s">
        <v>74</v>
      </c>
      <c r="R891" t="s">
        <v>74</v>
      </c>
      <c r="S891" t="s">
        <v>74</v>
      </c>
      <c r="T891" t="s">
        <v>74</v>
      </c>
      <c r="U891" t="s">
        <v>17140</v>
      </c>
      <c r="V891" t="s">
        <v>17141</v>
      </c>
      <c r="W891" t="s">
        <v>17142</v>
      </c>
      <c r="X891" t="s">
        <v>17143</v>
      </c>
      <c r="Y891" t="s">
        <v>17144</v>
      </c>
      <c r="Z891" t="s">
        <v>17145</v>
      </c>
      <c r="AA891" t="s">
        <v>17146</v>
      </c>
      <c r="AB891" t="s">
        <v>17147</v>
      </c>
      <c r="AC891" t="s">
        <v>17148</v>
      </c>
      <c r="AD891" t="s">
        <v>17149</v>
      </c>
      <c r="AE891" t="s">
        <v>17150</v>
      </c>
      <c r="AF891" t="s">
        <v>74</v>
      </c>
      <c r="AG891">
        <v>18</v>
      </c>
      <c r="AH891">
        <v>3</v>
      </c>
      <c r="AI891">
        <v>3</v>
      </c>
      <c r="AJ891">
        <v>0</v>
      </c>
      <c r="AK891">
        <v>1</v>
      </c>
      <c r="AL891" t="s">
        <v>914</v>
      </c>
      <c r="AM891" t="s">
        <v>452</v>
      </c>
      <c r="AN891" t="s">
        <v>915</v>
      </c>
      <c r="AO891" t="s">
        <v>7960</v>
      </c>
      <c r="AP891" t="s">
        <v>74</v>
      </c>
      <c r="AQ891" t="s">
        <v>74</v>
      </c>
      <c r="AR891" t="s">
        <v>7961</v>
      </c>
      <c r="AS891" t="s">
        <v>7962</v>
      </c>
      <c r="AT891" t="s">
        <v>16620</v>
      </c>
      <c r="AU891">
        <v>2018</v>
      </c>
      <c r="AV891">
        <v>16</v>
      </c>
      <c r="AW891" t="s">
        <v>74</v>
      </c>
      <c r="AX891" t="s">
        <v>74</v>
      </c>
      <c r="AY891" t="s">
        <v>74</v>
      </c>
      <c r="AZ891" t="s">
        <v>74</v>
      </c>
      <c r="BA891" t="s">
        <v>74</v>
      </c>
      <c r="BB891">
        <v>172</v>
      </c>
      <c r="BC891">
        <v>181</v>
      </c>
      <c r="BD891" t="s">
        <v>74</v>
      </c>
      <c r="BE891" t="s">
        <v>17151</v>
      </c>
      <c r="BF891" t="str">
        <f>HYPERLINK("http://dx.doi.org/10.1016/j.dib.2017.11.021","http://dx.doi.org/10.1016/j.dib.2017.11.021")</f>
        <v>http://dx.doi.org/10.1016/j.dib.2017.11.021</v>
      </c>
      <c r="BG891" t="s">
        <v>74</v>
      </c>
      <c r="BH891" t="s">
        <v>74</v>
      </c>
      <c r="BI891">
        <v>10</v>
      </c>
      <c r="BJ891" t="s">
        <v>1670</v>
      </c>
      <c r="BK891" t="s">
        <v>261</v>
      </c>
      <c r="BL891" t="s">
        <v>1671</v>
      </c>
      <c r="BM891" t="s">
        <v>17152</v>
      </c>
      <c r="BN891">
        <v>29201984</v>
      </c>
      <c r="BO891" t="s">
        <v>764</v>
      </c>
      <c r="BP891" t="s">
        <v>74</v>
      </c>
      <c r="BQ891" t="s">
        <v>74</v>
      </c>
      <c r="BR891" t="s">
        <v>105</v>
      </c>
      <c r="BS891" t="s">
        <v>17153</v>
      </c>
      <c r="BT891" t="str">
        <f>HYPERLINK("https%3A%2F%2Fwww.webofscience.com%2Fwos%2Fwoscc%2Ffull-record%2FWOS:000449758500029","View Full Record in Web of Science")</f>
        <v>View Full Record in Web of Science</v>
      </c>
    </row>
    <row r="892" spans="1:72" x14ac:dyDescent="0.15">
      <c r="A892" t="s">
        <v>72</v>
      </c>
      <c r="B892" t="s">
        <v>17154</v>
      </c>
      <c r="C892" t="s">
        <v>74</v>
      </c>
      <c r="D892" t="s">
        <v>74</v>
      </c>
      <c r="E892" t="s">
        <v>74</v>
      </c>
      <c r="F892" t="s">
        <v>17155</v>
      </c>
      <c r="G892" t="s">
        <v>74</v>
      </c>
      <c r="H892" t="s">
        <v>74</v>
      </c>
      <c r="I892" t="s">
        <v>17156</v>
      </c>
      <c r="J892" t="s">
        <v>12002</v>
      </c>
      <c r="K892" t="s">
        <v>74</v>
      </c>
      <c r="L892" t="s">
        <v>74</v>
      </c>
      <c r="M892" t="s">
        <v>78</v>
      </c>
      <c r="N892" t="s">
        <v>79</v>
      </c>
      <c r="O892" t="s">
        <v>74</v>
      </c>
      <c r="P892" t="s">
        <v>74</v>
      </c>
      <c r="Q892" t="s">
        <v>74</v>
      </c>
      <c r="R892" t="s">
        <v>74</v>
      </c>
      <c r="S892" t="s">
        <v>74</v>
      </c>
      <c r="T892" t="s">
        <v>17157</v>
      </c>
      <c r="U892" t="s">
        <v>17158</v>
      </c>
      <c r="V892" t="s">
        <v>17159</v>
      </c>
      <c r="W892" t="s">
        <v>17160</v>
      </c>
      <c r="X892" t="s">
        <v>17161</v>
      </c>
      <c r="Y892" t="s">
        <v>17162</v>
      </c>
      <c r="Z892" t="s">
        <v>17163</v>
      </c>
      <c r="AA892" t="s">
        <v>17164</v>
      </c>
      <c r="AB892" t="s">
        <v>74</v>
      </c>
      <c r="AC892" t="s">
        <v>17165</v>
      </c>
      <c r="AD892" t="s">
        <v>17166</v>
      </c>
      <c r="AE892" t="s">
        <v>17167</v>
      </c>
      <c r="AF892" t="s">
        <v>74</v>
      </c>
      <c r="AG892">
        <v>76</v>
      </c>
      <c r="AH892">
        <v>9</v>
      </c>
      <c r="AI892">
        <v>9</v>
      </c>
      <c r="AJ892">
        <v>0</v>
      </c>
      <c r="AK892">
        <v>6</v>
      </c>
      <c r="AL892" t="s">
        <v>277</v>
      </c>
      <c r="AM892" t="s">
        <v>278</v>
      </c>
      <c r="AN892" t="s">
        <v>279</v>
      </c>
      <c r="AO892" t="s">
        <v>12015</v>
      </c>
      <c r="AP892" t="s">
        <v>12016</v>
      </c>
      <c r="AQ892" t="s">
        <v>74</v>
      </c>
      <c r="AR892" t="s">
        <v>12017</v>
      </c>
      <c r="AS892" t="s">
        <v>12018</v>
      </c>
      <c r="AT892" t="s">
        <v>16620</v>
      </c>
      <c r="AU892">
        <v>2018</v>
      </c>
      <c r="AV892">
        <v>148</v>
      </c>
      <c r="AW892" t="s">
        <v>74</v>
      </c>
      <c r="AX892" t="s">
        <v>74</v>
      </c>
      <c r="AY892" t="s">
        <v>74</v>
      </c>
      <c r="AZ892" t="s">
        <v>508</v>
      </c>
      <c r="BA892" t="s">
        <v>74</v>
      </c>
      <c r="BB892">
        <v>54</v>
      </c>
      <c r="BC892">
        <v>63</v>
      </c>
      <c r="BD892" t="s">
        <v>74</v>
      </c>
      <c r="BE892" t="s">
        <v>17168</v>
      </c>
      <c r="BF892" t="str">
        <f>HYPERLINK("http://dx.doi.org/10.1016/j.dsr2.2017.07.013","http://dx.doi.org/10.1016/j.dsr2.2017.07.013")</f>
        <v>http://dx.doi.org/10.1016/j.dsr2.2017.07.013</v>
      </c>
      <c r="BG892" t="s">
        <v>74</v>
      </c>
      <c r="BH892" t="s">
        <v>74</v>
      </c>
      <c r="BI892">
        <v>10</v>
      </c>
      <c r="BJ892" t="s">
        <v>364</v>
      </c>
      <c r="BK892" t="s">
        <v>101</v>
      </c>
      <c r="BL892" t="s">
        <v>364</v>
      </c>
      <c r="BM892" t="s">
        <v>17169</v>
      </c>
      <c r="BN892" t="s">
        <v>74</v>
      </c>
      <c r="BO892" t="s">
        <v>74</v>
      </c>
      <c r="BP892" t="s">
        <v>74</v>
      </c>
      <c r="BQ892" t="s">
        <v>74</v>
      </c>
      <c r="BR892" t="s">
        <v>105</v>
      </c>
      <c r="BS892" t="s">
        <v>17170</v>
      </c>
      <c r="BT892" t="str">
        <f>HYPERLINK("https%3A%2F%2Fwww.webofscience.com%2Fwos%2Fwoscc%2Ffull-record%2FWOS:000432762700006","View Full Record in Web of Science")</f>
        <v>View Full Record in Web of Science</v>
      </c>
    </row>
    <row r="893" spans="1:72" x14ac:dyDescent="0.15">
      <c r="A893" t="s">
        <v>72</v>
      </c>
      <c r="B893" t="s">
        <v>17171</v>
      </c>
      <c r="C893" t="s">
        <v>74</v>
      </c>
      <c r="D893" t="s">
        <v>74</v>
      </c>
      <c r="E893" t="s">
        <v>74</v>
      </c>
      <c r="F893" t="s">
        <v>17172</v>
      </c>
      <c r="G893" t="s">
        <v>74</v>
      </c>
      <c r="H893" t="s">
        <v>74</v>
      </c>
      <c r="I893" t="s">
        <v>17173</v>
      </c>
      <c r="J893" t="s">
        <v>589</v>
      </c>
      <c r="K893" t="s">
        <v>74</v>
      </c>
      <c r="L893" t="s">
        <v>74</v>
      </c>
      <c r="M893" t="s">
        <v>78</v>
      </c>
      <c r="N893" t="s">
        <v>79</v>
      </c>
      <c r="O893" t="s">
        <v>74</v>
      </c>
      <c r="P893" t="s">
        <v>74</v>
      </c>
      <c r="Q893" t="s">
        <v>74</v>
      </c>
      <c r="R893" t="s">
        <v>74</v>
      </c>
      <c r="S893" t="s">
        <v>74</v>
      </c>
      <c r="T893" t="s">
        <v>17174</v>
      </c>
      <c r="U893" t="s">
        <v>17175</v>
      </c>
      <c r="V893" t="s">
        <v>17176</v>
      </c>
      <c r="W893" t="s">
        <v>17177</v>
      </c>
      <c r="X893" t="s">
        <v>17178</v>
      </c>
      <c r="Y893" t="s">
        <v>17179</v>
      </c>
      <c r="Z893" t="s">
        <v>3883</v>
      </c>
      <c r="AA893" t="s">
        <v>3884</v>
      </c>
      <c r="AB893" t="s">
        <v>3885</v>
      </c>
      <c r="AC893" t="s">
        <v>17180</v>
      </c>
      <c r="AD893" t="s">
        <v>17181</v>
      </c>
      <c r="AE893" t="s">
        <v>17182</v>
      </c>
      <c r="AF893" t="s">
        <v>74</v>
      </c>
      <c r="AG893">
        <v>19</v>
      </c>
      <c r="AH893">
        <v>3</v>
      </c>
      <c r="AI893">
        <v>3</v>
      </c>
      <c r="AJ893">
        <v>0</v>
      </c>
      <c r="AK893">
        <v>19</v>
      </c>
      <c r="AL893" t="s">
        <v>600</v>
      </c>
      <c r="AM893" t="s">
        <v>601</v>
      </c>
      <c r="AN893" t="s">
        <v>602</v>
      </c>
      <c r="AO893" t="s">
        <v>603</v>
      </c>
      <c r="AP893" t="s">
        <v>604</v>
      </c>
      <c r="AQ893" t="s">
        <v>74</v>
      </c>
      <c r="AR893" t="s">
        <v>605</v>
      </c>
      <c r="AS893" t="s">
        <v>606</v>
      </c>
      <c r="AT893" t="s">
        <v>16620</v>
      </c>
      <c r="AU893">
        <v>2018</v>
      </c>
      <c r="AV893">
        <v>34</v>
      </c>
      <c r="AW893">
        <v>1</v>
      </c>
      <c r="AX893" t="s">
        <v>74</v>
      </c>
      <c r="AY893" t="s">
        <v>74</v>
      </c>
      <c r="AZ893" t="s">
        <v>74</v>
      </c>
      <c r="BA893" t="s">
        <v>74</v>
      </c>
      <c r="BB893">
        <v>17</v>
      </c>
      <c r="BC893">
        <v>24</v>
      </c>
      <c r="BD893" t="s">
        <v>74</v>
      </c>
      <c r="BE893" t="s">
        <v>17183</v>
      </c>
      <c r="BF893" t="str">
        <f>HYPERLINK("http://dx.doi.org/10.7780/kjrs.2018.34.1.2","http://dx.doi.org/10.7780/kjrs.2018.34.1.2")</f>
        <v>http://dx.doi.org/10.7780/kjrs.2018.34.1.2</v>
      </c>
      <c r="BG893" t="s">
        <v>74</v>
      </c>
      <c r="BH893" t="s">
        <v>74</v>
      </c>
      <c r="BI893">
        <v>8</v>
      </c>
      <c r="BJ893" t="s">
        <v>608</v>
      </c>
      <c r="BK893" t="s">
        <v>261</v>
      </c>
      <c r="BL893" t="s">
        <v>608</v>
      </c>
      <c r="BM893" t="s">
        <v>17184</v>
      </c>
      <c r="BN893" t="s">
        <v>74</v>
      </c>
      <c r="BO893" t="s">
        <v>74</v>
      </c>
      <c r="BP893" t="s">
        <v>74</v>
      </c>
      <c r="BQ893" t="s">
        <v>74</v>
      </c>
      <c r="BR893" t="s">
        <v>105</v>
      </c>
      <c r="BS893" t="s">
        <v>17185</v>
      </c>
      <c r="BT893" t="str">
        <f>HYPERLINK("https%3A%2F%2Fwww.webofscience.com%2Fwos%2Fwoscc%2Ffull-record%2FWOS:000429335000002","View Full Record in Web of Science")</f>
        <v>View Full Record in Web of Science</v>
      </c>
    </row>
    <row r="894" spans="1:72" x14ac:dyDescent="0.15">
      <c r="A894" t="s">
        <v>72</v>
      </c>
      <c r="B894" t="s">
        <v>17186</v>
      </c>
      <c r="C894" t="s">
        <v>74</v>
      </c>
      <c r="D894" t="s">
        <v>74</v>
      </c>
      <c r="E894" t="s">
        <v>74</v>
      </c>
      <c r="F894" t="s">
        <v>17187</v>
      </c>
      <c r="G894" t="s">
        <v>74</v>
      </c>
      <c r="H894" t="s">
        <v>74</v>
      </c>
      <c r="I894" t="s">
        <v>17188</v>
      </c>
      <c r="J894" t="s">
        <v>12612</v>
      </c>
      <c r="K894" t="s">
        <v>74</v>
      </c>
      <c r="L894" t="s">
        <v>74</v>
      </c>
      <c r="M894" t="s">
        <v>78</v>
      </c>
      <c r="N894" t="s">
        <v>79</v>
      </c>
      <c r="O894" t="s">
        <v>74</v>
      </c>
      <c r="P894" t="s">
        <v>74</v>
      </c>
      <c r="Q894" t="s">
        <v>74</v>
      </c>
      <c r="R894" t="s">
        <v>74</v>
      </c>
      <c r="S894" t="s">
        <v>74</v>
      </c>
      <c r="T894" t="s">
        <v>17189</v>
      </c>
      <c r="U894" t="s">
        <v>17190</v>
      </c>
      <c r="V894" t="s">
        <v>17191</v>
      </c>
      <c r="W894" t="s">
        <v>17192</v>
      </c>
      <c r="X894" t="s">
        <v>17193</v>
      </c>
      <c r="Y894" t="s">
        <v>17194</v>
      </c>
      <c r="Z894" t="s">
        <v>17195</v>
      </c>
      <c r="AA894" t="s">
        <v>17196</v>
      </c>
      <c r="AB894" t="s">
        <v>17197</v>
      </c>
      <c r="AC894" t="s">
        <v>17198</v>
      </c>
      <c r="AD894" t="s">
        <v>1332</v>
      </c>
      <c r="AE894" t="s">
        <v>17199</v>
      </c>
      <c r="AF894" t="s">
        <v>74</v>
      </c>
      <c r="AG894">
        <v>42</v>
      </c>
      <c r="AH894">
        <v>0</v>
      </c>
      <c r="AI894">
        <v>0</v>
      </c>
      <c r="AJ894">
        <v>1</v>
      </c>
      <c r="AK894">
        <v>4</v>
      </c>
      <c r="AL894" t="s">
        <v>12621</v>
      </c>
      <c r="AM894" t="s">
        <v>92</v>
      </c>
      <c r="AN894" t="s">
        <v>17200</v>
      </c>
      <c r="AO894" t="s">
        <v>12624</v>
      </c>
      <c r="AP894" t="s">
        <v>12625</v>
      </c>
      <c r="AQ894" t="s">
        <v>74</v>
      </c>
      <c r="AR894" t="s">
        <v>12626</v>
      </c>
      <c r="AS894" t="s">
        <v>12627</v>
      </c>
      <c r="AT894" t="s">
        <v>16620</v>
      </c>
      <c r="AU894">
        <v>2018</v>
      </c>
      <c r="AV894">
        <v>43</v>
      </c>
      <c r="AW894">
        <v>2</v>
      </c>
      <c r="AX894" t="s">
        <v>74</v>
      </c>
      <c r="AY894" t="s">
        <v>74</v>
      </c>
      <c r="AZ894" t="s">
        <v>74</v>
      </c>
      <c r="BA894" t="s">
        <v>74</v>
      </c>
      <c r="BB894">
        <v>103</v>
      </c>
      <c r="BC894">
        <v>117</v>
      </c>
      <c r="BD894" t="s">
        <v>74</v>
      </c>
      <c r="BE894" t="s">
        <v>17201</v>
      </c>
      <c r="BF894" t="str">
        <f>HYPERLINK("http://dx.doi.org/10.3103/S1068373918020061","http://dx.doi.org/10.3103/S1068373918020061")</f>
        <v>http://dx.doi.org/10.3103/S1068373918020061</v>
      </c>
      <c r="BG894" t="s">
        <v>74</v>
      </c>
      <c r="BH894" t="s">
        <v>74</v>
      </c>
      <c r="BI894">
        <v>15</v>
      </c>
      <c r="BJ894" t="s">
        <v>131</v>
      </c>
      <c r="BK894" t="s">
        <v>101</v>
      </c>
      <c r="BL894" t="s">
        <v>131</v>
      </c>
      <c r="BM894" t="s">
        <v>17202</v>
      </c>
      <c r="BN894" t="s">
        <v>74</v>
      </c>
      <c r="BO894" t="s">
        <v>74</v>
      </c>
      <c r="BP894" t="s">
        <v>74</v>
      </c>
      <c r="BQ894" t="s">
        <v>74</v>
      </c>
      <c r="BR894" t="s">
        <v>105</v>
      </c>
      <c r="BS894" t="s">
        <v>17203</v>
      </c>
      <c r="BT894" t="str">
        <f>HYPERLINK("https%3A%2F%2Fwww.webofscience.com%2Fwos%2Fwoscc%2Ffull-record%2FWOS:000429364800006","View Full Record in Web of Science")</f>
        <v>View Full Record in Web of Science</v>
      </c>
    </row>
    <row r="895" spans="1:72" x14ac:dyDescent="0.15">
      <c r="A895" t="s">
        <v>72</v>
      </c>
      <c r="B895" t="s">
        <v>17204</v>
      </c>
      <c r="C895" t="s">
        <v>74</v>
      </c>
      <c r="D895" t="s">
        <v>74</v>
      </c>
      <c r="E895" t="s">
        <v>74</v>
      </c>
      <c r="F895" t="s">
        <v>17205</v>
      </c>
      <c r="G895" t="s">
        <v>74</v>
      </c>
      <c r="H895" t="s">
        <v>74</v>
      </c>
      <c r="I895" t="s">
        <v>17206</v>
      </c>
      <c r="J895" t="s">
        <v>12612</v>
      </c>
      <c r="K895" t="s">
        <v>74</v>
      </c>
      <c r="L895" t="s">
        <v>74</v>
      </c>
      <c r="M895" t="s">
        <v>78</v>
      </c>
      <c r="N895" t="s">
        <v>466</v>
      </c>
      <c r="O895" t="s">
        <v>74</v>
      </c>
      <c r="P895" t="s">
        <v>74</v>
      </c>
      <c r="Q895" t="s">
        <v>74</v>
      </c>
      <c r="R895" t="s">
        <v>74</v>
      </c>
      <c r="S895" t="s">
        <v>74</v>
      </c>
      <c r="T895" t="s">
        <v>17207</v>
      </c>
      <c r="U895" t="s">
        <v>74</v>
      </c>
      <c r="V895" t="s">
        <v>17208</v>
      </c>
      <c r="W895" t="s">
        <v>17209</v>
      </c>
      <c r="X895" t="s">
        <v>17210</v>
      </c>
      <c r="Y895" t="s">
        <v>17211</v>
      </c>
      <c r="Z895" t="s">
        <v>17212</v>
      </c>
      <c r="AA895" t="s">
        <v>74</v>
      </c>
      <c r="AB895" t="s">
        <v>74</v>
      </c>
      <c r="AC895" t="s">
        <v>74</v>
      </c>
      <c r="AD895" t="s">
        <v>74</v>
      </c>
      <c r="AE895" t="s">
        <v>74</v>
      </c>
      <c r="AF895" t="s">
        <v>74</v>
      </c>
      <c r="AG895">
        <v>12</v>
      </c>
      <c r="AH895">
        <v>1</v>
      </c>
      <c r="AI895">
        <v>1</v>
      </c>
      <c r="AJ895">
        <v>0</v>
      </c>
      <c r="AK895">
        <v>3</v>
      </c>
      <c r="AL895" t="s">
        <v>17213</v>
      </c>
      <c r="AM895" t="s">
        <v>92</v>
      </c>
      <c r="AN895" t="s">
        <v>17214</v>
      </c>
      <c r="AO895" t="s">
        <v>12624</v>
      </c>
      <c r="AP895" t="s">
        <v>12625</v>
      </c>
      <c r="AQ895" t="s">
        <v>74</v>
      </c>
      <c r="AR895" t="s">
        <v>12626</v>
      </c>
      <c r="AS895" t="s">
        <v>12627</v>
      </c>
      <c r="AT895" t="s">
        <v>16620</v>
      </c>
      <c r="AU895">
        <v>2018</v>
      </c>
      <c r="AV895">
        <v>43</v>
      </c>
      <c r="AW895">
        <v>2</v>
      </c>
      <c r="AX895" t="s">
        <v>74</v>
      </c>
      <c r="AY895" t="s">
        <v>74</v>
      </c>
      <c r="AZ895" t="s">
        <v>74</v>
      </c>
      <c r="BA895" t="s">
        <v>74</v>
      </c>
      <c r="BB895">
        <v>127</v>
      </c>
      <c r="BC895">
        <v>133</v>
      </c>
      <c r="BD895" t="s">
        <v>74</v>
      </c>
      <c r="BE895" t="s">
        <v>17215</v>
      </c>
      <c r="BF895" t="str">
        <f>HYPERLINK("http://dx.doi.org/10.3103/S1068373918020085","http://dx.doi.org/10.3103/S1068373918020085")</f>
        <v>http://dx.doi.org/10.3103/S1068373918020085</v>
      </c>
      <c r="BG895" t="s">
        <v>74</v>
      </c>
      <c r="BH895" t="s">
        <v>74</v>
      </c>
      <c r="BI895">
        <v>7</v>
      </c>
      <c r="BJ895" t="s">
        <v>131</v>
      </c>
      <c r="BK895" t="s">
        <v>101</v>
      </c>
      <c r="BL895" t="s">
        <v>131</v>
      </c>
      <c r="BM895" t="s">
        <v>17202</v>
      </c>
      <c r="BN895" t="s">
        <v>74</v>
      </c>
      <c r="BO895" t="s">
        <v>74</v>
      </c>
      <c r="BP895" t="s">
        <v>74</v>
      </c>
      <c r="BQ895" t="s">
        <v>74</v>
      </c>
      <c r="BR895" t="s">
        <v>105</v>
      </c>
      <c r="BS895" t="s">
        <v>17216</v>
      </c>
      <c r="BT895" t="str">
        <f>HYPERLINK("https%3A%2F%2Fwww.webofscience.com%2Fwos%2Fwoscc%2Ffull-record%2FWOS:000429364800008","View Full Record in Web of Science")</f>
        <v>View Full Record in Web of Science</v>
      </c>
    </row>
    <row r="896" spans="1:72" x14ac:dyDescent="0.15">
      <c r="A896" t="s">
        <v>72</v>
      </c>
      <c r="B896" t="s">
        <v>17217</v>
      </c>
      <c r="C896" t="s">
        <v>74</v>
      </c>
      <c r="D896" t="s">
        <v>74</v>
      </c>
      <c r="E896" t="s">
        <v>74</v>
      </c>
      <c r="F896" t="s">
        <v>17218</v>
      </c>
      <c r="G896" t="s">
        <v>74</v>
      </c>
      <c r="H896" t="s">
        <v>74</v>
      </c>
      <c r="I896" t="s">
        <v>17219</v>
      </c>
      <c r="J896" t="s">
        <v>17220</v>
      </c>
      <c r="K896" t="s">
        <v>74</v>
      </c>
      <c r="L896" t="s">
        <v>74</v>
      </c>
      <c r="M896" t="s">
        <v>78</v>
      </c>
      <c r="N896" t="s">
        <v>79</v>
      </c>
      <c r="O896" t="s">
        <v>74</v>
      </c>
      <c r="P896" t="s">
        <v>74</v>
      </c>
      <c r="Q896" t="s">
        <v>74</v>
      </c>
      <c r="R896" t="s">
        <v>74</v>
      </c>
      <c r="S896" t="s">
        <v>74</v>
      </c>
      <c r="T896" t="s">
        <v>17221</v>
      </c>
      <c r="U896" t="s">
        <v>17222</v>
      </c>
      <c r="V896" t="s">
        <v>17223</v>
      </c>
      <c r="W896" t="s">
        <v>17224</v>
      </c>
      <c r="X896" t="s">
        <v>17225</v>
      </c>
      <c r="Y896" t="s">
        <v>17226</v>
      </c>
      <c r="Z896" t="s">
        <v>17227</v>
      </c>
      <c r="AA896" t="s">
        <v>17228</v>
      </c>
      <c r="AB896" t="s">
        <v>17229</v>
      </c>
      <c r="AC896" t="s">
        <v>17230</v>
      </c>
      <c r="AD896" t="s">
        <v>17231</v>
      </c>
      <c r="AE896" t="s">
        <v>17232</v>
      </c>
      <c r="AF896" t="s">
        <v>74</v>
      </c>
      <c r="AG896">
        <v>26</v>
      </c>
      <c r="AH896">
        <v>10</v>
      </c>
      <c r="AI896">
        <v>10</v>
      </c>
      <c r="AJ896">
        <v>0</v>
      </c>
      <c r="AK896">
        <v>8</v>
      </c>
      <c r="AL896" t="s">
        <v>451</v>
      </c>
      <c r="AM896" t="s">
        <v>452</v>
      </c>
      <c r="AN896" t="s">
        <v>453</v>
      </c>
      <c r="AO896" t="s">
        <v>17233</v>
      </c>
      <c r="AP896" t="s">
        <v>17234</v>
      </c>
      <c r="AQ896" t="s">
        <v>74</v>
      </c>
      <c r="AR896" t="s">
        <v>17235</v>
      </c>
      <c r="AS896" t="s">
        <v>17236</v>
      </c>
      <c r="AT896" t="s">
        <v>16620</v>
      </c>
      <c r="AU896">
        <v>2018</v>
      </c>
      <c r="AV896">
        <v>37</v>
      </c>
      <c r="AW896" t="s">
        <v>74</v>
      </c>
      <c r="AX896" t="s">
        <v>74</v>
      </c>
      <c r="AY896" t="s">
        <v>74</v>
      </c>
      <c r="AZ896" t="s">
        <v>74</v>
      </c>
      <c r="BA896" t="s">
        <v>74</v>
      </c>
      <c r="BB896">
        <v>31</v>
      </c>
      <c r="BC896">
        <v>34</v>
      </c>
      <c r="BD896" t="s">
        <v>74</v>
      </c>
      <c r="BE896" t="s">
        <v>17237</v>
      </c>
      <c r="BF896" t="str">
        <f>HYPERLINK("http://dx.doi.org/10.1016/j.margen.2017.09.008","http://dx.doi.org/10.1016/j.margen.2017.09.008")</f>
        <v>http://dx.doi.org/10.1016/j.margen.2017.09.008</v>
      </c>
      <c r="BG896" t="s">
        <v>74</v>
      </c>
      <c r="BH896" t="s">
        <v>74</v>
      </c>
      <c r="BI896">
        <v>4</v>
      </c>
      <c r="BJ896" t="s">
        <v>17238</v>
      </c>
      <c r="BK896" t="s">
        <v>101</v>
      </c>
      <c r="BL896" t="s">
        <v>17238</v>
      </c>
      <c r="BM896" t="s">
        <v>17239</v>
      </c>
      <c r="BN896">
        <v>33250123</v>
      </c>
      <c r="BO896" t="s">
        <v>74</v>
      </c>
      <c r="BP896" t="s">
        <v>74</v>
      </c>
      <c r="BQ896" t="s">
        <v>74</v>
      </c>
      <c r="BR896" t="s">
        <v>105</v>
      </c>
      <c r="BS896" t="s">
        <v>17240</v>
      </c>
      <c r="BT896" t="str">
        <f>HYPERLINK("https%3A%2F%2Fwww.webofscience.com%2Fwos%2Fwoscc%2Ffull-record%2FWOS:000428974700005","View Full Record in Web of Science")</f>
        <v>View Full Record in Web of Science</v>
      </c>
    </row>
    <row r="897" spans="1:72" x14ac:dyDescent="0.15">
      <c r="A897" t="s">
        <v>72</v>
      </c>
      <c r="B897" t="s">
        <v>17241</v>
      </c>
      <c r="C897" t="s">
        <v>74</v>
      </c>
      <c r="D897" t="s">
        <v>74</v>
      </c>
      <c r="E897" t="s">
        <v>74</v>
      </c>
      <c r="F897" t="s">
        <v>17242</v>
      </c>
      <c r="G897" t="s">
        <v>74</v>
      </c>
      <c r="H897" t="s">
        <v>74</v>
      </c>
      <c r="I897" t="s">
        <v>17243</v>
      </c>
      <c r="J897" t="s">
        <v>17220</v>
      </c>
      <c r="K897" t="s">
        <v>74</v>
      </c>
      <c r="L897" t="s">
        <v>74</v>
      </c>
      <c r="M897" t="s">
        <v>78</v>
      </c>
      <c r="N897" t="s">
        <v>79</v>
      </c>
      <c r="O897" t="s">
        <v>74</v>
      </c>
      <c r="P897" t="s">
        <v>74</v>
      </c>
      <c r="Q897" t="s">
        <v>74</v>
      </c>
      <c r="R897" t="s">
        <v>74</v>
      </c>
      <c r="S897" t="s">
        <v>74</v>
      </c>
      <c r="T897" t="s">
        <v>17244</v>
      </c>
      <c r="U897" t="s">
        <v>17245</v>
      </c>
      <c r="V897" t="s">
        <v>17246</v>
      </c>
      <c r="W897" t="s">
        <v>17247</v>
      </c>
      <c r="X897" t="s">
        <v>17248</v>
      </c>
      <c r="Y897" t="s">
        <v>17249</v>
      </c>
      <c r="Z897" t="s">
        <v>17250</v>
      </c>
      <c r="AA897" t="s">
        <v>74</v>
      </c>
      <c r="AB897" t="s">
        <v>17251</v>
      </c>
      <c r="AC897" t="s">
        <v>17252</v>
      </c>
      <c r="AD897" t="s">
        <v>17253</v>
      </c>
      <c r="AE897" t="s">
        <v>17254</v>
      </c>
      <c r="AF897" t="s">
        <v>74</v>
      </c>
      <c r="AG897">
        <v>108</v>
      </c>
      <c r="AH897">
        <v>66</v>
      </c>
      <c r="AI897">
        <v>74</v>
      </c>
      <c r="AJ897">
        <v>16</v>
      </c>
      <c r="AK897">
        <v>66</v>
      </c>
      <c r="AL897" t="s">
        <v>451</v>
      </c>
      <c r="AM897" t="s">
        <v>452</v>
      </c>
      <c r="AN897" t="s">
        <v>453</v>
      </c>
      <c r="AO897" t="s">
        <v>17233</v>
      </c>
      <c r="AP897" t="s">
        <v>17234</v>
      </c>
      <c r="AQ897" t="s">
        <v>74</v>
      </c>
      <c r="AR897" t="s">
        <v>17235</v>
      </c>
      <c r="AS897" t="s">
        <v>17236</v>
      </c>
      <c r="AT897" t="s">
        <v>16620</v>
      </c>
      <c r="AU897">
        <v>2018</v>
      </c>
      <c r="AV897">
        <v>37</v>
      </c>
      <c r="AW897" t="s">
        <v>74</v>
      </c>
      <c r="AX897" t="s">
        <v>74</v>
      </c>
      <c r="AY897" t="s">
        <v>74</v>
      </c>
      <c r="AZ897" t="s">
        <v>74</v>
      </c>
      <c r="BA897" t="s">
        <v>74</v>
      </c>
      <c r="BB897">
        <v>148</v>
      </c>
      <c r="BC897">
        <v>160</v>
      </c>
      <c r="BD897" t="s">
        <v>74</v>
      </c>
      <c r="BE897" t="s">
        <v>17255</v>
      </c>
      <c r="BF897" t="str">
        <f>HYPERLINK("http://dx.doi.org/10.1016/j.margen.2017.11.003","http://dx.doi.org/10.1016/j.margen.2017.11.003")</f>
        <v>http://dx.doi.org/10.1016/j.margen.2017.11.003</v>
      </c>
      <c r="BG897" t="s">
        <v>74</v>
      </c>
      <c r="BH897" t="s">
        <v>74</v>
      </c>
      <c r="BI897">
        <v>13</v>
      </c>
      <c r="BJ897" t="s">
        <v>17238</v>
      </c>
      <c r="BK897" t="s">
        <v>101</v>
      </c>
      <c r="BL897" t="s">
        <v>17238</v>
      </c>
      <c r="BM897" t="s">
        <v>17239</v>
      </c>
      <c r="BN897">
        <v>29223543</v>
      </c>
      <c r="BO897" t="s">
        <v>2416</v>
      </c>
      <c r="BP897" t="s">
        <v>74</v>
      </c>
      <c r="BQ897" t="s">
        <v>74</v>
      </c>
      <c r="BR897" t="s">
        <v>105</v>
      </c>
      <c r="BS897" t="s">
        <v>17256</v>
      </c>
      <c r="BT897" t="str">
        <f>HYPERLINK("https%3A%2F%2Fwww.webofscience.com%2Fwos%2Fwoscc%2Ffull-record%2FWOS:000428974700022","View Full Record in Web of Science")</f>
        <v>View Full Record in Web of Science</v>
      </c>
    </row>
    <row r="898" spans="1:72" x14ac:dyDescent="0.15">
      <c r="A898" t="s">
        <v>72</v>
      </c>
      <c r="B898" t="s">
        <v>17257</v>
      </c>
      <c r="C898" t="s">
        <v>74</v>
      </c>
      <c r="D898" t="s">
        <v>74</v>
      </c>
      <c r="E898" t="s">
        <v>74</v>
      </c>
      <c r="F898" t="s">
        <v>17258</v>
      </c>
      <c r="G898" t="s">
        <v>74</v>
      </c>
      <c r="H898" t="s">
        <v>74</v>
      </c>
      <c r="I898" t="s">
        <v>17259</v>
      </c>
      <c r="J898" t="s">
        <v>3656</v>
      </c>
      <c r="K898" t="s">
        <v>74</v>
      </c>
      <c r="L898" t="s">
        <v>74</v>
      </c>
      <c r="M898" t="s">
        <v>78</v>
      </c>
      <c r="N898" t="s">
        <v>79</v>
      </c>
      <c r="O898" t="s">
        <v>74</v>
      </c>
      <c r="P898" t="s">
        <v>74</v>
      </c>
      <c r="Q898" t="s">
        <v>74</v>
      </c>
      <c r="R898" t="s">
        <v>74</v>
      </c>
      <c r="S898" t="s">
        <v>74</v>
      </c>
      <c r="T898" t="s">
        <v>17260</v>
      </c>
      <c r="U898" t="s">
        <v>17261</v>
      </c>
      <c r="V898" t="s">
        <v>17262</v>
      </c>
      <c r="W898" t="s">
        <v>17263</v>
      </c>
      <c r="X898" t="s">
        <v>4260</v>
      </c>
      <c r="Y898" t="s">
        <v>17264</v>
      </c>
      <c r="Z898" t="s">
        <v>17265</v>
      </c>
      <c r="AA898" t="s">
        <v>17266</v>
      </c>
      <c r="AB898" t="s">
        <v>17267</v>
      </c>
      <c r="AC898" t="s">
        <v>17268</v>
      </c>
      <c r="AD898" t="s">
        <v>17269</v>
      </c>
      <c r="AE898" t="s">
        <v>17270</v>
      </c>
      <c r="AF898" t="s">
        <v>74</v>
      </c>
      <c r="AG898">
        <v>29</v>
      </c>
      <c r="AH898">
        <v>16</v>
      </c>
      <c r="AI898">
        <v>17</v>
      </c>
      <c r="AJ898">
        <v>2</v>
      </c>
      <c r="AK898">
        <v>12</v>
      </c>
      <c r="AL898" t="s">
        <v>574</v>
      </c>
      <c r="AM898" t="s">
        <v>575</v>
      </c>
      <c r="AN898" t="s">
        <v>576</v>
      </c>
      <c r="AO898" t="s">
        <v>3669</v>
      </c>
      <c r="AP898" t="s">
        <v>3670</v>
      </c>
      <c r="AQ898" t="s">
        <v>74</v>
      </c>
      <c r="AR898" t="s">
        <v>3671</v>
      </c>
      <c r="AS898" t="s">
        <v>3672</v>
      </c>
      <c r="AT898" t="s">
        <v>16620</v>
      </c>
      <c r="AU898">
        <v>2018</v>
      </c>
      <c r="AV898">
        <v>123</v>
      </c>
      <c r="AW898">
        <v>2</v>
      </c>
      <c r="AX898" t="s">
        <v>74</v>
      </c>
      <c r="AY898" t="s">
        <v>74</v>
      </c>
      <c r="AZ898" t="s">
        <v>74</v>
      </c>
      <c r="BA898" t="s">
        <v>74</v>
      </c>
      <c r="BB898">
        <v>883</v>
      </c>
      <c r="BC898">
        <v>901</v>
      </c>
      <c r="BD898" t="s">
        <v>74</v>
      </c>
      <c r="BE898" t="s">
        <v>17271</v>
      </c>
      <c r="BF898" t="str">
        <f>HYPERLINK("http://dx.doi.org/10.1002/2017JC013408","http://dx.doi.org/10.1002/2017JC013408")</f>
        <v>http://dx.doi.org/10.1002/2017JC013408</v>
      </c>
      <c r="BG898" t="s">
        <v>74</v>
      </c>
      <c r="BH898" t="s">
        <v>74</v>
      </c>
      <c r="BI898">
        <v>19</v>
      </c>
      <c r="BJ898" t="s">
        <v>364</v>
      </c>
      <c r="BK898" t="s">
        <v>101</v>
      </c>
      <c r="BL898" t="s">
        <v>364</v>
      </c>
      <c r="BM898" t="s">
        <v>16871</v>
      </c>
      <c r="BN898" t="s">
        <v>74</v>
      </c>
      <c r="BO898" t="s">
        <v>4167</v>
      </c>
      <c r="BP898" t="s">
        <v>74</v>
      </c>
      <c r="BQ898" t="s">
        <v>74</v>
      </c>
      <c r="BR898" t="s">
        <v>105</v>
      </c>
      <c r="BS898" t="s">
        <v>17272</v>
      </c>
      <c r="BT898" t="str">
        <f>HYPERLINK("https%3A%2F%2Fwww.webofscience.com%2Fwos%2Fwoscc%2Ffull-record%2FWOS:000427970400010","View Full Record in Web of Science")</f>
        <v>View Full Record in Web of Science</v>
      </c>
    </row>
    <row r="899" spans="1:72" x14ac:dyDescent="0.15">
      <c r="A899" t="s">
        <v>72</v>
      </c>
      <c r="B899" t="s">
        <v>17273</v>
      </c>
      <c r="C899" t="s">
        <v>74</v>
      </c>
      <c r="D899" t="s">
        <v>74</v>
      </c>
      <c r="E899" t="s">
        <v>74</v>
      </c>
      <c r="F899" t="s">
        <v>17274</v>
      </c>
      <c r="G899" t="s">
        <v>74</v>
      </c>
      <c r="H899" t="s">
        <v>74</v>
      </c>
      <c r="I899" t="s">
        <v>17275</v>
      </c>
      <c r="J899" t="s">
        <v>3656</v>
      </c>
      <c r="K899" t="s">
        <v>74</v>
      </c>
      <c r="L899" t="s">
        <v>74</v>
      </c>
      <c r="M899" t="s">
        <v>78</v>
      </c>
      <c r="N899" t="s">
        <v>79</v>
      </c>
      <c r="O899" t="s">
        <v>74</v>
      </c>
      <c r="P899" t="s">
        <v>74</v>
      </c>
      <c r="Q899" t="s">
        <v>74</v>
      </c>
      <c r="R899" t="s">
        <v>74</v>
      </c>
      <c r="S899" t="s">
        <v>74</v>
      </c>
      <c r="T899" t="s">
        <v>74</v>
      </c>
      <c r="U899" t="s">
        <v>17276</v>
      </c>
      <c r="V899" t="s">
        <v>17277</v>
      </c>
      <c r="W899" t="s">
        <v>17278</v>
      </c>
      <c r="X899" t="s">
        <v>17279</v>
      </c>
      <c r="Y899" t="s">
        <v>17280</v>
      </c>
      <c r="Z899" t="s">
        <v>17281</v>
      </c>
      <c r="AA899" t="s">
        <v>17282</v>
      </c>
      <c r="AB899" t="s">
        <v>17283</v>
      </c>
      <c r="AC899" t="s">
        <v>17284</v>
      </c>
      <c r="AD899" t="s">
        <v>17285</v>
      </c>
      <c r="AE899" t="s">
        <v>17286</v>
      </c>
      <c r="AF899" t="s">
        <v>74</v>
      </c>
      <c r="AG899">
        <v>50</v>
      </c>
      <c r="AH899">
        <v>9</v>
      </c>
      <c r="AI899">
        <v>10</v>
      </c>
      <c r="AJ899">
        <v>0</v>
      </c>
      <c r="AK899">
        <v>6</v>
      </c>
      <c r="AL899" t="s">
        <v>574</v>
      </c>
      <c r="AM899" t="s">
        <v>575</v>
      </c>
      <c r="AN899" t="s">
        <v>576</v>
      </c>
      <c r="AO899" t="s">
        <v>3669</v>
      </c>
      <c r="AP899" t="s">
        <v>3670</v>
      </c>
      <c r="AQ899" t="s">
        <v>74</v>
      </c>
      <c r="AR899" t="s">
        <v>3671</v>
      </c>
      <c r="AS899" t="s">
        <v>3672</v>
      </c>
      <c r="AT899" t="s">
        <v>16620</v>
      </c>
      <c r="AU899">
        <v>2018</v>
      </c>
      <c r="AV899">
        <v>123</v>
      </c>
      <c r="AW899">
        <v>2</v>
      </c>
      <c r="AX899" t="s">
        <v>74</v>
      </c>
      <c r="AY899" t="s">
        <v>74</v>
      </c>
      <c r="AZ899" t="s">
        <v>74</v>
      </c>
      <c r="BA899" t="s">
        <v>74</v>
      </c>
      <c r="BB899">
        <v>939</v>
      </c>
      <c r="BC899">
        <v>951</v>
      </c>
      <c r="BD899" t="s">
        <v>74</v>
      </c>
      <c r="BE899" t="s">
        <v>17287</v>
      </c>
      <c r="BF899" t="str">
        <f>HYPERLINK("http://dx.doi.org/10.1002/2017JC012941","http://dx.doi.org/10.1002/2017JC012941")</f>
        <v>http://dx.doi.org/10.1002/2017JC012941</v>
      </c>
      <c r="BG899" t="s">
        <v>74</v>
      </c>
      <c r="BH899" t="s">
        <v>74</v>
      </c>
      <c r="BI899">
        <v>13</v>
      </c>
      <c r="BJ899" t="s">
        <v>364</v>
      </c>
      <c r="BK899" t="s">
        <v>101</v>
      </c>
      <c r="BL899" t="s">
        <v>364</v>
      </c>
      <c r="BM899" t="s">
        <v>16871</v>
      </c>
      <c r="BN899" t="s">
        <v>74</v>
      </c>
      <c r="BO899" t="s">
        <v>980</v>
      </c>
      <c r="BP899" t="s">
        <v>74</v>
      </c>
      <c r="BQ899" t="s">
        <v>74</v>
      </c>
      <c r="BR899" t="s">
        <v>105</v>
      </c>
      <c r="BS899" t="s">
        <v>17288</v>
      </c>
      <c r="BT899" t="str">
        <f>HYPERLINK("https%3A%2F%2Fwww.webofscience.com%2Fwos%2Fwoscc%2Ffull-record%2FWOS:000427970400013","View Full Record in Web of Science")</f>
        <v>View Full Record in Web of Science</v>
      </c>
    </row>
    <row r="900" spans="1:72" x14ac:dyDescent="0.15">
      <c r="A900" t="s">
        <v>72</v>
      </c>
      <c r="B900" t="s">
        <v>17289</v>
      </c>
      <c r="C900" t="s">
        <v>74</v>
      </c>
      <c r="D900" t="s">
        <v>74</v>
      </c>
      <c r="E900" t="s">
        <v>74</v>
      </c>
      <c r="F900" t="s">
        <v>17290</v>
      </c>
      <c r="G900" t="s">
        <v>74</v>
      </c>
      <c r="H900" t="s">
        <v>74</v>
      </c>
      <c r="I900" t="s">
        <v>17291</v>
      </c>
      <c r="J900" t="s">
        <v>3656</v>
      </c>
      <c r="K900" t="s">
        <v>74</v>
      </c>
      <c r="L900" t="s">
        <v>74</v>
      </c>
      <c r="M900" t="s">
        <v>78</v>
      </c>
      <c r="N900" t="s">
        <v>79</v>
      </c>
      <c r="O900" t="s">
        <v>74</v>
      </c>
      <c r="P900" t="s">
        <v>74</v>
      </c>
      <c r="Q900" t="s">
        <v>74</v>
      </c>
      <c r="R900" t="s">
        <v>74</v>
      </c>
      <c r="S900" t="s">
        <v>74</v>
      </c>
      <c r="T900" t="s">
        <v>74</v>
      </c>
      <c r="U900" t="s">
        <v>17292</v>
      </c>
      <c r="V900" t="s">
        <v>17293</v>
      </c>
      <c r="W900" t="s">
        <v>17294</v>
      </c>
      <c r="X900" t="s">
        <v>13171</v>
      </c>
      <c r="Y900" t="s">
        <v>17295</v>
      </c>
      <c r="Z900" t="s">
        <v>17296</v>
      </c>
      <c r="AA900" t="s">
        <v>17297</v>
      </c>
      <c r="AB900" t="s">
        <v>17298</v>
      </c>
      <c r="AC900" t="s">
        <v>17299</v>
      </c>
      <c r="AD900" t="s">
        <v>17300</v>
      </c>
      <c r="AE900" t="s">
        <v>17301</v>
      </c>
      <c r="AF900" t="s">
        <v>74</v>
      </c>
      <c r="AG900">
        <v>51</v>
      </c>
      <c r="AH900">
        <v>63</v>
      </c>
      <c r="AI900">
        <v>67</v>
      </c>
      <c r="AJ900">
        <v>1</v>
      </c>
      <c r="AK900">
        <v>40</v>
      </c>
      <c r="AL900" t="s">
        <v>574</v>
      </c>
      <c r="AM900" t="s">
        <v>575</v>
      </c>
      <c r="AN900" t="s">
        <v>576</v>
      </c>
      <c r="AO900" t="s">
        <v>3669</v>
      </c>
      <c r="AP900" t="s">
        <v>3670</v>
      </c>
      <c r="AQ900" t="s">
        <v>74</v>
      </c>
      <c r="AR900" t="s">
        <v>3671</v>
      </c>
      <c r="AS900" t="s">
        <v>3672</v>
      </c>
      <c r="AT900" t="s">
        <v>16620</v>
      </c>
      <c r="AU900">
        <v>2018</v>
      </c>
      <c r="AV900">
        <v>123</v>
      </c>
      <c r="AW900">
        <v>2</v>
      </c>
      <c r="AX900" t="s">
        <v>74</v>
      </c>
      <c r="AY900" t="s">
        <v>74</v>
      </c>
      <c r="AZ900" t="s">
        <v>74</v>
      </c>
      <c r="BA900" t="s">
        <v>74</v>
      </c>
      <c r="BB900">
        <v>971</v>
      </c>
      <c r="BC900">
        <v>984</v>
      </c>
      <c r="BD900" t="s">
        <v>74</v>
      </c>
      <c r="BE900" t="s">
        <v>17302</v>
      </c>
      <c r="BF900" t="str">
        <f>HYPERLINK("http://dx.doi.org/10.1002/2017JC012861","http://dx.doi.org/10.1002/2017JC012861")</f>
        <v>http://dx.doi.org/10.1002/2017JC012861</v>
      </c>
      <c r="BG900" t="s">
        <v>74</v>
      </c>
      <c r="BH900" t="s">
        <v>74</v>
      </c>
      <c r="BI900">
        <v>14</v>
      </c>
      <c r="BJ900" t="s">
        <v>364</v>
      </c>
      <c r="BK900" t="s">
        <v>101</v>
      </c>
      <c r="BL900" t="s">
        <v>364</v>
      </c>
      <c r="BM900" t="s">
        <v>16871</v>
      </c>
      <c r="BN900" t="s">
        <v>74</v>
      </c>
      <c r="BO900" t="s">
        <v>17303</v>
      </c>
      <c r="BP900" t="s">
        <v>74</v>
      </c>
      <c r="BQ900" t="s">
        <v>74</v>
      </c>
      <c r="BR900" t="s">
        <v>105</v>
      </c>
      <c r="BS900" t="s">
        <v>17304</v>
      </c>
      <c r="BT900" t="str">
        <f>HYPERLINK("https%3A%2F%2Fwww.webofscience.com%2Fwos%2Fwoscc%2Ffull-record%2FWOS:000427970400015","View Full Record in Web of Science")</f>
        <v>View Full Record in Web of Science</v>
      </c>
    </row>
    <row r="901" spans="1:72" x14ac:dyDescent="0.15">
      <c r="A901" t="s">
        <v>72</v>
      </c>
      <c r="B901" t="s">
        <v>17305</v>
      </c>
      <c r="C901" t="s">
        <v>74</v>
      </c>
      <c r="D901" t="s">
        <v>74</v>
      </c>
      <c r="E901" t="s">
        <v>74</v>
      </c>
      <c r="F901" t="s">
        <v>17306</v>
      </c>
      <c r="G901" t="s">
        <v>74</v>
      </c>
      <c r="H901" t="s">
        <v>74</v>
      </c>
      <c r="I901" t="s">
        <v>17307</v>
      </c>
      <c r="J901" t="s">
        <v>3656</v>
      </c>
      <c r="K901" t="s">
        <v>74</v>
      </c>
      <c r="L901" t="s">
        <v>74</v>
      </c>
      <c r="M901" t="s">
        <v>78</v>
      </c>
      <c r="N901" t="s">
        <v>79</v>
      </c>
      <c r="O901" t="s">
        <v>74</v>
      </c>
      <c r="P901" t="s">
        <v>74</v>
      </c>
      <c r="Q901" t="s">
        <v>74</v>
      </c>
      <c r="R901" t="s">
        <v>74</v>
      </c>
      <c r="S901" t="s">
        <v>74</v>
      </c>
      <c r="T901" t="s">
        <v>17308</v>
      </c>
      <c r="U901" t="s">
        <v>17309</v>
      </c>
      <c r="V901" t="s">
        <v>17310</v>
      </c>
      <c r="W901" t="s">
        <v>17311</v>
      </c>
      <c r="X901" t="s">
        <v>17312</v>
      </c>
      <c r="Y901" t="s">
        <v>17313</v>
      </c>
      <c r="Z901" t="s">
        <v>17314</v>
      </c>
      <c r="AA901" t="s">
        <v>17315</v>
      </c>
      <c r="AB901" t="s">
        <v>17316</v>
      </c>
      <c r="AC901" t="s">
        <v>17317</v>
      </c>
      <c r="AD901" t="s">
        <v>17318</v>
      </c>
      <c r="AE901" t="s">
        <v>17319</v>
      </c>
      <c r="AF901" t="s">
        <v>74</v>
      </c>
      <c r="AG901">
        <v>67</v>
      </c>
      <c r="AH901">
        <v>11</v>
      </c>
      <c r="AI901">
        <v>13</v>
      </c>
      <c r="AJ901">
        <v>0</v>
      </c>
      <c r="AK901">
        <v>17</v>
      </c>
      <c r="AL901" t="s">
        <v>574</v>
      </c>
      <c r="AM901" t="s">
        <v>575</v>
      </c>
      <c r="AN901" t="s">
        <v>576</v>
      </c>
      <c r="AO901" t="s">
        <v>3669</v>
      </c>
      <c r="AP901" t="s">
        <v>3670</v>
      </c>
      <c r="AQ901" t="s">
        <v>74</v>
      </c>
      <c r="AR901" t="s">
        <v>3671</v>
      </c>
      <c r="AS901" t="s">
        <v>3672</v>
      </c>
      <c r="AT901" t="s">
        <v>16620</v>
      </c>
      <c r="AU901">
        <v>2018</v>
      </c>
      <c r="AV901">
        <v>123</v>
      </c>
      <c r="AW901">
        <v>2</v>
      </c>
      <c r="AX901" t="s">
        <v>74</v>
      </c>
      <c r="AY901" t="s">
        <v>74</v>
      </c>
      <c r="AZ901" t="s">
        <v>74</v>
      </c>
      <c r="BA901" t="s">
        <v>74</v>
      </c>
      <c r="BB901">
        <v>1519</v>
      </c>
      <c r="BC901">
        <v>1532</v>
      </c>
      <c r="BD901" t="s">
        <v>74</v>
      </c>
      <c r="BE901" t="s">
        <v>17320</v>
      </c>
      <c r="BF901" t="str">
        <f>HYPERLINK("http://dx.doi.org/10.1002/2017JC013459","http://dx.doi.org/10.1002/2017JC013459")</f>
        <v>http://dx.doi.org/10.1002/2017JC013459</v>
      </c>
      <c r="BG901" t="s">
        <v>74</v>
      </c>
      <c r="BH901" t="s">
        <v>74</v>
      </c>
      <c r="BI901">
        <v>14</v>
      </c>
      <c r="BJ901" t="s">
        <v>364</v>
      </c>
      <c r="BK901" t="s">
        <v>101</v>
      </c>
      <c r="BL901" t="s">
        <v>364</v>
      </c>
      <c r="BM901" t="s">
        <v>16871</v>
      </c>
      <c r="BN901" t="s">
        <v>74</v>
      </c>
      <c r="BO901" t="s">
        <v>74</v>
      </c>
      <c r="BP901" t="s">
        <v>74</v>
      </c>
      <c r="BQ901" t="s">
        <v>74</v>
      </c>
      <c r="BR901" t="s">
        <v>105</v>
      </c>
      <c r="BS901" t="s">
        <v>17321</v>
      </c>
      <c r="BT901" t="str">
        <f>HYPERLINK("https%3A%2F%2Fwww.webofscience.com%2Fwos%2Fwoscc%2Ffull-record%2FWOS:000427970400046","View Full Record in Web of Science")</f>
        <v>View Full Record in Web of Science</v>
      </c>
    </row>
    <row r="902" spans="1:72" x14ac:dyDescent="0.15">
      <c r="A902" t="s">
        <v>72</v>
      </c>
      <c r="B902" t="s">
        <v>17322</v>
      </c>
      <c r="C902" t="s">
        <v>74</v>
      </c>
      <c r="D902" t="s">
        <v>74</v>
      </c>
      <c r="E902" t="s">
        <v>74</v>
      </c>
      <c r="F902" t="s">
        <v>17323</v>
      </c>
      <c r="G902" t="s">
        <v>74</v>
      </c>
      <c r="H902" t="s">
        <v>74</v>
      </c>
      <c r="I902" t="s">
        <v>17324</v>
      </c>
      <c r="J902" t="s">
        <v>3656</v>
      </c>
      <c r="K902" t="s">
        <v>74</v>
      </c>
      <c r="L902" t="s">
        <v>74</v>
      </c>
      <c r="M902" t="s">
        <v>78</v>
      </c>
      <c r="N902" t="s">
        <v>79</v>
      </c>
      <c r="O902" t="s">
        <v>74</v>
      </c>
      <c r="P902" t="s">
        <v>74</v>
      </c>
      <c r="Q902" t="s">
        <v>74</v>
      </c>
      <c r="R902" t="s">
        <v>74</v>
      </c>
      <c r="S902" t="s">
        <v>74</v>
      </c>
      <c r="T902" t="s">
        <v>74</v>
      </c>
      <c r="U902" t="s">
        <v>17325</v>
      </c>
      <c r="V902" t="s">
        <v>17326</v>
      </c>
      <c r="W902" t="s">
        <v>17327</v>
      </c>
      <c r="X902" t="s">
        <v>17328</v>
      </c>
      <c r="Y902" t="s">
        <v>17329</v>
      </c>
      <c r="Z902" t="s">
        <v>17330</v>
      </c>
      <c r="AA902" t="s">
        <v>17331</v>
      </c>
      <c r="AB902" t="s">
        <v>17332</v>
      </c>
      <c r="AC902" t="s">
        <v>17333</v>
      </c>
      <c r="AD902" t="s">
        <v>17333</v>
      </c>
      <c r="AE902" t="s">
        <v>17334</v>
      </c>
      <c r="AF902" t="s">
        <v>74</v>
      </c>
      <c r="AG902">
        <v>92</v>
      </c>
      <c r="AH902">
        <v>17</v>
      </c>
      <c r="AI902">
        <v>18</v>
      </c>
      <c r="AJ902">
        <v>1</v>
      </c>
      <c r="AK902">
        <v>8</v>
      </c>
      <c r="AL902" t="s">
        <v>574</v>
      </c>
      <c r="AM902" t="s">
        <v>575</v>
      </c>
      <c r="AN902" t="s">
        <v>576</v>
      </c>
      <c r="AO902" t="s">
        <v>3669</v>
      </c>
      <c r="AP902" t="s">
        <v>3670</v>
      </c>
      <c r="AQ902" t="s">
        <v>74</v>
      </c>
      <c r="AR902" t="s">
        <v>3671</v>
      </c>
      <c r="AS902" t="s">
        <v>3672</v>
      </c>
      <c r="AT902" t="s">
        <v>16620</v>
      </c>
      <c r="AU902">
        <v>2018</v>
      </c>
      <c r="AV902">
        <v>123</v>
      </c>
      <c r="AW902">
        <v>2</v>
      </c>
      <c r="AX902" t="s">
        <v>74</v>
      </c>
      <c r="AY902" t="s">
        <v>74</v>
      </c>
      <c r="AZ902" t="s">
        <v>74</v>
      </c>
      <c r="BA902" t="s">
        <v>74</v>
      </c>
      <c r="BB902">
        <v>1533</v>
      </c>
      <c r="BC902">
        <v>1562</v>
      </c>
      <c r="BD902" t="s">
        <v>74</v>
      </c>
      <c r="BE902" t="s">
        <v>17335</v>
      </c>
      <c r="BF902" t="str">
        <f>HYPERLINK("http://dx.doi.org/10.1002/2017JC013316","http://dx.doi.org/10.1002/2017JC013316")</f>
        <v>http://dx.doi.org/10.1002/2017JC013316</v>
      </c>
      <c r="BG902" t="s">
        <v>74</v>
      </c>
      <c r="BH902" t="s">
        <v>74</v>
      </c>
      <c r="BI902">
        <v>30</v>
      </c>
      <c r="BJ902" t="s">
        <v>364</v>
      </c>
      <c r="BK902" t="s">
        <v>101</v>
      </c>
      <c r="BL902" t="s">
        <v>364</v>
      </c>
      <c r="BM902" t="s">
        <v>16871</v>
      </c>
      <c r="BN902" t="s">
        <v>74</v>
      </c>
      <c r="BO902" t="s">
        <v>74</v>
      </c>
      <c r="BP902" t="s">
        <v>74</v>
      </c>
      <c r="BQ902" t="s">
        <v>74</v>
      </c>
      <c r="BR902" t="s">
        <v>105</v>
      </c>
      <c r="BS902" t="s">
        <v>17336</v>
      </c>
      <c r="BT902" t="str">
        <f>HYPERLINK("https%3A%2F%2Fwww.webofscience.com%2Fwos%2Fwoscc%2Ffull-record%2FWOS:000427970400047","View Full Record in Web of Science")</f>
        <v>View Full Record in Web of Science</v>
      </c>
    </row>
    <row r="903" spans="1:72" x14ac:dyDescent="0.15">
      <c r="A903" t="s">
        <v>72</v>
      </c>
      <c r="B903" t="s">
        <v>17337</v>
      </c>
      <c r="C903" t="s">
        <v>74</v>
      </c>
      <c r="D903" t="s">
        <v>74</v>
      </c>
      <c r="E903" t="s">
        <v>74</v>
      </c>
      <c r="F903" t="s">
        <v>17338</v>
      </c>
      <c r="G903" t="s">
        <v>74</v>
      </c>
      <c r="H903" t="s">
        <v>74</v>
      </c>
      <c r="I903" t="s">
        <v>17339</v>
      </c>
      <c r="J903" t="s">
        <v>9805</v>
      </c>
      <c r="K903" t="s">
        <v>74</v>
      </c>
      <c r="L903" t="s">
        <v>74</v>
      </c>
      <c r="M903" t="s">
        <v>78</v>
      </c>
      <c r="N903" t="s">
        <v>79</v>
      </c>
      <c r="O903" t="s">
        <v>74</v>
      </c>
      <c r="P903" t="s">
        <v>74</v>
      </c>
      <c r="Q903" t="s">
        <v>74</v>
      </c>
      <c r="R903" t="s">
        <v>74</v>
      </c>
      <c r="S903" t="s">
        <v>74</v>
      </c>
      <c r="T903" t="s">
        <v>17340</v>
      </c>
      <c r="U903" t="s">
        <v>74</v>
      </c>
      <c r="V903" t="s">
        <v>17341</v>
      </c>
      <c r="W903" t="s">
        <v>17342</v>
      </c>
      <c r="X903" t="s">
        <v>17343</v>
      </c>
      <c r="Y903" t="s">
        <v>17344</v>
      </c>
      <c r="Z903" t="s">
        <v>17345</v>
      </c>
      <c r="AA903" t="s">
        <v>17346</v>
      </c>
      <c r="AB903" t="s">
        <v>17347</v>
      </c>
      <c r="AC903" t="s">
        <v>17348</v>
      </c>
      <c r="AD903" t="s">
        <v>17349</v>
      </c>
      <c r="AE903" t="s">
        <v>17350</v>
      </c>
      <c r="AF903" t="s">
        <v>74</v>
      </c>
      <c r="AG903">
        <v>7</v>
      </c>
      <c r="AH903">
        <v>9</v>
      </c>
      <c r="AI903">
        <v>9</v>
      </c>
      <c r="AJ903">
        <v>0</v>
      </c>
      <c r="AK903">
        <v>3</v>
      </c>
      <c r="AL903" t="s">
        <v>574</v>
      </c>
      <c r="AM903" t="s">
        <v>575</v>
      </c>
      <c r="AN903" t="s">
        <v>576</v>
      </c>
      <c r="AO903" t="s">
        <v>9818</v>
      </c>
      <c r="AP903" t="s">
        <v>9819</v>
      </c>
      <c r="AQ903" t="s">
        <v>74</v>
      </c>
      <c r="AR903" t="s">
        <v>9820</v>
      </c>
      <c r="AS903" t="s">
        <v>9821</v>
      </c>
      <c r="AT903" t="s">
        <v>16620</v>
      </c>
      <c r="AU903">
        <v>2018</v>
      </c>
      <c r="AV903">
        <v>123</v>
      </c>
      <c r="AW903">
        <v>2</v>
      </c>
      <c r="AX903" t="s">
        <v>74</v>
      </c>
      <c r="AY903" t="s">
        <v>74</v>
      </c>
      <c r="AZ903" t="s">
        <v>74</v>
      </c>
      <c r="BA903" t="s">
        <v>74</v>
      </c>
      <c r="BB903">
        <v>2029</v>
      </c>
      <c r="BC903">
        <v>2032</v>
      </c>
      <c r="BD903" t="s">
        <v>74</v>
      </c>
      <c r="BE903" t="s">
        <v>17351</v>
      </c>
      <c r="BF903" t="str">
        <f>HYPERLINK("http://dx.doi.org/10.1002/2017JB014930","http://dx.doi.org/10.1002/2017JB014930")</f>
        <v>http://dx.doi.org/10.1002/2017JB014930</v>
      </c>
      <c r="BG903" t="s">
        <v>74</v>
      </c>
      <c r="BH903" t="s">
        <v>74</v>
      </c>
      <c r="BI903">
        <v>4</v>
      </c>
      <c r="BJ903" t="s">
        <v>260</v>
      </c>
      <c r="BK903" t="s">
        <v>101</v>
      </c>
      <c r="BL903" t="s">
        <v>260</v>
      </c>
      <c r="BM903" t="s">
        <v>17352</v>
      </c>
      <c r="BN903" t="s">
        <v>74</v>
      </c>
      <c r="BO903" t="s">
        <v>980</v>
      </c>
      <c r="BP903" t="s">
        <v>74</v>
      </c>
      <c r="BQ903" t="s">
        <v>74</v>
      </c>
      <c r="BR903" t="s">
        <v>105</v>
      </c>
      <c r="BS903" t="s">
        <v>17353</v>
      </c>
      <c r="BT903" t="str">
        <f>HYPERLINK("https%3A%2F%2Fwww.webofscience.com%2Fwos%2Fwoscc%2Ffull-record%2FWOS:000428437500062","View Full Record in Web of Science")</f>
        <v>View Full Record in Web of Science</v>
      </c>
    </row>
    <row r="904" spans="1:72" x14ac:dyDescent="0.15">
      <c r="A904" t="s">
        <v>72</v>
      </c>
      <c r="B904" t="s">
        <v>17354</v>
      </c>
      <c r="C904" t="s">
        <v>74</v>
      </c>
      <c r="D904" t="s">
        <v>74</v>
      </c>
      <c r="E904" t="s">
        <v>74</v>
      </c>
      <c r="F904" t="s">
        <v>17355</v>
      </c>
      <c r="G904" t="s">
        <v>74</v>
      </c>
      <c r="H904" t="s">
        <v>74</v>
      </c>
      <c r="I904" t="s">
        <v>17356</v>
      </c>
      <c r="J904" t="s">
        <v>810</v>
      </c>
      <c r="K904" t="s">
        <v>74</v>
      </c>
      <c r="L904" t="s">
        <v>74</v>
      </c>
      <c r="M904" t="s">
        <v>78</v>
      </c>
      <c r="N904" t="s">
        <v>79</v>
      </c>
      <c r="O904" t="s">
        <v>74</v>
      </c>
      <c r="P904" t="s">
        <v>74</v>
      </c>
      <c r="Q904" t="s">
        <v>74</v>
      </c>
      <c r="R904" t="s">
        <v>74</v>
      </c>
      <c r="S904" t="s">
        <v>74</v>
      </c>
      <c r="T904" t="s">
        <v>17357</v>
      </c>
      <c r="U904" t="s">
        <v>17358</v>
      </c>
      <c r="V904" t="s">
        <v>17359</v>
      </c>
      <c r="W904" t="s">
        <v>17360</v>
      </c>
      <c r="X904" t="s">
        <v>17361</v>
      </c>
      <c r="Y904" t="s">
        <v>17362</v>
      </c>
      <c r="Z904" t="s">
        <v>17363</v>
      </c>
      <c r="AA904" t="s">
        <v>17364</v>
      </c>
      <c r="AB904" t="s">
        <v>17365</v>
      </c>
      <c r="AC904" t="s">
        <v>17366</v>
      </c>
      <c r="AD904" t="s">
        <v>17367</v>
      </c>
      <c r="AE904" t="s">
        <v>17368</v>
      </c>
      <c r="AF904" t="s">
        <v>74</v>
      </c>
      <c r="AG904">
        <v>82</v>
      </c>
      <c r="AH904">
        <v>14</v>
      </c>
      <c r="AI904">
        <v>18</v>
      </c>
      <c r="AJ904">
        <v>3</v>
      </c>
      <c r="AK904">
        <v>26</v>
      </c>
      <c r="AL904" t="s">
        <v>627</v>
      </c>
      <c r="AM904" t="s">
        <v>628</v>
      </c>
      <c r="AN904" t="s">
        <v>629</v>
      </c>
      <c r="AO904" t="s">
        <v>74</v>
      </c>
      <c r="AP904" t="s">
        <v>823</v>
      </c>
      <c r="AQ904" t="s">
        <v>74</v>
      </c>
      <c r="AR904" t="s">
        <v>824</v>
      </c>
      <c r="AS904" t="s">
        <v>825</v>
      </c>
      <c r="AT904" t="s">
        <v>16620</v>
      </c>
      <c r="AU904">
        <v>2018</v>
      </c>
      <c r="AV904">
        <v>10</v>
      </c>
      <c r="AW904">
        <v>2</v>
      </c>
      <c r="AX904" t="s">
        <v>74</v>
      </c>
      <c r="AY904" t="s">
        <v>74</v>
      </c>
      <c r="AZ904" t="s">
        <v>74</v>
      </c>
      <c r="BA904" t="s">
        <v>74</v>
      </c>
      <c r="BB904" t="s">
        <v>74</v>
      </c>
      <c r="BC904" t="s">
        <v>74</v>
      </c>
      <c r="BD904">
        <v>167</v>
      </c>
      <c r="BE904" t="s">
        <v>17369</v>
      </c>
      <c r="BF904" t="str">
        <f>HYPERLINK("http://dx.doi.org/10.3390/rs10020167","http://dx.doi.org/10.3390/rs10020167")</f>
        <v>http://dx.doi.org/10.3390/rs10020167</v>
      </c>
      <c r="BG904" t="s">
        <v>74</v>
      </c>
      <c r="BH904" t="s">
        <v>74</v>
      </c>
      <c r="BI904">
        <v>21</v>
      </c>
      <c r="BJ904" t="s">
        <v>827</v>
      </c>
      <c r="BK904" t="s">
        <v>101</v>
      </c>
      <c r="BL904" t="s">
        <v>828</v>
      </c>
      <c r="BM904" t="s">
        <v>17050</v>
      </c>
      <c r="BN904" t="s">
        <v>74</v>
      </c>
      <c r="BO904" t="s">
        <v>2695</v>
      </c>
      <c r="BP904" t="s">
        <v>74</v>
      </c>
      <c r="BQ904" t="s">
        <v>74</v>
      </c>
      <c r="BR904" t="s">
        <v>105</v>
      </c>
      <c r="BS904" t="s">
        <v>17370</v>
      </c>
      <c r="BT904" t="str">
        <f>HYPERLINK("https%3A%2F%2Fwww.webofscience.com%2Fwos%2Fwoscc%2Ffull-record%2FWOS:000427542100014","View Full Record in Web of Science")</f>
        <v>View Full Record in Web of Science</v>
      </c>
    </row>
    <row r="905" spans="1:72" x14ac:dyDescent="0.15">
      <c r="A905" t="s">
        <v>72</v>
      </c>
      <c r="B905" t="s">
        <v>17371</v>
      </c>
      <c r="C905" t="s">
        <v>74</v>
      </c>
      <c r="D905" t="s">
        <v>74</v>
      </c>
      <c r="E905" t="s">
        <v>74</v>
      </c>
      <c r="F905" t="s">
        <v>17372</v>
      </c>
      <c r="G905" t="s">
        <v>74</v>
      </c>
      <c r="H905" t="s">
        <v>74</v>
      </c>
      <c r="I905" t="s">
        <v>17373</v>
      </c>
      <c r="J905" t="s">
        <v>810</v>
      </c>
      <c r="K905" t="s">
        <v>74</v>
      </c>
      <c r="L905" t="s">
        <v>74</v>
      </c>
      <c r="M905" t="s">
        <v>78</v>
      </c>
      <c r="N905" t="s">
        <v>79</v>
      </c>
      <c r="O905" t="s">
        <v>74</v>
      </c>
      <c r="P905" t="s">
        <v>74</v>
      </c>
      <c r="Q905" t="s">
        <v>74</v>
      </c>
      <c r="R905" t="s">
        <v>74</v>
      </c>
      <c r="S905" t="s">
        <v>74</v>
      </c>
      <c r="T905" t="s">
        <v>17374</v>
      </c>
      <c r="U905" t="s">
        <v>17375</v>
      </c>
      <c r="V905" t="s">
        <v>17376</v>
      </c>
      <c r="W905" t="s">
        <v>17377</v>
      </c>
      <c r="X905" t="s">
        <v>326</v>
      </c>
      <c r="Y905" t="s">
        <v>17378</v>
      </c>
      <c r="Z905" t="s">
        <v>17379</v>
      </c>
      <c r="AA905" t="s">
        <v>17380</v>
      </c>
      <c r="AB905" t="s">
        <v>17381</v>
      </c>
      <c r="AC905" t="s">
        <v>17382</v>
      </c>
      <c r="AD905" t="s">
        <v>17383</v>
      </c>
      <c r="AE905" t="s">
        <v>17384</v>
      </c>
      <c r="AF905" t="s">
        <v>74</v>
      </c>
      <c r="AG905">
        <v>34</v>
      </c>
      <c r="AH905">
        <v>14</v>
      </c>
      <c r="AI905">
        <v>18</v>
      </c>
      <c r="AJ905">
        <v>1</v>
      </c>
      <c r="AK905">
        <v>7</v>
      </c>
      <c r="AL905" t="s">
        <v>627</v>
      </c>
      <c r="AM905" t="s">
        <v>628</v>
      </c>
      <c r="AN905" t="s">
        <v>629</v>
      </c>
      <c r="AO905" t="s">
        <v>823</v>
      </c>
      <c r="AP905" t="s">
        <v>74</v>
      </c>
      <c r="AQ905" t="s">
        <v>74</v>
      </c>
      <c r="AR905" t="s">
        <v>824</v>
      </c>
      <c r="AS905" t="s">
        <v>825</v>
      </c>
      <c r="AT905" t="s">
        <v>16620</v>
      </c>
      <c r="AU905">
        <v>2018</v>
      </c>
      <c r="AV905">
        <v>10</v>
      </c>
      <c r="AW905">
        <v>2</v>
      </c>
      <c r="AX905" t="s">
        <v>74</v>
      </c>
      <c r="AY905" t="s">
        <v>74</v>
      </c>
      <c r="AZ905" t="s">
        <v>74</v>
      </c>
      <c r="BA905" t="s">
        <v>74</v>
      </c>
      <c r="BB905" t="s">
        <v>74</v>
      </c>
      <c r="BC905" t="s">
        <v>74</v>
      </c>
      <c r="BD905">
        <v>331</v>
      </c>
      <c r="BE905" t="s">
        <v>17385</v>
      </c>
      <c r="BF905" t="str">
        <f>HYPERLINK("http://dx.doi.org/10.3390/rs10020331","http://dx.doi.org/10.3390/rs10020331")</f>
        <v>http://dx.doi.org/10.3390/rs10020331</v>
      </c>
      <c r="BG905" t="s">
        <v>74</v>
      </c>
      <c r="BH905" t="s">
        <v>74</v>
      </c>
      <c r="BI905">
        <v>9</v>
      </c>
      <c r="BJ905" t="s">
        <v>827</v>
      </c>
      <c r="BK905" t="s">
        <v>101</v>
      </c>
      <c r="BL905" t="s">
        <v>828</v>
      </c>
      <c r="BM905" t="s">
        <v>17050</v>
      </c>
      <c r="BN905" t="s">
        <v>74</v>
      </c>
      <c r="BO905" t="s">
        <v>636</v>
      </c>
      <c r="BP905" t="s">
        <v>74</v>
      </c>
      <c r="BQ905" t="s">
        <v>74</v>
      </c>
      <c r="BR905" t="s">
        <v>105</v>
      </c>
      <c r="BS905" t="s">
        <v>17386</v>
      </c>
      <c r="BT905" t="str">
        <f>HYPERLINK("https%3A%2F%2Fwww.webofscience.com%2Fwos%2Fwoscc%2Ffull-record%2FWOS:000427542100175","View Full Record in Web of Science")</f>
        <v>View Full Record in Web of Science</v>
      </c>
    </row>
    <row r="906" spans="1:72" x14ac:dyDescent="0.15">
      <c r="A906" t="s">
        <v>72</v>
      </c>
      <c r="B906" t="s">
        <v>17387</v>
      </c>
      <c r="C906" t="s">
        <v>74</v>
      </c>
      <c r="D906" t="s">
        <v>74</v>
      </c>
      <c r="E906" t="s">
        <v>74</v>
      </c>
      <c r="F906" t="s">
        <v>17388</v>
      </c>
      <c r="G906" t="s">
        <v>74</v>
      </c>
      <c r="H906" t="s">
        <v>74</v>
      </c>
      <c r="I906" t="s">
        <v>17389</v>
      </c>
      <c r="J906" t="s">
        <v>810</v>
      </c>
      <c r="K906" t="s">
        <v>74</v>
      </c>
      <c r="L906" t="s">
        <v>74</v>
      </c>
      <c r="M906" t="s">
        <v>78</v>
      </c>
      <c r="N906" t="s">
        <v>79</v>
      </c>
      <c r="O906" t="s">
        <v>74</v>
      </c>
      <c r="P906" t="s">
        <v>74</v>
      </c>
      <c r="Q906" t="s">
        <v>74</v>
      </c>
      <c r="R906" t="s">
        <v>74</v>
      </c>
      <c r="S906" t="s">
        <v>74</v>
      </c>
      <c r="T906" t="s">
        <v>17390</v>
      </c>
      <c r="U906" t="s">
        <v>17391</v>
      </c>
      <c r="V906" t="s">
        <v>17392</v>
      </c>
      <c r="W906" t="s">
        <v>17393</v>
      </c>
      <c r="X906" t="s">
        <v>8153</v>
      </c>
      <c r="Y906" t="s">
        <v>17394</v>
      </c>
      <c r="Z906" t="s">
        <v>17395</v>
      </c>
      <c r="AA906" t="s">
        <v>17396</v>
      </c>
      <c r="AB906" t="s">
        <v>17397</v>
      </c>
      <c r="AC906" t="s">
        <v>17398</v>
      </c>
      <c r="AD906" t="s">
        <v>1126</v>
      </c>
      <c r="AE906" t="s">
        <v>17399</v>
      </c>
      <c r="AF906" t="s">
        <v>74</v>
      </c>
      <c r="AG906">
        <v>29</v>
      </c>
      <c r="AH906">
        <v>23</v>
      </c>
      <c r="AI906">
        <v>27</v>
      </c>
      <c r="AJ906">
        <v>0</v>
      </c>
      <c r="AK906">
        <v>18</v>
      </c>
      <c r="AL906" t="s">
        <v>627</v>
      </c>
      <c r="AM906" t="s">
        <v>628</v>
      </c>
      <c r="AN906" t="s">
        <v>629</v>
      </c>
      <c r="AO906" t="s">
        <v>74</v>
      </c>
      <c r="AP906" t="s">
        <v>823</v>
      </c>
      <c r="AQ906" t="s">
        <v>74</v>
      </c>
      <c r="AR906" t="s">
        <v>824</v>
      </c>
      <c r="AS906" t="s">
        <v>825</v>
      </c>
      <c r="AT906" t="s">
        <v>16620</v>
      </c>
      <c r="AU906">
        <v>2018</v>
      </c>
      <c r="AV906">
        <v>10</v>
      </c>
      <c r="AW906">
        <v>2</v>
      </c>
      <c r="AX906" t="s">
        <v>74</v>
      </c>
      <c r="AY906" t="s">
        <v>74</v>
      </c>
      <c r="AZ906" t="s">
        <v>74</v>
      </c>
      <c r="BA906" t="s">
        <v>74</v>
      </c>
      <c r="BB906" t="s">
        <v>74</v>
      </c>
      <c r="BC906" t="s">
        <v>74</v>
      </c>
      <c r="BD906">
        <v>317</v>
      </c>
      <c r="BE906" t="s">
        <v>17400</v>
      </c>
      <c r="BF906" t="str">
        <f>HYPERLINK("http://dx.doi.org/10.3390/rs10020317","http://dx.doi.org/10.3390/rs10020317")</f>
        <v>http://dx.doi.org/10.3390/rs10020317</v>
      </c>
      <c r="BG906" t="s">
        <v>74</v>
      </c>
      <c r="BH906" t="s">
        <v>74</v>
      </c>
      <c r="BI906">
        <v>13</v>
      </c>
      <c r="BJ906" t="s">
        <v>827</v>
      </c>
      <c r="BK906" t="s">
        <v>101</v>
      </c>
      <c r="BL906" t="s">
        <v>828</v>
      </c>
      <c r="BM906" t="s">
        <v>17050</v>
      </c>
      <c r="BN906" t="s">
        <v>74</v>
      </c>
      <c r="BO906" t="s">
        <v>830</v>
      </c>
      <c r="BP906" t="s">
        <v>74</v>
      </c>
      <c r="BQ906" t="s">
        <v>74</v>
      </c>
      <c r="BR906" t="s">
        <v>105</v>
      </c>
      <c r="BS906" t="s">
        <v>17401</v>
      </c>
      <c r="BT906" t="str">
        <f>HYPERLINK("https%3A%2F%2Fwww.webofscience.com%2Fwos%2Fwoscc%2Ffull-record%2FWOS:000427542100161","View Full Record in Web of Science")</f>
        <v>View Full Record in Web of Science</v>
      </c>
    </row>
    <row r="907" spans="1:72" x14ac:dyDescent="0.15">
      <c r="A907" t="s">
        <v>72</v>
      </c>
      <c r="B907" t="s">
        <v>17402</v>
      </c>
      <c r="C907" t="s">
        <v>74</v>
      </c>
      <c r="D907" t="s">
        <v>74</v>
      </c>
      <c r="E907" t="s">
        <v>74</v>
      </c>
      <c r="F907" t="s">
        <v>17403</v>
      </c>
      <c r="G907" t="s">
        <v>74</v>
      </c>
      <c r="H907" t="s">
        <v>74</v>
      </c>
      <c r="I907" t="s">
        <v>17404</v>
      </c>
      <c r="J907" t="s">
        <v>810</v>
      </c>
      <c r="K907" t="s">
        <v>74</v>
      </c>
      <c r="L907" t="s">
        <v>74</v>
      </c>
      <c r="M907" t="s">
        <v>78</v>
      </c>
      <c r="N907" t="s">
        <v>79</v>
      </c>
      <c r="O907" t="s">
        <v>74</v>
      </c>
      <c r="P907" t="s">
        <v>74</v>
      </c>
      <c r="Q907" t="s">
        <v>74</v>
      </c>
      <c r="R907" t="s">
        <v>74</v>
      </c>
      <c r="S907" t="s">
        <v>74</v>
      </c>
      <c r="T907" t="s">
        <v>17405</v>
      </c>
      <c r="U907" t="s">
        <v>17406</v>
      </c>
      <c r="V907" t="s">
        <v>17407</v>
      </c>
      <c r="W907" t="s">
        <v>17408</v>
      </c>
      <c r="X907" t="s">
        <v>17409</v>
      </c>
      <c r="Y907" t="s">
        <v>17410</v>
      </c>
      <c r="Z907" t="s">
        <v>17411</v>
      </c>
      <c r="AA907" t="s">
        <v>17412</v>
      </c>
      <c r="AB907" t="s">
        <v>17413</v>
      </c>
      <c r="AC907" t="s">
        <v>17414</v>
      </c>
      <c r="AD907" t="s">
        <v>17415</v>
      </c>
      <c r="AE907" t="s">
        <v>17416</v>
      </c>
      <c r="AF907" t="s">
        <v>74</v>
      </c>
      <c r="AG907">
        <v>76</v>
      </c>
      <c r="AH907">
        <v>56</v>
      </c>
      <c r="AI907">
        <v>58</v>
      </c>
      <c r="AJ907">
        <v>3</v>
      </c>
      <c r="AK907">
        <v>23</v>
      </c>
      <c r="AL907" t="s">
        <v>627</v>
      </c>
      <c r="AM907" t="s">
        <v>628</v>
      </c>
      <c r="AN907" t="s">
        <v>629</v>
      </c>
      <c r="AO907" t="s">
        <v>74</v>
      </c>
      <c r="AP907" t="s">
        <v>823</v>
      </c>
      <c r="AQ907" t="s">
        <v>74</v>
      </c>
      <c r="AR907" t="s">
        <v>824</v>
      </c>
      <c r="AS907" t="s">
        <v>825</v>
      </c>
      <c r="AT907" t="s">
        <v>16620</v>
      </c>
      <c r="AU907">
        <v>2018</v>
      </c>
      <c r="AV907">
        <v>10</v>
      </c>
      <c r="AW907">
        <v>2</v>
      </c>
      <c r="AX907" t="s">
        <v>74</v>
      </c>
      <c r="AY907" t="s">
        <v>74</v>
      </c>
      <c r="AZ907" t="s">
        <v>74</v>
      </c>
      <c r="BA907" t="s">
        <v>74</v>
      </c>
      <c r="BB907" t="s">
        <v>74</v>
      </c>
      <c r="BC907" t="s">
        <v>74</v>
      </c>
      <c r="BD907">
        <v>203</v>
      </c>
      <c r="BE907" t="s">
        <v>17417</v>
      </c>
      <c r="BF907" t="str">
        <f>HYPERLINK("http://dx.doi.org/10.3390/rs10020203","http://dx.doi.org/10.3390/rs10020203")</f>
        <v>http://dx.doi.org/10.3390/rs10020203</v>
      </c>
      <c r="BG907" t="s">
        <v>74</v>
      </c>
      <c r="BH907" t="s">
        <v>74</v>
      </c>
      <c r="BI907">
        <v>45</v>
      </c>
      <c r="BJ907" t="s">
        <v>827</v>
      </c>
      <c r="BK907" t="s">
        <v>101</v>
      </c>
      <c r="BL907" t="s">
        <v>828</v>
      </c>
      <c r="BM907" t="s">
        <v>17050</v>
      </c>
      <c r="BN907" t="s">
        <v>74</v>
      </c>
      <c r="BO907" t="s">
        <v>2339</v>
      </c>
      <c r="BP907" t="s">
        <v>74</v>
      </c>
      <c r="BQ907" t="s">
        <v>74</v>
      </c>
      <c r="BR907" t="s">
        <v>105</v>
      </c>
      <c r="BS907" t="s">
        <v>17418</v>
      </c>
      <c r="BT907" t="str">
        <f>HYPERLINK("https%3A%2F%2Fwww.webofscience.com%2Fwos%2Fwoscc%2Ffull-record%2FWOS:000427542100049","View Full Record in Web of Science")</f>
        <v>View Full Record in Web of Science</v>
      </c>
    </row>
    <row r="908" spans="1:72" x14ac:dyDescent="0.15">
      <c r="A908" t="s">
        <v>72</v>
      </c>
      <c r="B908" t="s">
        <v>17419</v>
      </c>
      <c r="C908" t="s">
        <v>74</v>
      </c>
      <c r="D908" t="s">
        <v>74</v>
      </c>
      <c r="E908" t="s">
        <v>74</v>
      </c>
      <c r="F908" t="s">
        <v>17420</v>
      </c>
      <c r="G908" t="s">
        <v>74</v>
      </c>
      <c r="H908" t="s">
        <v>74</v>
      </c>
      <c r="I908" t="s">
        <v>17421</v>
      </c>
      <c r="J908" t="s">
        <v>17422</v>
      </c>
      <c r="K908" t="s">
        <v>74</v>
      </c>
      <c r="L908" t="s">
        <v>74</v>
      </c>
      <c r="M908" t="s">
        <v>78</v>
      </c>
      <c r="N908" t="s">
        <v>79</v>
      </c>
      <c r="O908" t="s">
        <v>74</v>
      </c>
      <c r="P908" t="s">
        <v>74</v>
      </c>
      <c r="Q908" t="s">
        <v>74</v>
      </c>
      <c r="R908" t="s">
        <v>74</v>
      </c>
      <c r="S908" t="s">
        <v>74</v>
      </c>
      <c r="T908" t="s">
        <v>17423</v>
      </c>
      <c r="U908" t="s">
        <v>17424</v>
      </c>
      <c r="V908" t="s">
        <v>17425</v>
      </c>
      <c r="W908" t="s">
        <v>17426</v>
      </c>
      <c r="X908" t="s">
        <v>17427</v>
      </c>
      <c r="Y908" t="s">
        <v>17428</v>
      </c>
      <c r="Z908" t="s">
        <v>17429</v>
      </c>
      <c r="AA908" t="s">
        <v>17430</v>
      </c>
      <c r="AB908" t="s">
        <v>17431</v>
      </c>
      <c r="AC908" t="s">
        <v>17432</v>
      </c>
      <c r="AD908" t="s">
        <v>17433</v>
      </c>
      <c r="AE908" t="s">
        <v>17434</v>
      </c>
      <c r="AF908" t="s">
        <v>74</v>
      </c>
      <c r="AG908">
        <v>50</v>
      </c>
      <c r="AH908">
        <v>14</v>
      </c>
      <c r="AI908">
        <v>16</v>
      </c>
      <c r="AJ908">
        <v>0</v>
      </c>
      <c r="AK908">
        <v>25</v>
      </c>
      <c r="AL908" t="s">
        <v>179</v>
      </c>
      <c r="AM908" t="s">
        <v>180</v>
      </c>
      <c r="AN908" t="s">
        <v>181</v>
      </c>
      <c r="AO908" t="s">
        <v>17435</v>
      </c>
      <c r="AP908" t="s">
        <v>17436</v>
      </c>
      <c r="AQ908" t="s">
        <v>74</v>
      </c>
      <c r="AR908" t="s">
        <v>17437</v>
      </c>
      <c r="AS908" t="s">
        <v>17438</v>
      </c>
      <c r="AT908" t="s">
        <v>16620</v>
      </c>
      <c r="AU908">
        <v>2018</v>
      </c>
      <c r="AV908">
        <v>43</v>
      </c>
      <c r="AW908">
        <v>1</v>
      </c>
      <c r="AX908" t="s">
        <v>74</v>
      </c>
      <c r="AY908" t="s">
        <v>74</v>
      </c>
      <c r="AZ908" t="s">
        <v>74</v>
      </c>
      <c r="BA908" t="s">
        <v>74</v>
      </c>
      <c r="BB908">
        <v>25</v>
      </c>
      <c r="BC908">
        <v>34</v>
      </c>
      <c r="BD908" t="s">
        <v>74</v>
      </c>
      <c r="BE908" t="s">
        <v>17439</v>
      </c>
      <c r="BF908" t="str">
        <f>HYPERLINK("http://dx.doi.org/10.1111/aec.12531","http://dx.doi.org/10.1111/aec.12531")</f>
        <v>http://dx.doi.org/10.1111/aec.12531</v>
      </c>
      <c r="BG908" t="s">
        <v>74</v>
      </c>
      <c r="BH908" t="s">
        <v>74</v>
      </c>
      <c r="BI908">
        <v>10</v>
      </c>
      <c r="BJ908" t="s">
        <v>314</v>
      </c>
      <c r="BK908" t="s">
        <v>101</v>
      </c>
      <c r="BL908" t="s">
        <v>315</v>
      </c>
      <c r="BM908" t="s">
        <v>17440</v>
      </c>
      <c r="BN908" t="s">
        <v>74</v>
      </c>
      <c r="BO908" t="s">
        <v>74</v>
      </c>
      <c r="BP908" t="s">
        <v>74</v>
      </c>
      <c r="BQ908" t="s">
        <v>74</v>
      </c>
      <c r="BR908" t="s">
        <v>105</v>
      </c>
      <c r="BS908" t="s">
        <v>17441</v>
      </c>
      <c r="BT908" t="str">
        <f>HYPERLINK("https%3A%2F%2Fwww.webofscience.com%2Fwos%2Fwoscc%2Ffull-record%2FWOS:000427969700003","View Full Record in Web of Science")</f>
        <v>View Full Record in Web of Science</v>
      </c>
    </row>
    <row r="909" spans="1:72" x14ac:dyDescent="0.15">
      <c r="A909" t="s">
        <v>72</v>
      </c>
      <c r="B909" t="s">
        <v>17442</v>
      </c>
      <c r="C909" t="s">
        <v>74</v>
      </c>
      <c r="D909" t="s">
        <v>74</v>
      </c>
      <c r="E909" t="s">
        <v>74</v>
      </c>
      <c r="F909" t="s">
        <v>17443</v>
      </c>
      <c r="G909" t="s">
        <v>74</v>
      </c>
      <c r="H909" t="s">
        <v>74</v>
      </c>
      <c r="I909" t="s">
        <v>17444</v>
      </c>
      <c r="J909" t="s">
        <v>12907</v>
      </c>
      <c r="K909" t="s">
        <v>74</v>
      </c>
      <c r="L909" t="s">
        <v>74</v>
      </c>
      <c r="M909" t="s">
        <v>78</v>
      </c>
      <c r="N909" t="s">
        <v>79</v>
      </c>
      <c r="O909" t="s">
        <v>74</v>
      </c>
      <c r="P909" t="s">
        <v>74</v>
      </c>
      <c r="Q909" t="s">
        <v>74</v>
      </c>
      <c r="R909" t="s">
        <v>74</v>
      </c>
      <c r="S909" t="s">
        <v>74</v>
      </c>
      <c r="T909" t="s">
        <v>17445</v>
      </c>
      <c r="U909" t="s">
        <v>17446</v>
      </c>
      <c r="V909" t="s">
        <v>17447</v>
      </c>
      <c r="W909" t="s">
        <v>17448</v>
      </c>
      <c r="X909" t="s">
        <v>17449</v>
      </c>
      <c r="Y909" t="s">
        <v>17450</v>
      </c>
      <c r="Z909" t="s">
        <v>17451</v>
      </c>
      <c r="AA909" t="s">
        <v>17452</v>
      </c>
      <c r="AB909" t="s">
        <v>17453</v>
      </c>
      <c r="AC909" t="s">
        <v>17454</v>
      </c>
      <c r="AD909" t="s">
        <v>17455</v>
      </c>
      <c r="AE909" t="s">
        <v>17456</v>
      </c>
      <c r="AF909" t="s">
        <v>74</v>
      </c>
      <c r="AG909">
        <v>48</v>
      </c>
      <c r="AH909">
        <v>16</v>
      </c>
      <c r="AI909">
        <v>16</v>
      </c>
      <c r="AJ909">
        <v>2</v>
      </c>
      <c r="AK909">
        <v>35</v>
      </c>
      <c r="AL909" t="s">
        <v>627</v>
      </c>
      <c r="AM909" t="s">
        <v>628</v>
      </c>
      <c r="AN909" t="s">
        <v>629</v>
      </c>
      <c r="AO909" t="s">
        <v>74</v>
      </c>
      <c r="AP909" t="s">
        <v>12920</v>
      </c>
      <c r="AQ909" t="s">
        <v>74</v>
      </c>
      <c r="AR909" t="s">
        <v>12921</v>
      </c>
      <c r="AS909" t="s">
        <v>12922</v>
      </c>
      <c r="AT909" t="s">
        <v>16620</v>
      </c>
      <c r="AU909">
        <v>2018</v>
      </c>
      <c r="AV909">
        <v>19</v>
      </c>
      <c r="AW909">
        <v>2</v>
      </c>
      <c r="AX909" t="s">
        <v>74</v>
      </c>
      <c r="AY909" t="s">
        <v>74</v>
      </c>
      <c r="AZ909" t="s">
        <v>74</v>
      </c>
      <c r="BA909" t="s">
        <v>74</v>
      </c>
      <c r="BB909" t="s">
        <v>74</v>
      </c>
      <c r="BC909" t="s">
        <v>74</v>
      </c>
      <c r="BD909">
        <v>560</v>
      </c>
      <c r="BE909" t="s">
        <v>17457</v>
      </c>
      <c r="BF909" t="str">
        <f>HYPERLINK("http://dx.doi.org/10.3390/ijms19020560","http://dx.doi.org/10.3390/ijms19020560")</f>
        <v>http://dx.doi.org/10.3390/ijms19020560</v>
      </c>
      <c r="BG909" t="s">
        <v>74</v>
      </c>
      <c r="BH909" t="s">
        <v>74</v>
      </c>
      <c r="BI909">
        <v>18</v>
      </c>
      <c r="BJ909" t="s">
        <v>12481</v>
      </c>
      <c r="BK909" t="s">
        <v>101</v>
      </c>
      <c r="BL909" t="s">
        <v>12482</v>
      </c>
      <c r="BM909" t="s">
        <v>17458</v>
      </c>
      <c r="BN909">
        <v>29438291</v>
      </c>
      <c r="BO909" t="s">
        <v>17459</v>
      </c>
      <c r="BP909" t="s">
        <v>74</v>
      </c>
      <c r="BQ909" t="s">
        <v>74</v>
      </c>
      <c r="BR909" t="s">
        <v>105</v>
      </c>
      <c r="BS909" t="s">
        <v>17460</v>
      </c>
      <c r="BT909" t="str">
        <f>HYPERLINK("https%3A%2F%2Fwww.webofscience.com%2Fwos%2Fwoscc%2Ffull-record%2FWOS:000427527400244","View Full Record in Web of Science")</f>
        <v>View Full Record in Web of Science</v>
      </c>
    </row>
    <row r="910" spans="1:72" x14ac:dyDescent="0.15">
      <c r="A910" t="s">
        <v>72</v>
      </c>
      <c r="B910" t="s">
        <v>17461</v>
      </c>
      <c r="C910" t="s">
        <v>74</v>
      </c>
      <c r="D910" t="s">
        <v>74</v>
      </c>
      <c r="E910" t="s">
        <v>74</v>
      </c>
      <c r="F910" t="s">
        <v>17462</v>
      </c>
      <c r="G910" t="s">
        <v>74</v>
      </c>
      <c r="H910" t="s">
        <v>74</v>
      </c>
      <c r="I910" t="s">
        <v>17463</v>
      </c>
      <c r="J910" t="s">
        <v>4470</v>
      </c>
      <c r="K910" t="s">
        <v>74</v>
      </c>
      <c r="L910" t="s">
        <v>74</v>
      </c>
      <c r="M910" t="s">
        <v>78</v>
      </c>
      <c r="N910" t="s">
        <v>79</v>
      </c>
      <c r="O910" t="s">
        <v>74</v>
      </c>
      <c r="P910" t="s">
        <v>74</v>
      </c>
      <c r="Q910" t="s">
        <v>74</v>
      </c>
      <c r="R910" t="s">
        <v>74</v>
      </c>
      <c r="S910" t="s">
        <v>74</v>
      </c>
      <c r="T910" t="s">
        <v>17464</v>
      </c>
      <c r="U910" t="s">
        <v>17465</v>
      </c>
      <c r="V910" t="s">
        <v>17466</v>
      </c>
      <c r="W910" t="s">
        <v>17467</v>
      </c>
      <c r="X910" t="s">
        <v>17468</v>
      </c>
      <c r="Y910" t="s">
        <v>17469</v>
      </c>
      <c r="Z910" t="s">
        <v>17470</v>
      </c>
      <c r="AA910" t="s">
        <v>17471</v>
      </c>
      <c r="AB910" t="s">
        <v>17472</v>
      </c>
      <c r="AC910" t="s">
        <v>17473</v>
      </c>
      <c r="AD910" t="s">
        <v>17474</v>
      </c>
      <c r="AE910" t="s">
        <v>17475</v>
      </c>
      <c r="AF910" t="s">
        <v>74</v>
      </c>
      <c r="AG910">
        <v>122</v>
      </c>
      <c r="AH910">
        <v>15</v>
      </c>
      <c r="AI910">
        <v>15</v>
      </c>
      <c r="AJ910">
        <v>3</v>
      </c>
      <c r="AK910">
        <v>25</v>
      </c>
      <c r="AL910" t="s">
        <v>574</v>
      </c>
      <c r="AM910" t="s">
        <v>575</v>
      </c>
      <c r="AN910" t="s">
        <v>576</v>
      </c>
      <c r="AO910" t="s">
        <v>4482</v>
      </c>
      <c r="AP910" t="s">
        <v>4483</v>
      </c>
      <c r="AQ910" t="s">
        <v>74</v>
      </c>
      <c r="AR910" t="s">
        <v>4484</v>
      </c>
      <c r="AS910" t="s">
        <v>4485</v>
      </c>
      <c r="AT910" t="s">
        <v>16620</v>
      </c>
      <c r="AU910">
        <v>2018</v>
      </c>
      <c r="AV910">
        <v>33</v>
      </c>
      <c r="AW910">
        <v>2</v>
      </c>
      <c r="AX910" t="s">
        <v>74</v>
      </c>
      <c r="AY910" t="s">
        <v>74</v>
      </c>
      <c r="AZ910" t="s">
        <v>74</v>
      </c>
      <c r="BA910" t="s">
        <v>74</v>
      </c>
      <c r="BB910">
        <v>152</v>
      </c>
      <c r="BC910">
        <v>167</v>
      </c>
      <c r="BD910" t="s">
        <v>74</v>
      </c>
      <c r="BE910" t="s">
        <v>17476</v>
      </c>
      <c r="BF910" t="str">
        <f>HYPERLINK("http://dx.doi.org/10.1002/2017PA003238","http://dx.doi.org/10.1002/2017PA003238")</f>
        <v>http://dx.doi.org/10.1002/2017PA003238</v>
      </c>
      <c r="BG910" t="s">
        <v>74</v>
      </c>
      <c r="BH910" t="s">
        <v>74</v>
      </c>
      <c r="BI910">
        <v>16</v>
      </c>
      <c r="BJ910" t="s">
        <v>4487</v>
      </c>
      <c r="BK910" t="s">
        <v>101</v>
      </c>
      <c r="BL910" t="s">
        <v>4488</v>
      </c>
      <c r="BM910" t="s">
        <v>17477</v>
      </c>
      <c r="BN910" t="s">
        <v>74</v>
      </c>
      <c r="BO910" t="s">
        <v>1085</v>
      </c>
      <c r="BP910" t="s">
        <v>74</v>
      </c>
      <c r="BQ910" t="s">
        <v>74</v>
      </c>
      <c r="BR910" t="s">
        <v>105</v>
      </c>
      <c r="BS910" t="s">
        <v>17478</v>
      </c>
      <c r="BT910" t="str">
        <f>HYPERLINK("https%3A%2F%2Fwww.webofscience.com%2Fwos%2Fwoscc%2Ffull-record%2FWOS:000428070000002","View Full Record in Web of Science")</f>
        <v>View Full Record in Web of Science</v>
      </c>
    </row>
    <row r="911" spans="1:72" x14ac:dyDescent="0.15">
      <c r="A911" t="s">
        <v>72</v>
      </c>
      <c r="B911" t="s">
        <v>17479</v>
      </c>
      <c r="C911" t="s">
        <v>74</v>
      </c>
      <c r="D911" t="s">
        <v>74</v>
      </c>
      <c r="E911" t="s">
        <v>74</v>
      </c>
      <c r="F911" t="s">
        <v>17480</v>
      </c>
      <c r="G911" t="s">
        <v>74</v>
      </c>
      <c r="H911" t="s">
        <v>74</v>
      </c>
      <c r="I911" t="s">
        <v>17481</v>
      </c>
      <c r="J911" t="s">
        <v>4510</v>
      </c>
      <c r="K911" t="s">
        <v>74</v>
      </c>
      <c r="L911" t="s">
        <v>74</v>
      </c>
      <c r="M911" t="s">
        <v>78</v>
      </c>
      <c r="N911" t="s">
        <v>79</v>
      </c>
      <c r="O911" t="s">
        <v>74</v>
      </c>
      <c r="P911" t="s">
        <v>74</v>
      </c>
      <c r="Q911" t="s">
        <v>74</v>
      </c>
      <c r="R911" t="s">
        <v>74</v>
      </c>
      <c r="S911" t="s">
        <v>74</v>
      </c>
      <c r="T911" t="s">
        <v>17482</v>
      </c>
      <c r="U911" t="s">
        <v>17483</v>
      </c>
      <c r="V911" t="s">
        <v>17484</v>
      </c>
      <c r="W911" t="s">
        <v>17485</v>
      </c>
      <c r="X911" t="s">
        <v>17486</v>
      </c>
      <c r="Y911" t="s">
        <v>17487</v>
      </c>
      <c r="Z911" t="s">
        <v>6956</v>
      </c>
      <c r="AA911" t="s">
        <v>17488</v>
      </c>
      <c r="AB911" t="s">
        <v>17489</v>
      </c>
      <c r="AC911" t="s">
        <v>17490</v>
      </c>
      <c r="AD911" t="s">
        <v>17491</v>
      </c>
      <c r="AE911" t="s">
        <v>17492</v>
      </c>
      <c r="AF911" t="s">
        <v>74</v>
      </c>
      <c r="AG911">
        <v>59</v>
      </c>
      <c r="AH911">
        <v>76</v>
      </c>
      <c r="AI911">
        <v>81</v>
      </c>
      <c r="AJ911">
        <v>18</v>
      </c>
      <c r="AK911">
        <v>82</v>
      </c>
      <c r="AL911" t="s">
        <v>277</v>
      </c>
      <c r="AM911" t="s">
        <v>278</v>
      </c>
      <c r="AN911" t="s">
        <v>279</v>
      </c>
      <c r="AO911" t="s">
        <v>4522</v>
      </c>
      <c r="AP911" t="s">
        <v>74</v>
      </c>
      <c r="AQ911" t="s">
        <v>74</v>
      </c>
      <c r="AR911" t="s">
        <v>4524</v>
      </c>
      <c r="AS911" t="s">
        <v>4525</v>
      </c>
      <c r="AT911" t="s">
        <v>16620</v>
      </c>
      <c r="AU911">
        <v>2018</v>
      </c>
      <c r="AV911">
        <v>161</v>
      </c>
      <c r="AW911" t="s">
        <v>74</v>
      </c>
      <c r="AX911" t="s">
        <v>74</v>
      </c>
      <c r="AY911" t="s">
        <v>74</v>
      </c>
      <c r="AZ911" t="s">
        <v>74</v>
      </c>
      <c r="BA911" t="s">
        <v>74</v>
      </c>
      <c r="BB911">
        <v>116</v>
      </c>
      <c r="BC911">
        <v>130</v>
      </c>
      <c r="BD911" t="s">
        <v>74</v>
      </c>
      <c r="BE911" t="s">
        <v>17493</v>
      </c>
      <c r="BF911" t="str">
        <f>HYPERLINK("http://dx.doi.org/10.1016/j.pocean.2018.02.007","http://dx.doi.org/10.1016/j.pocean.2018.02.007")</f>
        <v>http://dx.doi.org/10.1016/j.pocean.2018.02.007</v>
      </c>
      <c r="BG911" t="s">
        <v>74</v>
      </c>
      <c r="BH911" t="s">
        <v>74</v>
      </c>
      <c r="BI911">
        <v>15</v>
      </c>
      <c r="BJ911" t="s">
        <v>364</v>
      </c>
      <c r="BK911" t="s">
        <v>101</v>
      </c>
      <c r="BL911" t="s">
        <v>364</v>
      </c>
      <c r="BM911" t="s">
        <v>17494</v>
      </c>
      <c r="BN911" t="s">
        <v>74</v>
      </c>
      <c r="BO911" t="s">
        <v>74</v>
      </c>
      <c r="BP911" t="s">
        <v>74</v>
      </c>
      <c r="BQ911" t="s">
        <v>74</v>
      </c>
      <c r="BR911" t="s">
        <v>105</v>
      </c>
      <c r="BS911" t="s">
        <v>17495</v>
      </c>
      <c r="BT911" t="str">
        <f>HYPERLINK("https%3A%2F%2Fwww.webofscience.com%2Fwos%2Fwoscc%2Ffull-record%2FWOS:000427992300008","View Full Record in Web of Science")</f>
        <v>View Full Record in Web of Science</v>
      </c>
    </row>
    <row r="912" spans="1:72" x14ac:dyDescent="0.15">
      <c r="A912" t="s">
        <v>72</v>
      </c>
      <c r="B912" t="s">
        <v>17496</v>
      </c>
      <c r="C912" t="s">
        <v>74</v>
      </c>
      <c r="D912" t="s">
        <v>74</v>
      </c>
      <c r="E912" t="s">
        <v>74</v>
      </c>
      <c r="F912" t="s">
        <v>17497</v>
      </c>
      <c r="G912" t="s">
        <v>74</v>
      </c>
      <c r="H912" t="s">
        <v>74</v>
      </c>
      <c r="I912" t="s">
        <v>17498</v>
      </c>
      <c r="J912" t="s">
        <v>561</v>
      </c>
      <c r="K912" t="s">
        <v>74</v>
      </c>
      <c r="L912" t="s">
        <v>74</v>
      </c>
      <c r="M912" t="s">
        <v>78</v>
      </c>
      <c r="N912" t="s">
        <v>79</v>
      </c>
      <c r="O912" t="s">
        <v>74</v>
      </c>
      <c r="P912" t="s">
        <v>74</v>
      </c>
      <c r="Q912" t="s">
        <v>74</v>
      </c>
      <c r="R912" t="s">
        <v>74</v>
      </c>
      <c r="S912" t="s">
        <v>74</v>
      </c>
      <c r="T912" t="s">
        <v>74</v>
      </c>
      <c r="U912" t="s">
        <v>17499</v>
      </c>
      <c r="V912" t="s">
        <v>17500</v>
      </c>
      <c r="W912" t="s">
        <v>17501</v>
      </c>
      <c r="X912" t="s">
        <v>17502</v>
      </c>
      <c r="Y912" t="s">
        <v>17503</v>
      </c>
      <c r="Z912" t="s">
        <v>17504</v>
      </c>
      <c r="AA912" t="s">
        <v>17505</v>
      </c>
      <c r="AB912" t="s">
        <v>17506</v>
      </c>
      <c r="AC912" t="s">
        <v>17507</v>
      </c>
      <c r="AD912" t="s">
        <v>17508</v>
      </c>
      <c r="AE912" t="s">
        <v>17509</v>
      </c>
      <c r="AF912" t="s">
        <v>74</v>
      </c>
      <c r="AG912">
        <v>50</v>
      </c>
      <c r="AH912">
        <v>15</v>
      </c>
      <c r="AI912">
        <v>19</v>
      </c>
      <c r="AJ912">
        <v>0</v>
      </c>
      <c r="AK912">
        <v>7</v>
      </c>
      <c r="AL912" t="s">
        <v>574</v>
      </c>
      <c r="AM912" t="s">
        <v>575</v>
      </c>
      <c r="AN912" t="s">
        <v>576</v>
      </c>
      <c r="AO912" t="s">
        <v>577</v>
      </c>
      <c r="AP912" t="s">
        <v>578</v>
      </c>
      <c r="AQ912" t="s">
        <v>74</v>
      </c>
      <c r="AR912" t="s">
        <v>579</v>
      </c>
      <c r="AS912" t="s">
        <v>580</v>
      </c>
      <c r="AT912" t="s">
        <v>16620</v>
      </c>
      <c r="AU912">
        <v>2018</v>
      </c>
      <c r="AV912">
        <v>123</v>
      </c>
      <c r="AW912">
        <v>2</v>
      </c>
      <c r="AX912" t="s">
        <v>74</v>
      </c>
      <c r="AY912" t="s">
        <v>74</v>
      </c>
      <c r="AZ912" t="s">
        <v>74</v>
      </c>
      <c r="BA912" t="s">
        <v>74</v>
      </c>
      <c r="BB912">
        <v>1279</v>
      </c>
      <c r="BC912">
        <v>1294</v>
      </c>
      <c r="BD912" t="s">
        <v>74</v>
      </c>
      <c r="BE912" t="s">
        <v>17510</v>
      </c>
      <c r="BF912" t="str">
        <f>HYPERLINK("http://dx.doi.org/10.1002/2017JA024754","http://dx.doi.org/10.1002/2017JA024754")</f>
        <v>http://dx.doi.org/10.1002/2017JA024754</v>
      </c>
      <c r="BG912" t="s">
        <v>74</v>
      </c>
      <c r="BH912" t="s">
        <v>74</v>
      </c>
      <c r="BI912">
        <v>16</v>
      </c>
      <c r="BJ912" t="s">
        <v>582</v>
      </c>
      <c r="BK912" t="s">
        <v>101</v>
      </c>
      <c r="BL912" t="s">
        <v>582</v>
      </c>
      <c r="BM912" t="s">
        <v>16905</v>
      </c>
      <c r="BN912" t="s">
        <v>74</v>
      </c>
      <c r="BO912" t="s">
        <v>1085</v>
      </c>
      <c r="BP912" t="s">
        <v>74</v>
      </c>
      <c r="BQ912" t="s">
        <v>74</v>
      </c>
      <c r="BR912" t="s">
        <v>105</v>
      </c>
      <c r="BS912" t="s">
        <v>17511</v>
      </c>
      <c r="BT912" t="str">
        <f>HYPERLINK("https%3A%2F%2Fwww.webofscience.com%2Fwos%2Fwoscc%2Ffull-record%2FWOS:000427568000017","View Full Record in Web of Science")</f>
        <v>View Full Record in Web of Science</v>
      </c>
    </row>
    <row r="913" spans="1:72" x14ac:dyDescent="0.15">
      <c r="A913" t="s">
        <v>72</v>
      </c>
      <c r="B913" t="s">
        <v>13397</v>
      </c>
      <c r="C913" t="s">
        <v>74</v>
      </c>
      <c r="D913" t="s">
        <v>74</v>
      </c>
      <c r="E913" t="s">
        <v>74</v>
      </c>
      <c r="F913" t="s">
        <v>13398</v>
      </c>
      <c r="G913" t="s">
        <v>74</v>
      </c>
      <c r="H913" t="s">
        <v>74</v>
      </c>
      <c r="I913" t="s">
        <v>17512</v>
      </c>
      <c r="J913" t="s">
        <v>561</v>
      </c>
      <c r="K913" t="s">
        <v>74</v>
      </c>
      <c r="L913" t="s">
        <v>74</v>
      </c>
      <c r="M913" t="s">
        <v>78</v>
      </c>
      <c r="N913" t="s">
        <v>79</v>
      </c>
      <c r="O913" t="s">
        <v>74</v>
      </c>
      <c r="P913" t="s">
        <v>74</v>
      </c>
      <c r="Q913" t="s">
        <v>74</v>
      </c>
      <c r="R913" t="s">
        <v>74</v>
      </c>
      <c r="S913" t="s">
        <v>74</v>
      </c>
      <c r="T913" t="s">
        <v>74</v>
      </c>
      <c r="U913" t="s">
        <v>17513</v>
      </c>
      <c r="V913" t="s">
        <v>17514</v>
      </c>
      <c r="W913" t="s">
        <v>13402</v>
      </c>
      <c r="X913" t="s">
        <v>13403</v>
      </c>
      <c r="Y913" t="s">
        <v>13404</v>
      </c>
      <c r="Z913" t="s">
        <v>13405</v>
      </c>
      <c r="AA913" t="s">
        <v>74</v>
      </c>
      <c r="AB913" t="s">
        <v>17515</v>
      </c>
      <c r="AC913" t="s">
        <v>13407</v>
      </c>
      <c r="AD913" t="s">
        <v>13408</v>
      </c>
      <c r="AE913" t="s">
        <v>17516</v>
      </c>
      <c r="AF913" t="s">
        <v>74</v>
      </c>
      <c r="AG913">
        <v>78</v>
      </c>
      <c r="AH913">
        <v>8</v>
      </c>
      <c r="AI913">
        <v>8</v>
      </c>
      <c r="AJ913">
        <v>0</v>
      </c>
      <c r="AK913">
        <v>1</v>
      </c>
      <c r="AL913" t="s">
        <v>574</v>
      </c>
      <c r="AM913" t="s">
        <v>575</v>
      </c>
      <c r="AN913" t="s">
        <v>576</v>
      </c>
      <c r="AO913" t="s">
        <v>577</v>
      </c>
      <c r="AP913" t="s">
        <v>578</v>
      </c>
      <c r="AQ913" t="s">
        <v>74</v>
      </c>
      <c r="AR913" t="s">
        <v>579</v>
      </c>
      <c r="AS913" t="s">
        <v>580</v>
      </c>
      <c r="AT913" t="s">
        <v>16620</v>
      </c>
      <c r="AU913">
        <v>2018</v>
      </c>
      <c r="AV913">
        <v>123</v>
      </c>
      <c r="AW913">
        <v>2</v>
      </c>
      <c r="AX913" t="s">
        <v>74</v>
      </c>
      <c r="AY913" t="s">
        <v>74</v>
      </c>
      <c r="AZ913" t="s">
        <v>74</v>
      </c>
      <c r="BA913" t="s">
        <v>74</v>
      </c>
      <c r="BB913">
        <v>1566</v>
      </c>
      <c r="BC913">
        <v>1582</v>
      </c>
      <c r="BD913" t="s">
        <v>74</v>
      </c>
      <c r="BE913" t="s">
        <v>17517</v>
      </c>
      <c r="BF913" t="str">
        <f>HYPERLINK("http://dx.doi.org/10.1002/2017JA024870","http://dx.doi.org/10.1002/2017JA024870")</f>
        <v>http://dx.doi.org/10.1002/2017JA024870</v>
      </c>
      <c r="BG913" t="s">
        <v>74</v>
      </c>
      <c r="BH913" t="s">
        <v>74</v>
      </c>
      <c r="BI913">
        <v>17</v>
      </c>
      <c r="BJ913" t="s">
        <v>582</v>
      </c>
      <c r="BK913" t="s">
        <v>101</v>
      </c>
      <c r="BL913" t="s">
        <v>582</v>
      </c>
      <c r="BM913" t="s">
        <v>16905</v>
      </c>
      <c r="BN913" t="s">
        <v>74</v>
      </c>
      <c r="BO913" t="s">
        <v>162</v>
      </c>
      <c r="BP913" t="s">
        <v>74</v>
      </c>
      <c r="BQ913" t="s">
        <v>74</v>
      </c>
      <c r="BR913" t="s">
        <v>105</v>
      </c>
      <c r="BS913" t="s">
        <v>17518</v>
      </c>
      <c r="BT913" t="str">
        <f>HYPERLINK("https%3A%2F%2Fwww.webofscience.com%2Fwos%2Fwoscc%2Ffull-record%2FWOS:000427568000038","View Full Record in Web of Science")</f>
        <v>View Full Record in Web of Science</v>
      </c>
    </row>
    <row r="914" spans="1:72" x14ac:dyDescent="0.15">
      <c r="A914" t="s">
        <v>72</v>
      </c>
      <c r="B914" t="s">
        <v>13397</v>
      </c>
      <c r="C914" t="s">
        <v>74</v>
      </c>
      <c r="D914" t="s">
        <v>74</v>
      </c>
      <c r="E914" t="s">
        <v>74</v>
      </c>
      <c r="F914" t="s">
        <v>13398</v>
      </c>
      <c r="G914" t="s">
        <v>74</v>
      </c>
      <c r="H914" t="s">
        <v>74</v>
      </c>
      <c r="I914" t="s">
        <v>17519</v>
      </c>
      <c r="J914" t="s">
        <v>561</v>
      </c>
      <c r="K914" t="s">
        <v>74</v>
      </c>
      <c r="L914" t="s">
        <v>74</v>
      </c>
      <c r="M914" t="s">
        <v>78</v>
      </c>
      <c r="N914" t="s">
        <v>79</v>
      </c>
      <c r="O914" t="s">
        <v>74</v>
      </c>
      <c r="P914" t="s">
        <v>74</v>
      </c>
      <c r="Q914" t="s">
        <v>74</v>
      </c>
      <c r="R914" t="s">
        <v>74</v>
      </c>
      <c r="S914" t="s">
        <v>74</v>
      </c>
      <c r="T914" t="s">
        <v>74</v>
      </c>
      <c r="U914" t="s">
        <v>17520</v>
      </c>
      <c r="V914" t="s">
        <v>17521</v>
      </c>
      <c r="W914" t="s">
        <v>13402</v>
      </c>
      <c r="X914" t="s">
        <v>13403</v>
      </c>
      <c r="Y914" t="s">
        <v>13404</v>
      </c>
      <c r="Z914" t="s">
        <v>13405</v>
      </c>
      <c r="AA914" t="s">
        <v>74</v>
      </c>
      <c r="AB914" t="s">
        <v>13406</v>
      </c>
      <c r="AC914" t="s">
        <v>13407</v>
      </c>
      <c r="AD914" t="s">
        <v>13408</v>
      </c>
      <c r="AE914" t="s">
        <v>17522</v>
      </c>
      <c r="AF914" t="s">
        <v>74</v>
      </c>
      <c r="AG914">
        <v>47</v>
      </c>
      <c r="AH914">
        <v>2</v>
      </c>
      <c r="AI914">
        <v>3</v>
      </c>
      <c r="AJ914">
        <v>0</v>
      </c>
      <c r="AK914">
        <v>3</v>
      </c>
      <c r="AL914" t="s">
        <v>574</v>
      </c>
      <c r="AM914" t="s">
        <v>575</v>
      </c>
      <c r="AN914" t="s">
        <v>576</v>
      </c>
      <c r="AO914" t="s">
        <v>577</v>
      </c>
      <c r="AP914" t="s">
        <v>578</v>
      </c>
      <c r="AQ914" t="s">
        <v>74</v>
      </c>
      <c r="AR914" t="s">
        <v>579</v>
      </c>
      <c r="AS914" t="s">
        <v>580</v>
      </c>
      <c r="AT914" t="s">
        <v>16620</v>
      </c>
      <c r="AU914">
        <v>2018</v>
      </c>
      <c r="AV914">
        <v>123</v>
      </c>
      <c r="AW914">
        <v>2</v>
      </c>
      <c r="AX914" t="s">
        <v>74</v>
      </c>
      <c r="AY914" t="s">
        <v>74</v>
      </c>
      <c r="AZ914" t="s">
        <v>74</v>
      </c>
      <c r="BA914" t="s">
        <v>74</v>
      </c>
      <c r="BB914">
        <v>1663</v>
      </c>
      <c r="BC914">
        <v>1677</v>
      </c>
      <c r="BD914" t="s">
        <v>74</v>
      </c>
      <c r="BE914" t="s">
        <v>17523</v>
      </c>
      <c r="BF914" t="str">
        <f>HYPERLINK("http://dx.doi.org/10.1002/2017JA024600","http://dx.doi.org/10.1002/2017JA024600")</f>
        <v>http://dx.doi.org/10.1002/2017JA024600</v>
      </c>
      <c r="BG914" t="s">
        <v>74</v>
      </c>
      <c r="BH914" t="s">
        <v>74</v>
      </c>
      <c r="BI914">
        <v>15</v>
      </c>
      <c r="BJ914" t="s">
        <v>582</v>
      </c>
      <c r="BK914" t="s">
        <v>101</v>
      </c>
      <c r="BL914" t="s">
        <v>582</v>
      </c>
      <c r="BM914" t="s">
        <v>16905</v>
      </c>
      <c r="BN914" t="s">
        <v>74</v>
      </c>
      <c r="BO914" t="s">
        <v>162</v>
      </c>
      <c r="BP914" t="s">
        <v>74</v>
      </c>
      <c r="BQ914" t="s">
        <v>74</v>
      </c>
      <c r="BR914" t="s">
        <v>105</v>
      </c>
      <c r="BS914" t="s">
        <v>17524</v>
      </c>
      <c r="BT914" t="str">
        <f>HYPERLINK("https%3A%2F%2Fwww.webofscience.com%2Fwos%2Fwoscc%2Ffull-record%2FWOS:000427568000045","View Full Record in Web of Science")</f>
        <v>View Full Record in Web of Science</v>
      </c>
    </row>
    <row r="915" spans="1:72" x14ac:dyDescent="0.15">
      <c r="A915" t="s">
        <v>72</v>
      </c>
      <c r="B915" t="s">
        <v>17525</v>
      </c>
      <c r="C915" t="s">
        <v>74</v>
      </c>
      <c r="D915" t="s">
        <v>74</v>
      </c>
      <c r="E915" t="s">
        <v>74</v>
      </c>
      <c r="F915" t="s">
        <v>17526</v>
      </c>
      <c r="G915" t="s">
        <v>74</v>
      </c>
      <c r="H915" t="s">
        <v>74</v>
      </c>
      <c r="I915" t="s">
        <v>17527</v>
      </c>
      <c r="J915" t="s">
        <v>8737</v>
      </c>
      <c r="K915" t="s">
        <v>74</v>
      </c>
      <c r="L915" t="s">
        <v>74</v>
      </c>
      <c r="M915" t="s">
        <v>78</v>
      </c>
      <c r="N915" t="s">
        <v>79</v>
      </c>
      <c r="O915" t="s">
        <v>74</v>
      </c>
      <c r="P915" t="s">
        <v>74</v>
      </c>
      <c r="Q915" t="s">
        <v>74</v>
      </c>
      <c r="R915" t="s">
        <v>74</v>
      </c>
      <c r="S915" t="s">
        <v>74</v>
      </c>
      <c r="T915" t="s">
        <v>74</v>
      </c>
      <c r="U915" t="s">
        <v>17528</v>
      </c>
      <c r="V915" t="s">
        <v>17529</v>
      </c>
      <c r="W915" t="s">
        <v>17530</v>
      </c>
      <c r="X915" t="s">
        <v>17531</v>
      </c>
      <c r="Y915" t="s">
        <v>17532</v>
      </c>
      <c r="Z915" t="s">
        <v>17533</v>
      </c>
      <c r="AA915" t="s">
        <v>17534</v>
      </c>
      <c r="AB915" t="s">
        <v>17535</v>
      </c>
      <c r="AC915" t="s">
        <v>17536</v>
      </c>
      <c r="AD915" t="s">
        <v>17537</v>
      </c>
      <c r="AE915" t="s">
        <v>17538</v>
      </c>
      <c r="AF915" t="s">
        <v>74</v>
      </c>
      <c r="AG915">
        <v>35</v>
      </c>
      <c r="AH915">
        <v>1</v>
      </c>
      <c r="AI915">
        <v>2</v>
      </c>
      <c r="AJ915">
        <v>1</v>
      </c>
      <c r="AK915">
        <v>12</v>
      </c>
      <c r="AL915" t="s">
        <v>3595</v>
      </c>
      <c r="AM915" t="s">
        <v>3596</v>
      </c>
      <c r="AN915" t="s">
        <v>3597</v>
      </c>
      <c r="AO915" t="s">
        <v>8750</v>
      </c>
      <c r="AP915" t="s">
        <v>8751</v>
      </c>
      <c r="AQ915" t="s">
        <v>74</v>
      </c>
      <c r="AR915" t="s">
        <v>8752</v>
      </c>
      <c r="AS915" t="s">
        <v>8753</v>
      </c>
      <c r="AT915" t="s">
        <v>16620</v>
      </c>
      <c r="AU915">
        <v>2018</v>
      </c>
      <c r="AV915">
        <v>57</v>
      </c>
      <c r="AW915">
        <v>2</v>
      </c>
      <c r="AX915" t="s">
        <v>74</v>
      </c>
      <c r="AY915" t="s">
        <v>74</v>
      </c>
      <c r="AZ915" t="s">
        <v>74</v>
      </c>
      <c r="BA915" t="s">
        <v>74</v>
      </c>
      <c r="BB915">
        <v>421</v>
      </c>
      <c r="BC915">
        <v>434</v>
      </c>
      <c r="BD915" t="s">
        <v>74</v>
      </c>
      <c r="BE915" t="s">
        <v>17539</v>
      </c>
      <c r="BF915" t="str">
        <f>HYPERLINK("http://dx.doi.org/10.1175/JAMC-D-17-0017.1","http://dx.doi.org/10.1175/JAMC-D-17-0017.1")</f>
        <v>http://dx.doi.org/10.1175/JAMC-D-17-0017.1</v>
      </c>
      <c r="BG915" t="s">
        <v>74</v>
      </c>
      <c r="BH915" t="s">
        <v>74</v>
      </c>
      <c r="BI915">
        <v>14</v>
      </c>
      <c r="BJ915" t="s">
        <v>131</v>
      </c>
      <c r="BK915" t="s">
        <v>101</v>
      </c>
      <c r="BL915" t="s">
        <v>131</v>
      </c>
      <c r="BM915" t="s">
        <v>17540</v>
      </c>
      <c r="BN915" t="s">
        <v>74</v>
      </c>
      <c r="BO915" t="s">
        <v>74</v>
      </c>
      <c r="BP915" t="s">
        <v>74</v>
      </c>
      <c r="BQ915" t="s">
        <v>74</v>
      </c>
      <c r="BR915" t="s">
        <v>105</v>
      </c>
      <c r="BS915" t="s">
        <v>17541</v>
      </c>
      <c r="BT915" t="str">
        <f>HYPERLINK("https%3A%2F%2Fwww.webofscience.com%2Fwos%2Fwoscc%2Ffull-record%2FWOS:000427362400013","View Full Record in Web of Science")</f>
        <v>View Full Record in Web of Science</v>
      </c>
    </row>
    <row r="916" spans="1:72" x14ac:dyDescent="0.15">
      <c r="A916" t="s">
        <v>72</v>
      </c>
      <c r="B916" t="s">
        <v>17542</v>
      </c>
      <c r="C916" t="s">
        <v>74</v>
      </c>
      <c r="D916" t="s">
        <v>74</v>
      </c>
      <c r="E916" t="s">
        <v>74</v>
      </c>
      <c r="F916" t="s">
        <v>17543</v>
      </c>
      <c r="G916" t="s">
        <v>74</v>
      </c>
      <c r="H916" t="s">
        <v>74</v>
      </c>
      <c r="I916" t="s">
        <v>17544</v>
      </c>
      <c r="J916" t="s">
        <v>17545</v>
      </c>
      <c r="K916" t="s">
        <v>74</v>
      </c>
      <c r="L916" t="s">
        <v>74</v>
      </c>
      <c r="M916" t="s">
        <v>78</v>
      </c>
      <c r="N916" t="s">
        <v>466</v>
      </c>
      <c r="O916" t="s">
        <v>74</v>
      </c>
      <c r="P916" t="s">
        <v>74</v>
      </c>
      <c r="Q916" t="s">
        <v>74</v>
      </c>
      <c r="R916" t="s">
        <v>74</v>
      </c>
      <c r="S916" t="s">
        <v>74</v>
      </c>
      <c r="T916" t="s">
        <v>17546</v>
      </c>
      <c r="U916" t="s">
        <v>17547</v>
      </c>
      <c r="V916" t="s">
        <v>17548</v>
      </c>
      <c r="W916" t="s">
        <v>17549</v>
      </c>
      <c r="X916" t="s">
        <v>17550</v>
      </c>
      <c r="Y916" t="s">
        <v>17551</v>
      </c>
      <c r="Z916" t="s">
        <v>17552</v>
      </c>
      <c r="AA916" t="s">
        <v>17553</v>
      </c>
      <c r="AB916" t="s">
        <v>17554</v>
      </c>
      <c r="AC916" t="s">
        <v>17555</v>
      </c>
      <c r="AD916" t="s">
        <v>17555</v>
      </c>
      <c r="AE916" t="s">
        <v>17556</v>
      </c>
      <c r="AF916" t="s">
        <v>74</v>
      </c>
      <c r="AG916">
        <v>261</v>
      </c>
      <c r="AH916">
        <v>16</v>
      </c>
      <c r="AI916">
        <v>16</v>
      </c>
      <c r="AJ916">
        <v>5</v>
      </c>
      <c r="AK916">
        <v>69</v>
      </c>
      <c r="AL916" t="s">
        <v>91</v>
      </c>
      <c r="AM916" t="s">
        <v>1468</v>
      </c>
      <c r="AN916" t="s">
        <v>1469</v>
      </c>
      <c r="AO916" t="s">
        <v>17557</v>
      </c>
      <c r="AP916" t="s">
        <v>17558</v>
      </c>
      <c r="AQ916" t="s">
        <v>74</v>
      </c>
      <c r="AR916" t="s">
        <v>17559</v>
      </c>
      <c r="AS916" t="s">
        <v>17560</v>
      </c>
      <c r="AT916" t="s">
        <v>16620</v>
      </c>
      <c r="AU916">
        <v>2018</v>
      </c>
      <c r="AV916">
        <v>44</v>
      </c>
      <c r="AW916">
        <v>2</v>
      </c>
      <c r="AX916" t="s">
        <v>74</v>
      </c>
      <c r="AY916" t="s">
        <v>74</v>
      </c>
      <c r="AZ916" t="s">
        <v>74</v>
      </c>
      <c r="BA916" t="s">
        <v>74</v>
      </c>
      <c r="BB916">
        <v>147</v>
      </c>
      <c r="BC916">
        <v>177</v>
      </c>
      <c r="BD916" t="s">
        <v>74</v>
      </c>
      <c r="BE916" t="s">
        <v>17561</v>
      </c>
      <c r="BF916" t="str">
        <f>HYPERLINK("http://dx.doi.org/10.1007/s10886-018-0926-4","http://dx.doi.org/10.1007/s10886-018-0926-4")</f>
        <v>http://dx.doi.org/10.1007/s10886-018-0926-4</v>
      </c>
      <c r="BG916" t="s">
        <v>74</v>
      </c>
      <c r="BH916" t="s">
        <v>74</v>
      </c>
      <c r="BI916">
        <v>31</v>
      </c>
      <c r="BJ916" t="s">
        <v>17562</v>
      </c>
      <c r="BK916" t="s">
        <v>101</v>
      </c>
      <c r="BL916" t="s">
        <v>17563</v>
      </c>
      <c r="BM916" t="s">
        <v>17564</v>
      </c>
      <c r="BN916">
        <v>29362949</v>
      </c>
      <c r="BO916" t="s">
        <v>74</v>
      </c>
      <c r="BP916" t="s">
        <v>74</v>
      </c>
      <c r="BQ916" t="s">
        <v>74</v>
      </c>
      <c r="BR916" t="s">
        <v>105</v>
      </c>
      <c r="BS916" t="s">
        <v>17565</v>
      </c>
      <c r="BT916" t="str">
        <f>HYPERLINK("https%3A%2F%2Fwww.webofscience.com%2Fwos%2Fwoscc%2Ffull-record%2FWOS:000427084000005","View Full Record in Web of Science")</f>
        <v>View Full Record in Web of Science</v>
      </c>
    </row>
    <row r="917" spans="1:72" x14ac:dyDescent="0.15">
      <c r="A917" t="s">
        <v>72</v>
      </c>
      <c r="B917" t="s">
        <v>17566</v>
      </c>
      <c r="C917" t="s">
        <v>74</v>
      </c>
      <c r="D917" t="s">
        <v>74</v>
      </c>
      <c r="E917" t="s">
        <v>74</v>
      </c>
      <c r="F917" t="s">
        <v>17567</v>
      </c>
      <c r="G917" t="s">
        <v>74</v>
      </c>
      <c r="H917" t="s">
        <v>74</v>
      </c>
      <c r="I917" t="s">
        <v>17568</v>
      </c>
      <c r="J917" t="s">
        <v>13902</v>
      </c>
      <c r="K917" t="s">
        <v>74</v>
      </c>
      <c r="L917" t="s">
        <v>74</v>
      </c>
      <c r="M917" t="s">
        <v>78</v>
      </c>
      <c r="N917" t="s">
        <v>79</v>
      </c>
      <c r="O917" t="s">
        <v>74</v>
      </c>
      <c r="P917" t="s">
        <v>74</v>
      </c>
      <c r="Q917" t="s">
        <v>74</v>
      </c>
      <c r="R917" t="s">
        <v>74</v>
      </c>
      <c r="S917" t="s">
        <v>74</v>
      </c>
      <c r="T917" t="s">
        <v>17569</v>
      </c>
      <c r="U917" t="s">
        <v>17570</v>
      </c>
      <c r="V917" t="s">
        <v>17571</v>
      </c>
      <c r="W917" t="s">
        <v>17572</v>
      </c>
      <c r="X917" t="s">
        <v>17573</v>
      </c>
      <c r="Y917" t="s">
        <v>17574</v>
      </c>
      <c r="Z917" t="s">
        <v>17575</v>
      </c>
      <c r="AA917" t="s">
        <v>17576</v>
      </c>
      <c r="AB917" t="s">
        <v>17577</v>
      </c>
      <c r="AC917" t="s">
        <v>17578</v>
      </c>
      <c r="AD917" t="s">
        <v>17579</v>
      </c>
      <c r="AE917" t="s">
        <v>17580</v>
      </c>
      <c r="AF917" t="s">
        <v>74</v>
      </c>
      <c r="AG917">
        <v>36</v>
      </c>
      <c r="AH917">
        <v>11</v>
      </c>
      <c r="AI917">
        <v>12</v>
      </c>
      <c r="AJ917">
        <v>0</v>
      </c>
      <c r="AK917">
        <v>31</v>
      </c>
      <c r="AL917" t="s">
        <v>91</v>
      </c>
      <c r="AM917" t="s">
        <v>92</v>
      </c>
      <c r="AN917" t="s">
        <v>93</v>
      </c>
      <c r="AO917" t="s">
        <v>13912</v>
      </c>
      <c r="AP917" t="s">
        <v>13913</v>
      </c>
      <c r="AQ917" t="s">
        <v>74</v>
      </c>
      <c r="AR917" t="s">
        <v>13914</v>
      </c>
      <c r="AS917" t="s">
        <v>13915</v>
      </c>
      <c r="AT917" t="s">
        <v>16620</v>
      </c>
      <c r="AU917">
        <v>2018</v>
      </c>
      <c r="AV917">
        <v>77</v>
      </c>
      <c r="AW917">
        <v>4</v>
      </c>
      <c r="AX917" t="s">
        <v>74</v>
      </c>
      <c r="AY917" t="s">
        <v>74</v>
      </c>
      <c r="AZ917" t="s">
        <v>74</v>
      </c>
      <c r="BA917" t="s">
        <v>74</v>
      </c>
      <c r="BB917" t="s">
        <v>74</v>
      </c>
      <c r="BC917" t="s">
        <v>74</v>
      </c>
      <c r="BD917">
        <v>124</v>
      </c>
      <c r="BE917" t="s">
        <v>17581</v>
      </c>
      <c r="BF917" t="str">
        <f>HYPERLINK("http://dx.doi.org/10.1007/s12665-018-7298-5","http://dx.doi.org/10.1007/s12665-018-7298-5")</f>
        <v>http://dx.doi.org/10.1007/s12665-018-7298-5</v>
      </c>
      <c r="BG917" t="s">
        <v>74</v>
      </c>
      <c r="BH917" t="s">
        <v>74</v>
      </c>
      <c r="BI917">
        <v>10</v>
      </c>
      <c r="BJ917" t="s">
        <v>13917</v>
      </c>
      <c r="BK917" t="s">
        <v>101</v>
      </c>
      <c r="BL917" t="s">
        <v>13918</v>
      </c>
      <c r="BM917" t="s">
        <v>17582</v>
      </c>
      <c r="BN917" t="s">
        <v>74</v>
      </c>
      <c r="BO917" t="s">
        <v>74</v>
      </c>
      <c r="BP917" t="s">
        <v>74</v>
      </c>
      <c r="BQ917" t="s">
        <v>74</v>
      </c>
      <c r="BR917" t="s">
        <v>105</v>
      </c>
      <c r="BS917" t="s">
        <v>17583</v>
      </c>
      <c r="BT917" t="str">
        <f>HYPERLINK("https%3A%2F%2Fwww.webofscience.com%2Fwos%2Fwoscc%2Ffull-record%2FWOS:000426755300017","View Full Record in Web of Science")</f>
        <v>View Full Record in Web of Science</v>
      </c>
    </row>
    <row r="918" spans="1:72" x14ac:dyDescent="0.15">
      <c r="A918" t="s">
        <v>72</v>
      </c>
      <c r="B918" t="s">
        <v>17584</v>
      </c>
      <c r="C918" t="s">
        <v>74</v>
      </c>
      <c r="D918" t="s">
        <v>74</v>
      </c>
      <c r="E918" t="s">
        <v>74</v>
      </c>
      <c r="F918" t="s">
        <v>17585</v>
      </c>
      <c r="G918" t="s">
        <v>74</v>
      </c>
      <c r="H918" t="s">
        <v>74</v>
      </c>
      <c r="I918" t="s">
        <v>17586</v>
      </c>
      <c r="J918" t="s">
        <v>4766</v>
      </c>
      <c r="K918" t="s">
        <v>74</v>
      </c>
      <c r="L918" t="s">
        <v>74</v>
      </c>
      <c r="M918" t="s">
        <v>78</v>
      </c>
      <c r="N918" t="s">
        <v>79</v>
      </c>
      <c r="O918" t="s">
        <v>74</v>
      </c>
      <c r="P918" t="s">
        <v>74</v>
      </c>
      <c r="Q918" t="s">
        <v>74</v>
      </c>
      <c r="R918" t="s">
        <v>74</v>
      </c>
      <c r="S918" t="s">
        <v>74</v>
      </c>
      <c r="T918" t="s">
        <v>17587</v>
      </c>
      <c r="U918" t="s">
        <v>17588</v>
      </c>
      <c r="V918" t="s">
        <v>17589</v>
      </c>
      <c r="W918" t="s">
        <v>17590</v>
      </c>
      <c r="X918" t="s">
        <v>17591</v>
      </c>
      <c r="Y918" t="s">
        <v>17592</v>
      </c>
      <c r="Z918" t="s">
        <v>16614</v>
      </c>
      <c r="AA918" t="s">
        <v>17593</v>
      </c>
      <c r="AB918" t="s">
        <v>17594</v>
      </c>
      <c r="AC918" t="s">
        <v>17595</v>
      </c>
      <c r="AD918" t="s">
        <v>17596</v>
      </c>
      <c r="AE918" t="s">
        <v>17597</v>
      </c>
      <c r="AF918" t="s">
        <v>74</v>
      </c>
      <c r="AG918">
        <v>67</v>
      </c>
      <c r="AH918">
        <v>46</v>
      </c>
      <c r="AI918">
        <v>50</v>
      </c>
      <c r="AJ918">
        <v>2</v>
      </c>
      <c r="AK918">
        <v>53</v>
      </c>
      <c r="AL918" t="s">
        <v>397</v>
      </c>
      <c r="AM918" t="s">
        <v>398</v>
      </c>
      <c r="AN918" t="s">
        <v>399</v>
      </c>
      <c r="AO918" t="s">
        <v>4778</v>
      </c>
      <c r="AP918" t="s">
        <v>4779</v>
      </c>
      <c r="AQ918" t="s">
        <v>74</v>
      </c>
      <c r="AR918" t="s">
        <v>4780</v>
      </c>
      <c r="AS918" t="s">
        <v>4781</v>
      </c>
      <c r="AT918" t="s">
        <v>16620</v>
      </c>
      <c r="AU918">
        <v>2018</v>
      </c>
      <c r="AV918">
        <v>25</v>
      </c>
      <c r="AW918">
        <v>5</v>
      </c>
      <c r="AX918" t="s">
        <v>74</v>
      </c>
      <c r="AY918" t="s">
        <v>74</v>
      </c>
      <c r="AZ918" t="s">
        <v>74</v>
      </c>
      <c r="BA918" t="s">
        <v>74</v>
      </c>
      <c r="BB918">
        <v>4667</v>
      </c>
      <c r="BC918">
        <v>4677</v>
      </c>
      <c r="BD918" t="s">
        <v>74</v>
      </c>
      <c r="BE918" t="s">
        <v>17598</v>
      </c>
      <c r="BF918" t="str">
        <f>HYPERLINK("http://dx.doi.org/10.1007/s11356-017-0851-z","http://dx.doi.org/10.1007/s11356-017-0851-z")</f>
        <v>http://dx.doi.org/10.1007/s11356-017-0851-z</v>
      </c>
      <c r="BG918" t="s">
        <v>74</v>
      </c>
      <c r="BH918" t="s">
        <v>74</v>
      </c>
      <c r="BI918">
        <v>11</v>
      </c>
      <c r="BJ918" t="s">
        <v>921</v>
      </c>
      <c r="BK918" t="s">
        <v>101</v>
      </c>
      <c r="BL918" t="s">
        <v>315</v>
      </c>
      <c r="BM918" t="s">
        <v>17599</v>
      </c>
      <c r="BN918">
        <v>29197057</v>
      </c>
      <c r="BO918" t="s">
        <v>74</v>
      </c>
      <c r="BP918" t="s">
        <v>74</v>
      </c>
      <c r="BQ918" t="s">
        <v>74</v>
      </c>
      <c r="BR918" t="s">
        <v>105</v>
      </c>
      <c r="BS918" t="s">
        <v>17600</v>
      </c>
      <c r="BT918" t="str">
        <f>HYPERLINK("https%3A%2F%2Fwww.webofscience.com%2Fwos%2Fwoscc%2Ffull-record%2FWOS:000425770300059","View Full Record in Web of Science")</f>
        <v>View Full Record in Web of Science</v>
      </c>
    </row>
    <row r="919" spans="1:72" x14ac:dyDescent="0.15">
      <c r="A919" t="s">
        <v>72</v>
      </c>
      <c r="B919" t="s">
        <v>17601</v>
      </c>
      <c r="C919" t="s">
        <v>74</v>
      </c>
      <c r="D919" t="s">
        <v>74</v>
      </c>
      <c r="E919" t="s">
        <v>74</v>
      </c>
      <c r="F919" t="s">
        <v>17602</v>
      </c>
      <c r="G919" t="s">
        <v>74</v>
      </c>
      <c r="H919" t="s">
        <v>74</v>
      </c>
      <c r="I919" t="s">
        <v>17603</v>
      </c>
      <c r="J919" t="s">
        <v>17604</v>
      </c>
      <c r="K919" t="s">
        <v>74</v>
      </c>
      <c r="L919" t="s">
        <v>74</v>
      </c>
      <c r="M919" t="s">
        <v>78</v>
      </c>
      <c r="N919" t="s">
        <v>79</v>
      </c>
      <c r="O919" t="s">
        <v>74</v>
      </c>
      <c r="P919" t="s">
        <v>74</v>
      </c>
      <c r="Q919" t="s">
        <v>74</v>
      </c>
      <c r="R919" t="s">
        <v>74</v>
      </c>
      <c r="S919" t="s">
        <v>74</v>
      </c>
      <c r="T919" t="s">
        <v>17605</v>
      </c>
      <c r="U919" t="s">
        <v>17606</v>
      </c>
      <c r="V919" t="s">
        <v>17607</v>
      </c>
      <c r="W919" t="s">
        <v>17608</v>
      </c>
      <c r="X919" t="s">
        <v>17609</v>
      </c>
      <c r="Y919" t="s">
        <v>17610</v>
      </c>
      <c r="Z919" t="s">
        <v>17611</v>
      </c>
      <c r="AA919" t="s">
        <v>74</v>
      </c>
      <c r="AB919" t="s">
        <v>74</v>
      </c>
      <c r="AC919" t="s">
        <v>74</v>
      </c>
      <c r="AD919" t="s">
        <v>74</v>
      </c>
      <c r="AE919" t="s">
        <v>74</v>
      </c>
      <c r="AF919" t="s">
        <v>74</v>
      </c>
      <c r="AG919">
        <v>22</v>
      </c>
      <c r="AH919">
        <v>38</v>
      </c>
      <c r="AI919">
        <v>41</v>
      </c>
      <c r="AJ919">
        <v>1</v>
      </c>
      <c r="AK919">
        <v>12</v>
      </c>
      <c r="AL919" t="s">
        <v>14094</v>
      </c>
      <c r="AM919" t="s">
        <v>14095</v>
      </c>
      <c r="AN919" t="s">
        <v>14096</v>
      </c>
      <c r="AO919" t="s">
        <v>17612</v>
      </c>
      <c r="AP919" t="s">
        <v>17613</v>
      </c>
      <c r="AQ919" t="s">
        <v>74</v>
      </c>
      <c r="AR919" t="s">
        <v>17614</v>
      </c>
      <c r="AS919" t="s">
        <v>17615</v>
      </c>
      <c r="AT919" t="s">
        <v>16620</v>
      </c>
      <c r="AU919">
        <v>2018</v>
      </c>
      <c r="AV919">
        <v>11</v>
      </c>
      <c r="AW919">
        <v>2</v>
      </c>
      <c r="AX919" t="s">
        <v>74</v>
      </c>
      <c r="AY919" t="s">
        <v>74</v>
      </c>
      <c r="AZ919" t="s">
        <v>74</v>
      </c>
      <c r="BA919" t="s">
        <v>74</v>
      </c>
      <c r="BB919">
        <v>434</v>
      </c>
      <c r="BC919">
        <v>442</v>
      </c>
      <c r="BD919" t="s">
        <v>74</v>
      </c>
      <c r="BE919" t="s">
        <v>17616</v>
      </c>
      <c r="BF919" t="str">
        <f>HYPERLINK("http://dx.doi.org/10.1109/JSTARS.2017.2784186","http://dx.doi.org/10.1109/JSTARS.2017.2784186")</f>
        <v>http://dx.doi.org/10.1109/JSTARS.2017.2784186</v>
      </c>
      <c r="BG919" t="s">
        <v>74</v>
      </c>
      <c r="BH919" t="s">
        <v>74</v>
      </c>
      <c r="BI919">
        <v>9</v>
      </c>
      <c r="BJ919" t="s">
        <v>17617</v>
      </c>
      <c r="BK919" t="s">
        <v>101</v>
      </c>
      <c r="BL919" t="s">
        <v>17618</v>
      </c>
      <c r="BM919" t="s">
        <v>17619</v>
      </c>
      <c r="BN919" t="s">
        <v>74</v>
      </c>
      <c r="BO919" t="s">
        <v>74</v>
      </c>
      <c r="BP919" t="s">
        <v>74</v>
      </c>
      <c r="BQ919" t="s">
        <v>74</v>
      </c>
      <c r="BR919" t="s">
        <v>105</v>
      </c>
      <c r="BS919" t="s">
        <v>17620</v>
      </c>
      <c r="BT919" t="str">
        <f>HYPERLINK("https%3A%2F%2Fwww.webofscience.com%2Fwos%2Fwoscc%2Ffull-record%2FWOS:000425661700009","View Full Record in Web of Science")</f>
        <v>View Full Record in Web of Science</v>
      </c>
    </row>
    <row r="920" spans="1:72" x14ac:dyDescent="0.15">
      <c r="A920" t="s">
        <v>72</v>
      </c>
      <c r="B920" t="s">
        <v>17621</v>
      </c>
      <c r="C920" t="s">
        <v>74</v>
      </c>
      <c r="D920" t="s">
        <v>74</v>
      </c>
      <c r="E920" t="s">
        <v>74</v>
      </c>
      <c r="F920" t="s">
        <v>17622</v>
      </c>
      <c r="G920" t="s">
        <v>74</v>
      </c>
      <c r="H920" t="s">
        <v>74</v>
      </c>
      <c r="I920" t="s">
        <v>17623</v>
      </c>
      <c r="J920" t="s">
        <v>17624</v>
      </c>
      <c r="K920" t="s">
        <v>74</v>
      </c>
      <c r="L920" t="s">
        <v>74</v>
      </c>
      <c r="M920" t="s">
        <v>78</v>
      </c>
      <c r="N920" t="s">
        <v>79</v>
      </c>
      <c r="O920" t="s">
        <v>74</v>
      </c>
      <c r="P920" t="s">
        <v>74</v>
      </c>
      <c r="Q920" t="s">
        <v>74</v>
      </c>
      <c r="R920" t="s">
        <v>74</v>
      </c>
      <c r="S920" t="s">
        <v>74</v>
      </c>
      <c r="T920" t="s">
        <v>17625</v>
      </c>
      <c r="U920" t="s">
        <v>17626</v>
      </c>
      <c r="V920" t="s">
        <v>17627</v>
      </c>
      <c r="W920" t="s">
        <v>17628</v>
      </c>
      <c r="X920" t="s">
        <v>17629</v>
      </c>
      <c r="Y920" t="s">
        <v>17630</v>
      </c>
      <c r="Z920" t="s">
        <v>17631</v>
      </c>
      <c r="AA920" t="s">
        <v>17632</v>
      </c>
      <c r="AB920" t="s">
        <v>17633</v>
      </c>
      <c r="AC920" t="s">
        <v>17634</v>
      </c>
      <c r="AD920" t="s">
        <v>17635</v>
      </c>
      <c r="AE920" t="s">
        <v>17636</v>
      </c>
      <c r="AF920" t="s">
        <v>74</v>
      </c>
      <c r="AG920">
        <v>21</v>
      </c>
      <c r="AH920">
        <v>15</v>
      </c>
      <c r="AI920">
        <v>15</v>
      </c>
      <c r="AJ920">
        <v>1</v>
      </c>
      <c r="AK920">
        <v>16</v>
      </c>
      <c r="AL920" t="s">
        <v>91</v>
      </c>
      <c r="AM920" t="s">
        <v>1468</v>
      </c>
      <c r="AN920" t="s">
        <v>1469</v>
      </c>
      <c r="AO920" t="s">
        <v>17637</v>
      </c>
      <c r="AP920" t="s">
        <v>17638</v>
      </c>
      <c r="AQ920" t="s">
        <v>74</v>
      </c>
      <c r="AR920" t="s">
        <v>17639</v>
      </c>
      <c r="AS920" t="s">
        <v>17640</v>
      </c>
      <c r="AT920" t="s">
        <v>16620</v>
      </c>
      <c r="AU920">
        <v>2018</v>
      </c>
      <c r="AV920">
        <v>20</v>
      </c>
      <c r="AW920">
        <v>2</v>
      </c>
      <c r="AX920" t="s">
        <v>74</v>
      </c>
      <c r="AY920" t="s">
        <v>74</v>
      </c>
      <c r="AZ920" t="s">
        <v>74</v>
      </c>
      <c r="BA920" t="s">
        <v>74</v>
      </c>
      <c r="BB920">
        <v>293</v>
      </c>
      <c r="BC920">
        <v>298</v>
      </c>
      <c r="BD920" t="s">
        <v>74</v>
      </c>
      <c r="BE920" t="s">
        <v>17641</v>
      </c>
      <c r="BF920" t="str">
        <f>HYPERLINK("http://dx.doi.org/10.1007/s10530-017-1551-9","http://dx.doi.org/10.1007/s10530-017-1551-9")</f>
        <v>http://dx.doi.org/10.1007/s10530-017-1551-9</v>
      </c>
      <c r="BG920" t="s">
        <v>74</v>
      </c>
      <c r="BH920" t="s">
        <v>74</v>
      </c>
      <c r="BI920">
        <v>6</v>
      </c>
      <c r="BJ920" t="s">
        <v>100</v>
      </c>
      <c r="BK920" t="s">
        <v>101</v>
      </c>
      <c r="BL920" t="s">
        <v>102</v>
      </c>
      <c r="BM920" t="s">
        <v>17642</v>
      </c>
      <c r="BN920" t="s">
        <v>74</v>
      </c>
      <c r="BO920" t="s">
        <v>74</v>
      </c>
      <c r="BP920" t="s">
        <v>74</v>
      </c>
      <c r="BQ920" t="s">
        <v>74</v>
      </c>
      <c r="BR920" t="s">
        <v>105</v>
      </c>
      <c r="BS920" t="s">
        <v>17643</v>
      </c>
      <c r="BT920" t="str">
        <f>HYPERLINK("https%3A%2F%2Fwww.webofscience.com%2Fwos%2Fwoscc%2Ffull-record%2FWOS:000426065700003","View Full Record in Web of Science")</f>
        <v>View Full Record in Web of Science</v>
      </c>
    </row>
    <row r="921" spans="1:72" x14ac:dyDescent="0.15">
      <c r="A921" t="s">
        <v>72</v>
      </c>
      <c r="B921" t="s">
        <v>17644</v>
      </c>
      <c r="C921" t="s">
        <v>74</v>
      </c>
      <c r="D921" t="s">
        <v>74</v>
      </c>
      <c r="E921" t="s">
        <v>74</v>
      </c>
      <c r="F921" t="s">
        <v>17645</v>
      </c>
      <c r="G921" t="s">
        <v>74</v>
      </c>
      <c r="H921" t="s">
        <v>74</v>
      </c>
      <c r="I921" t="s">
        <v>17646</v>
      </c>
      <c r="J921" t="s">
        <v>17647</v>
      </c>
      <c r="K921" t="s">
        <v>74</v>
      </c>
      <c r="L921" t="s">
        <v>74</v>
      </c>
      <c r="M921" t="s">
        <v>78</v>
      </c>
      <c r="N921" t="s">
        <v>79</v>
      </c>
      <c r="O921" t="s">
        <v>74</v>
      </c>
      <c r="P921" t="s">
        <v>74</v>
      </c>
      <c r="Q921" t="s">
        <v>74</v>
      </c>
      <c r="R921" t="s">
        <v>74</v>
      </c>
      <c r="S921" t="s">
        <v>74</v>
      </c>
      <c r="T921" t="s">
        <v>17648</v>
      </c>
      <c r="U921" t="s">
        <v>17649</v>
      </c>
      <c r="V921" t="s">
        <v>17650</v>
      </c>
      <c r="W921" t="s">
        <v>17651</v>
      </c>
      <c r="X921" t="s">
        <v>4732</v>
      </c>
      <c r="Y921" t="s">
        <v>17652</v>
      </c>
      <c r="Z921" t="s">
        <v>17653</v>
      </c>
      <c r="AA921" t="s">
        <v>17654</v>
      </c>
      <c r="AB921" t="s">
        <v>17655</v>
      </c>
      <c r="AC921" t="s">
        <v>17656</v>
      </c>
      <c r="AD921" t="s">
        <v>17656</v>
      </c>
      <c r="AE921" t="s">
        <v>17657</v>
      </c>
      <c r="AF921" t="s">
        <v>74</v>
      </c>
      <c r="AG921">
        <v>49</v>
      </c>
      <c r="AH921">
        <v>4</v>
      </c>
      <c r="AI921">
        <v>5</v>
      </c>
      <c r="AJ921">
        <v>0</v>
      </c>
      <c r="AK921">
        <v>19</v>
      </c>
      <c r="AL921" t="s">
        <v>17658</v>
      </c>
      <c r="AM921" t="s">
        <v>17659</v>
      </c>
      <c r="AN921" t="s">
        <v>17660</v>
      </c>
      <c r="AO921" t="s">
        <v>17661</v>
      </c>
      <c r="AP921" t="s">
        <v>17662</v>
      </c>
      <c r="AQ921" t="s">
        <v>74</v>
      </c>
      <c r="AR921" t="s">
        <v>17663</v>
      </c>
      <c r="AS921" t="s">
        <v>17664</v>
      </c>
      <c r="AT921" t="s">
        <v>16620</v>
      </c>
      <c r="AU921">
        <v>2018</v>
      </c>
      <c r="AV921">
        <v>81</v>
      </c>
      <c r="AW921">
        <v>2</v>
      </c>
      <c r="AX921" t="s">
        <v>74</v>
      </c>
      <c r="AY921" t="s">
        <v>74</v>
      </c>
      <c r="AZ921" t="s">
        <v>74</v>
      </c>
      <c r="BA921" t="s">
        <v>74</v>
      </c>
      <c r="BB921">
        <v>295</v>
      </c>
      <c r="BC921">
        <v>301</v>
      </c>
      <c r="BD921" t="s">
        <v>74</v>
      </c>
      <c r="BE921" t="s">
        <v>17665</v>
      </c>
      <c r="BF921" t="str">
        <f>HYPERLINK("http://dx.doi.org/10.4315/0362-028X.JFP-17-310","http://dx.doi.org/10.4315/0362-028X.JFP-17-310")</f>
        <v>http://dx.doi.org/10.4315/0362-028X.JFP-17-310</v>
      </c>
      <c r="BG921" t="s">
        <v>74</v>
      </c>
      <c r="BH921" t="s">
        <v>74</v>
      </c>
      <c r="BI921">
        <v>7</v>
      </c>
      <c r="BJ921" t="s">
        <v>17666</v>
      </c>
      <c r="BK921" t="s">
        <v>101</v>
      </c>
      <c r="BL921" t="s">
        <v>17666</v>
      </c>
      <c r="BM921" t="s">
        <v>17667</v>
      </c>
      <c r="BN921">
        <v>29369686</v>
      </c>
      <c r="BO921" t="s">
        <v>3604</v>
      </c>
      <c r="BP921" t="s">
        <v>74</v>
      </c>
      <c r="BQ921" t="s">
        <v>74</v>
      </c>
      <c r="BR921" t="s">
        <v>105</v>
      </c>
      <c r="BS921" t="s">
        <v>17668</v>
      </c>
      <c r="BT921" t="str">
        <f>HYPERLINK("https%3A%2F%2Fwww.webofscience.com%2Fwos%2Fwoscc%2Ffull-record%2FWOS:000425170300020","View Full Record in Web of Science")</f>
        <v>View Full Record in Web of Science</v>
      </c>
    </row>
    <row r="922" spans="1:72" x14ac:dyDescent="0.15">
      <c r="A922" t="s">
        <v>72</v>
      </c>
      <c r="B922" t="s">
        <v>17669</v>
      </c>
      <c r="C922" t="s">
        <v>74</v>
      </c>
      <c r="D922" t="s">
        <v>74</v>
      </c>
      <c r="E922" t="s">
        <v>74</v>
      </c>
      <c r="F922" t="s">
        <v>17670</v>
      </c>
      <c r="G922" t="s">
        <v>74</v>
      </c>
      <c r="H922" t="s">
        <v>74</v>
      </c>
      <c r="I922" t="s">
        <v>17671</v>
      </c>
      <c r="J922" t="s">
        <v>17672</v>
      </c>
      <c r="K922" t="s">
        <v>74</v>
      </c>
      <c r="L922" t="s">
        <v>74</v>
      </c>
      <c r="M922" t="s">
        <v>78</v>
      </c>
      <c r="N922" t="s">
        <v>79</v>
      </c>
      <c r="O922" t="s">
        <v>74</v>
      </c>
      <c r="P922" t="s">
        <v>74</v>
      </c>
      <c r="Q922" t="s">
        <v>74</v>
      </c>
      <c r="R922" t="s">
        <v>74</v>
      </c>
      <c r="S922" t="s">
        <v>74</v>
      </c>
      <c r="T922" t="s">
        <v>17673</v>
      </c>
      <c r="U922" t="s">
        <v>17674</v>
      </c>
      <c r="V922" t="s">
        <v>17675</v>
      </c>
      <c r="W922" t="s">
        <v>17676</v>
      </c>
      <c r="X922" t="s">
        <v>17677</v>
      </c>
      <c r="Y922" t="s">
        <v>17678</v>
      </c>
      <c r="Z922" t="s">
        <v>17679</v>
      </c>
      <c r="AA922" t="s">
        <v>17680</v>
      </c>
      <c r="AB922" t="s">
        <v>17681</v>
      </c>
      <c r="AC922" t="s">
        <v>17682</v>
      </c>
      <c r="AD922" t="s">
        <v>17683</v>
      </c>
      <c r="AE922" t="s">
        <v>17684</v>
      </c>
      <c r="AF922" t="s">
        <v>74</v>
      </c>
      <c r="AG922">
        <v>46</v>
      </c>
      <c r="AH922">
        <v>10</v>
      </c>
      <c r="AI922">
        <v>11</v>
      </c>
      <c r="AJ922">
        <v>0</v>
      </c>
      <c r="AK922">
        <v>10</v>
      </c>
      <c r="AL922" t="s">
        <v>91</v>
      </c>
      <c r="AM922" t="s">
        <v>92</v>
      </c>
      <c r="AN922" t="s">
        <v>93</v>
      </c>
      <c r="AO922" t="s">
        <v>17685</v>
      </c>
      <c r="AP922" t="s">
        <v>17686</v>
      </c>
      <c r="AQ922" t="s">
        <v>74</v>
      </c>
      <c r="AR922" t="s">
        <v>17687</v>
      </c>
      <c r="AS922" t="s">
        <v>17688</v>
      </c>
      <c r="AT922" t="s">
        <v>16620</v>
      </c>
      <c r="AU922">
        <v>2018</v>
      </c>
      <c r="AV922">
        <v>46</v>
      </c>
      <c r="AW922">
        <v>2</v>
      </c>
      <c r="AX922" t="s">
        <v>74</v>
      </c>
      <c r="AY922" t="s">
        <v>74</v>
      </c>
      <c r="AZ922" t="s">
        <v>74</v>
      </c>
      <c r="BA922" t="s">
        <v>74</v>
      </c>
      <c r="BB922">
        <v>249</v>
      </c>
      <c r="BC922">
        <v>262</v>
      </c>
      <c r="BD922" t="s">
        <v>74</v>
      </c>
      <c r="BE922" t="s">
        <v>17689</v>
      </c>
      <c r="BF922" t="str">
        <f>HYPERLINK("http://dx.doi.org/10.1007/s12524-017-0673-y","http://dx.doi.org/10.1007/s12524-017-0673-y")</f>
        <v>http://dx.doi.org/10.1007/s12524-017-0673-y</v>
      </c>
      <c r="BG922" t="s">
        <v>74</v>
      </c>
      <c r="BH922" t="s">
        <v>74</v>
      </c>
      <c r="BI922">
        <v>14</v>
      </c>
      <c r="BJ922" t="s">
        <v>8892</v>
      </c>
      <c r="BK922" t="s">
        <v>101</v>
      </c>
      <c r="BL922" t="s">
        <v>8893</v>
      </c>
      <c r="BM922" t="s">
        <v>17690</v>
      </c>
      <c r="BN922" t="s">
        <v>74</v>
      </c>
      <c r="BO922" t="s">
        <v>74</v>
      </c>
      <c r="BP922" t="s">
        <v>74</v>
      </c>
      <c r="BQ922" t="s">
        <v>74</v>
      </c>
      <c r="BR922" t="s">
        <v>105</v>
      </c>
      <c r="BS922" t="s">
        <v>17691</v>
      </c>
      <c r="BT922" t="str">
        <f>HYPERLINK("https%3A%2F%2Fwww.webofscience.com%2Fwos%2Fwoscc%2Ffull-record%2FWOS:000426105300009","View Full Record in Web of Science")</f>
        <v>View Full Record in Web of Science</v>
      </c>
    </row>
    <row r="923" spans="1:72" x14ac:dyDescent="0.15">
      <c r="A923" t="s">
        <v>72</v>
      </c>
      <c r="B923" t="s">
        <v>17692</v>
      </c>
      <c r="C923" t="s">
        <v>74</v>
      </c>
      <c r="D923" t="s">
        <v>74</v>
      </c>
      <c r="E923" t="s">
        <v>74</v>
      </c>
      <c r="F923" t="s">
        <v>17693</v>
      </c>
      <c r="G923" t="s">
        <v>74</v>
      </c>
      <c r="H923" t="s">
        <v>74</v>
      </c>
      <c r="I923" t="s">
        <v>17694</v>
      </c>
      <c r="J923" t="s">
        <v>17695</v>
      </c>
      <c r="K923" t="s">
        <v>74</v>
      </c>
      <c r="L923" t="s">
        <v>74</v>
      </c>
      <c r="M923" t="s">
        <v>78</v>
      </c>
      <c r="N923" t="s">
        <v>79</v>
      </c>
      <c r="O923" t="s">
        <v>74</v>
      </c>
      <c r="P923" t="s">
        <v>74</v>
      </c>
      <c r="Q923" t="s">
        <v>74</v>
      </c>
      <c r="R923" t="s">
        <v>74</v>
      </c>
      <c r="S923" t="s">
        <v>74</v>
      </c>
      <c r="T923" t="s">
        <v>17696</v>
      </c>
      <c r="U923" t="s">
        <v>17697</v>
      </c>
      <c r="V923" t="s">
        <v>17698</v>
      </c>
      <c r="W923" t="s">
        <v>17699</v>
      </c>
      <c r="X923" t="s">
        <v>17700</v>
      </c>
      <c r="Y923" t="s">
        <v>17701</v>
      </c>
      <c r="Z923" t="s">
        <v>17702</v>
      </c>
      <c r="AA923" t="s">
        <v>17703</v>
      </c>
      <c r="AB923" t="s">
        <v>17704</v>
      </c>
      <c r="AC923" t="s">
        <v>17705</v>
      </c>
      <c r="AD923" t="s">
        <v>17706</v>
      </c>
      <c r="AE923" t="s">
        <v>17707</v>
      </c>
      <c r="AF923" t="s">
        <v>74</v>
      </c>
      <c r="AG923">
        <v>76</v>
      </c>
      <c r="AH923">
        <v>24</v>
      </c>
      <c r="AI923">
        <v>24</v>
      </c>
      <c r="AJ923">
        <v>1</v>
      </c>
      <c r="AK923">
        <v>19</v>
      </c>
      <c r="AL923" t="s">
        <v>451</v>
      </c>
      <c r="AM923" t="s">
        <v>452</v>
      </c>
      <c r="AN923" t="s">
        <v>453</v>
      </c>
      <c r="AO923" t="s">
        <v>17708</v>
      </c>
      <c r="AP923" t="s">
        <v>17709</v>
      </c>
      <c r="AQ923" t="s">
        <v>74</v>
      </c>
      <c r="AR923" t="s">
        <v>17710</v>
      </c>
      <c r="AS923" t="s">
        <v>17711</v>
      </c>
      <c r="AT923" t="s">
        <v>16707</v>
      </c>
      <c r="AU923">
        <v>2018</v>
      </c>
      <c r="AV923">
        <v>409</v>
      </c>
      <c r="AW923" t="s">
        <v>74</v>
      </c>
      <c r="AX923" t="s">
        <v>74</v>
      </c>
      <c r="AY923" t="s">
        <v>74</v>
      </c>
      <c r="AZ923" t="s">
        <v>74</v>
      </c>
      <c r="BA923" t="s">
        <v>74</v>
      </c>
      <c r="BB923">
        <v>94</v>
      </c>
      <c r="BC923">
        <v>104</v>
      </c>
      <c r="BD923" t="s">
        <v>74</v>
      </c>
      <c r="BE923" t="s">
        <v>17712</v>
      </c>
      <c r="BF923" t="str">
        <f>HYPERLINK("http://dx.doi.org/10.1016/j.foreco.2017.11.006","http://dx.doi.org/10.1016/j.foreco.2017.11.006")</f>
        <v>http://dx.doi.org/10.1016/j.foreco.2017.11.006</v>
      </c>
      <c r="BG923" t="s">
        <v>74</v>
      </c>
      <c r="BH923" t="s">
        <v>74</v>
      </c>
      <c r="BI923">
        <v>11</v>
      </c>
      <c r="BJ923" t="s">
        <v>9736</v>
      </c>
      <c r="BK923" t="s">
        <v>101</v>
      </c>
      <c r="BL923" t="s">
        <v>9736</v>
      </c>
      <c r="BM923" t="s">
        <v>17713</v>
      </c>
      <c r="BN923" t="s">
        <v>74</v>
      </c>
      <c r="BO923" t="s">
        <v>74</v>
      </c>
      <c r="BP923" t="s">
        <v>74</v>
      </c>
      <c r="BQ923" t="s">
        <v>74</v>
      </c>
      <c r="BR923" t="s">
        <v>105</v>
      </c>
      <c r="BS923" t="s">
        <v>17714</v>
      </c>
      <c r="BT923" t="str">
        <f>HYPERLINK("https%3A%2F%2Fwww.webofscience.com%2Fwos%2Fwoscc%2Ffull-record%2FWOS:000425578000011","View Full Record in Web of Science")</f>
        <v>View Full Record in Web of Science</v>
      </c>
    </row>
    <row r="924" spans="1:72" x14ac:dyDescent="0.15">
      <c r="A924" t="s">
        <v>72</v>
      </c>
      <c r="B924" t="s">
        <v>17715</v>
      </c>
      <c r="C924" t="s">
        <v>74</v>
      </c>
      <c r="D924" t="s">
        <v>74</v>
      </c>
      <c r="E924" t="s">
        <v>74</v>
      </c>
      <c r="F924" t="s">
        <v>17716</v>
      </c>
      <c r="G924" t="s">
        <v>74</v>
      </c>
      <c r="H924" t="s">
        <v>74</v>
      </c>
      <c r="I924" t="s">
        <v>17717</v>
      </c>
      <c r="J924" t="s">
        <v>12379</v>
      </c>
      <c r="K924" t="s">
        <v>74</v>
      </c>
      <c r="L924" t="s">
        <v>74</v>
      </c>
      <c r="M924" t="s">
        <v>78</v>
      </c>
      <c r="N924" t="s">
        <v>79</v>
      </c>
      <c r="O924" t="s">
        <v>74</v>
      </c>
      <c r="P924" t="s">
        <v>74</v>
      </c>
      <c r="Q924" t="s">
        <v>74</v>
      </c>
      <c r="R924" t="s">
        <v>74</v>
      </c>
      <c r="S924" t="s">
        <v>74</v>
      </c>
      <c r="T924" t="s">
        <v>17718</v>
      </c>
      <c r="U924" t="s">
        <v>17719</v>
      </c>
      <c r="V924" t="s">
        <v>17720</v>
      </c>
      <c r="W924" t="s">
        <v>17721</v>
      </c>
      <c r="X924" t="s">
        <v>17722</v>
      </c>
      <c r="Y924" t="s">
        <v>17723</v>
      </c>
      <c r="Z924" t="s">
        <v>17724</v>
      </c>
      <c r="AA924" t="s">
        <v>17725</v>
      </c>
      <c r="AB924" t="s">
        <v>17726</v>
      </c>
      <c r="AC924" t="s">
        <v>17727</v>
      </c>
      <c r="AD924" t="s">
        <v>11859</v>
      </c>
      <c r="AE924" t="s">
        <v>17728</v>
      </c>
      <c r="AF924" t="s">
        <v>74</v>
      </c>
      <c r="AG924">
        <v>77</v>
      </c>
      <c r="AH924">
        <v>7</v>
      </c>
      <c r="AI924">
        <v>7</v>
      </c>
      <c r="AJ924">
        <v>0</v>
      </c>
      <c r="AK924">
        <v>13</v>
      </c>
      <c r="AL924" t="s">
        <v>451</v>
      </c>
      <c r="AM924" t="s">
        <v>452</v>
      </c>
      <c r="AN924" t="s">
        <v>453</v>
      </c>
      <c r="AO924" t="s">
        <v>12392</v>
      </c>
      <c r="AP924" t="s">
        <v>12393</v>
      </c>
      <c r="AQ924" t="s">
        <v>74</v>
      </c>
      <c r="AR924" t="s">
        <v>12379</v>
      </c>
      <c r="AS924" t="s">
        <v>12394</v>
      </c>
      <c r="AT924" t="s">
        <v>16620</v>
      </c>
      <c r="AU924">
        <v>2018</v>
      </c>
      <c r="AV924">
        <v>300</v>
      </c>
      <c r="AW924" t="s">
        <v>74</v>
      </c>
      <c r="AX924" t="s">
        <v>74</v>
      </c>
      <c r="AY924" t="s">
        <v>74</v>
      </c>
      <c r="AZ924" t="s">
        <v>74</v>
      </c>
      <c r="BA924" t="s">
        <v>74</v>
      </c>
      <c r="BB924">
        <v>361</v>
      </c>
      <c r="BC924">
        <v>377</v>
      </c>
      <c r="BD924" t="s">
        <v>74</v>
      </c>
      <c r="BE924" t="s">
        <v>17729</v>
      </c>
      <c r="BF924" t="str">
        <f>HYPERLINK("http://dx.doi.org/10.1016/j.lithos.2017.12.014","http://dx.doi.org/10.1016/j.lithos.2017.12.014")</f>
        <v>http://dx.doi.org/10.1016/j.lithos.2017.12.014</v>
      </c>
      <c r="BG924" t="s">
        <v>74</v>
      </c>
      <c r="BH924" t="s">
        <v>74</v>
      </c>
      <c r="BI924">
        <v>17</v>
      </c>
      <c r="BJ924" t="s">
        <v>5011</v>
      </c>
      <c r="BK924" t="s">
        <v>101</v>
      </c>
      <c r="BL924" t="s">
        <v>5011</v>
      </c>
      <c r="BM924" t="s">
        <v>17730</v>
      </c>
      <c r="BN924" t="s">
        <v>74</v>
      </c>
      <c r="BO924" t="s">
        <v>288</v>
      </c>
      <c r="BP924" t="s">
        <v>74</v>
      </c>
      <c r="BQ924" t="s">
        <v>74</v>
      </c>
      <c r="BR924" t="s">
        <v>105</v>
      </c>
      <c r="BS924" t="s">
        <v>17731</v>
      </c>
      <c r="BT924" t="str">
        <f>HYPERLINK("https%3A%2F%2Fwww.webofscience.com%2Fwos%2Fwoscc%2Ffull-record%2FWOS:000425577000022","View Full Record in Web of Science")</f>
        <v>View Full Record in Web of Science</v>
      </c>
    </row>
    <row r="925" spans="1:72" x14ac:dyDescent="0.15">
      <c r="A925" t="s">
        <v>72</v>
      </c>
      <c r="B925" t="s">
        <v>17732</v>
      </c>
      <c r="C925" t="s">
        <v>74</v>
      </c>
      <c r="D925" t="s">
        <v>74</v>
      </c>
      <c r="E925" t="s">
        <v>74</v>
      </c>
      <c r="F925" t="s">
        <v>17733</v>
      </c>
      <c r="G925" t="s">
        <v>74</v>
      </c>
      <c r="H925" t="s">
        <v>74</v>
      </c>
      <c r="I925" t="s">
        <v>17734</v>
      </c>
      <c r="J925" t="s">
        <v>17735</v>
      </c>
      <c r="K925" t="s">
        <v>74</v>
      </c>
      <c r="L925" t="s">
        <v>74</v>
      </c>
      <c r="M925" t="s">
        <v>78</v>
      </c>
      <c r="N925" t="s">
        <v>79</v>
      </c>
      <c r="O925" t="s">
        <v>74</v>
      </c>
      <c r="P925" t="s">
        <v>74</v>
      </c>
      <c r="Q925" t="s">
        <v>74</v>
      </c>
      <c r="R925" t="s">
        <v>74</v>
      </c>
      <c r="S925" t="s">
        <v>74</v>
      </c>
      <c r="T925" t="s">
        <v>74</v>
      </c>
      <c r="U925" t="s">
        <v>17736</v>
      </c>
      <c r="V925" t="s">
        <v>17737</v>
      </c>
      <c r="W925" t="s">
        <v>17738</v>
      </c>
      <c r="X925" t="s">
        <v>17739</v>
      </c>
      <c r="Y925" t="s">
        <v>17740</v>
      </c>
      <c r="Z925" t="s">
        <v>17741</v>
      </c>
      <c r="AA925" t="s">
        <v>17742</v>
      </c>
      <c r="AB925" t="s">
        <v>17743</v>
      </c>
      <c r="AC925" t="s">
        <v>17744</v>
      </c>
      <c r="AD925" t="s">
        <v>17745</v>
      </c>
      <c r="AE925" t="s">
        <v>17746</v>
      </c>
      <c r="AF925" t="s">
        <v>74</v>
      </c>
      <c r="AG925">
        <v>56</v>
      </c>
      <c r="AH925">
        <v>36</v>
      </c>
      <c r="AI925">
        <v>39</v>
      </c>
      <c r="AJ925">
        <v>0</v>
      </c>
      <c r="AK925">
        <v>9</v>
      </c>
      <c r="AL925" t="s">
        <v>179</v>
      </c>
      <c r="AM925" t="s">
        <v>180</v>
      </c>
      <c r="AN925" t="s">
        <v>181</v>
      </c>
      <c r="AO925" t="s">
        <v>17747</v>
      </c>
      <c r="AP925" t="s">
        <v>74</v>
      </c>
      <c r="AQ925" t="s">
        <v>74</v>
      </c>
      <c r="AR925" t="s">
        <v>17748</v>
      </c>
      <c r="AS925" t="s">
        <v>17749</v>
      </c>
      <c r="AT925" t="s">
        <v>16620</v>
      </c>
      <c r="AU925">
        <v>2018</v>
      </c>
      <c r="AV925">
        <v>16</v>
      </c>
      <c r="AW925">
        <v>2</v>
      </c>
      <c r="AX925" t="s">
        <v>74</v>
      </c>
      <c r="AY925" t="s">
        <v>74</v>
      </c>
      <c r="AZ925" t="s">
        <v>74</v>
      </c>
      <c r="BA925" t="s">
        <v>74</v>
      </c>
      <c r="BB925">
        <v>132</v>
      </c>
      <c r="BC925">
        <v>144</v>
      </c>
      <c r="BD925" t="s">
        <v>74</v>
      </c>
      <c r="BE925" t="s">
        <v>17750</v>
      </c>
      <c r="BF925" t="str">
        <f>HYPERLINK("http://dx.doi.org/10.1002/lom3.10234","http://dx.doi.org/10.1002/lom3.10234")</f>
        <v>http://dx.doi.org/10.1002/lom3.10234</v>
      </c>
      <c r="BG925" t="s">
        <v>74</v>
      </c>
      <c r="BH925" t="s">
        <v>74</v>
      </c>
      <c r="BI925">
        <v>13</v>
      </c>
      <c r="BJ925" t="s">
        <v>3714</v>
      </c>
      <c r="BK925" t="s">
        <v>101</v>
      </c>
      <c r="BL925" t="s">
        <v>693</v>
      </c>
      <c r="BM925" t="s">
        <v>17751</v>
      </c>
      <c r="BN925" t="s">
        <v>74</v>
      </c>
      <c r="BO925" t="s">
        <v>162</v>
      </c>
      <c r="BP925" t="s">
        <v>74</v>
      </c>
      <c r="BQ925" t="s">
        <v>74</v>
      </c>
      <c r="BR925" t="s">
        <v>105</v>
      </c>
      <c r="BS925" t="s">
        <v>17752</v>
      </c>
      <c r="BT925" t="str">
        <f>HYPERLINK("https%3A%2F%2Fwww.webofscience.com%2Fwos%2Fwoscc%2Ffull-record%2FWOS:000425522400007","View Full Record in Web of Science")</f>
        <v>View Full Record in Web of Science</v>
      </c>
    </row>
    <row r="926" spans="1:72" x14ac:dyDescent="0.15">
      <c r="A926" t="s">
        <v>72</v>
      </c>
      <c r="B926" t="s">
        <v>17753</v>
      </c>
      <c r="C926" t="s">
        <v>74</v>
      </c>
      <c r="D926" t="s">
        <v>74</v>
      </c>
      <c r="E926" t="s">
        <v>74</v>
      </c>
      <c r="F926" t="s">
        <v>17754</v>
      </c>
      <c r="G926" t="s">
        <v>74</v>
      </c>
      <c r="H926" t="s">
        <v>74</v>
      </c>
      <c r="I926" t="s">
        <v>17755</v>
      </c>
      <c r="J926" t="s">
        <v>5142</v>
      </c>
      <c r="K926" t="s">
        <v>74</v>
      </c>
      <c r="L926" t="s">
        <v>74</v>
      </c>
      <c r="M926" t="s">
        <v>78</v>
      </c>
      <c r="N926" t="s">
        <v>79</v>
      </c>
      <c r="O926" t="s">
        <v>74</v>
      </c>
      <c r="P926" t="s">
        <v>74</v>
      </c>
      <c r="Q926" t="s">
        <v>74</v>
      </c>
      <c r="R926" t="s">
        <v>74</v>
      </c>
      <c r="S926" t="s">
        <v>74</v>
      </c>
      <c r="T926" t="s">
        <v>17756</v>
      </c>
      <c r="U926" t="s">
        <v>17757</v>
      </c>
      <c r="V926" t="s">
        <v>17758</v>
      </c>
      <c r="W926" t="s">
        <v>17759</v>
      </c>
      <c r="X926" t="s">
        <v>17760</v>
      </c>
      <c r="Y926" t="s">
        <v>17761</v>
      </c>
      <c r="Z926" t="s">
        <v>17762</v>
      </c>
      <c r="AA926" t="s">
        <v>17763</v>
      </c>
      <c r="AB926" t="s">
        <v>17764</v>
      </c>
      <c r="AC926" t="s">
        <v>17765</v>
      </c>
      <c r="AD926" t="s">
        <v>17766</v>
      </c>
      <c r="AE926" t="s">
        <v>17767</v>
      </c>
      <c r="AF926" t="s">
        <v>74</v>
      </c>
      <c r="AG926">
        <v>47</v>
      </c>
      <c r="AH926">
        <v>12</v>
      </c>
      <c r="AI926">
        <v>12</v>
      </c>
      <c r="AJ926">
        <v>1</v>
      </c>
      <c r="AK926">
        <v>16</v>
      </c>
      <c r="AL926" t="s">
        <v>91</v>
      </c>
      <c r="AM926" t="s">
        <v>92</v>
      </c>
      <c r="AN926" t="s">
        <v>93</v>
      </c>
      <c r="AO926" t="s">
        <v>5155</v>
      </c>
      <c r="AP926" t="s">
        <v>5156</v>
      </c>
      <c r="AQ926" t="s">
        <v>74</v>
      </c>
      <c r="AR926" t="s">
        <v>5157</v>
      </c>
      <c r="AS926" t="s">
        <v>5158</v>
      </c>
      <c r="AT926" t="s">
        <v>16620</v>
      </c>
      <c r="AU926">
        <v>2018</v>
      </c>
      <c r="AV926">
        <v>50</v>
      </c>
      <c r="AW926" t="s">
        <v>5373</v>
      </c>
      <c r="AX926" t="s">
        <v>74</v>
      </c>
      <c r="AY926" t="s">
        <v>74</v>
      </c>
      <c r="AZ926" t="s">
        <v>74</v>
      </c>
      <c r="BA926" t="s">
        <v>74</v>
      </c>
      <c r="BB926">
        <v>1129</v>
      </c>
      <c r="BC926">
        <v>1143</v>
      </c>
      <c r="BD926" t="s">
        <v>74</v>
      </c>
      <c r="BE926" t="s">
        <v>17768</v>
      </c>
      <c r="BF926" t="str">
        <f>HYPERLINK("http://dx.doi.org/10.1007/s00382-017-3666-1","http://dx.doi.org/10.1007/s00382-017-3666-1")</f>
        <v>http://dx.doi.org/10.1007/s00382-017-3666-1</v>
      </c>
      <c r="BG926" t="s">
        <v>74</v>
      </c>
      <c r="BH926" t="s">
        <v>74</v>
      </c>
      <c r="BI926">
        <v>15</v>
      </c>
      <c r="BJ926" t="s">
        <v>131</v>
      </c>
      <c r="BK926" t="s">
        <v>101</v>
      </c>
      <c r="BL926" t="s">
        <v>131</v>
      </c>
      <c r="BM926" t="s">
        <v>17769</v>
      </c>
      <c r="BN926" t="s">
        <v>74</v>
      </c>
      <c r="BO926" t="s">
        <v>1085</v>
      </c>
      <c r="BP926" t="s">
        <v>74</v>
      </c>
      <c r="BQ926" t="s">
        <v>74</v>
      </c>
      <c r="BR926" t="s">
        <v>105</v>
      </c>
      <c r="BS926" t="s">
        <v>17770</v>
      </c>
      <c r="BT926" t="str">
        <f>HYPERLINK("https%3A%2F%2Fwww.webofscience.com%2Fwos%2Fwoscc%2Ffull-record%2FWOS:000425328700023","View Full Record in Web of Science")</f>
        <v>View Full Record in Web of Science</v>
      </c>
    </row>
    <row r="927" spans="1:72" x14ac:dyDescent="0.15">
      <c r="A927" t="s">
        <v>72</v>
      </c>
      <c r="B927" t="s">
        <v>17771</v>
      </c>
      <c r="C927" t="s">
        <v>74</v>
      </c>
      <c r="D927" t="s">
        <v>74</v>
      </c>
      <c r="E927" t="s">
        <v>74</v>
      </c>
      <c r="F927" t="s">
        <v>17772</v>
      </c>
      <c r="G927" t="s">
        <v>74</v>
      </c>
      <c r="H927" t="s">
        <v>74</v>
      </c>
      <c r="I927" t="s">
        <v>17773</v>
      </c>
      <c r="J927" t="s">
        <v>5142</v>
      </c>
      <c r="K927" t="s">
        <v>74</v>
      </c>
      <c r="L927" t="s">
        <v>74</v>
      </c>
      <c r="M927" t="s">
        <v>78</v>
      </c>
      <c r="N927" t="s">
        <v>79</v>
      </c>
      <c r="O927" t="s">
        <v>74</v>
      </c>
      <c r="P927" t="s">
        <v>74</v>
      </c>
      <c r="Q927" t="s">
        <v>74</v>
      </c>
      <c r="R927" t="s">
        <v>74</v>
      </c>
      <c r="S927" t="s">
        <v>74</v>
      </c>
      <c r="T927" t="s">
        <v>17774</v>
      </c>
      <c r="U927" t="s">
        <v>17775</v>
      </c>
      <c r="V927" t="s">
        <v>17776</v>
      </c>
      <c r="W927" t="s">
        <v>17777</v>
      </c>
      <c r="X927" t="s">
        <v>17778</v>
      </c>
      <c r="Y927" t="s">
        <v>17779</v>
      </c>
      <c r="Z927" t="s">
        <v>9574</v>
      </c>
      <c r="AA927" t="s">
        <v>17780</v>
      </c>
      <c r="AB927" t="s">
        <v>17781</v>
      </c>
      <c r="AC927" t="s">
        <v>17782</v>
      </c>
      <c r="AD927" t="s">
        <v>17783</v>
      </c>
      <c r="AE927" t="s">
        <v>17784</v>
      </c>
      <c r="AF927" t="s">
        <v>74</v>
      </c>
      <c r="AG927">
        <v>45</v>
      </c>
      <c r="AH927">
        <v>15</v>
      </c>
      <c r="AI927">
        <v>19</v>
      </c>
      <c r="AJ927">
        <v>0</v>
      </c>
      <c r="AK927">
        <v>12</v>
      </c>
      <c r="AL927" t="s">
        <v>91</v>
      </c>
      <c r="AM927" t="s">
        <v>92</v>
      </c>
      <c r="AN927" t="s">
        <v>93</v>
      </c>
      <c r="AO927" t="s">
        <v>5155</v>
      </c>
      <c r="AP927" t="s">
        <v>5156</v>
      </c>
      <c r="AQ927" t="s">
        <v>74</v>
      </c>
      <c r="AR927" t="s">
        <v>5157</v>
      </c>
      <c r="AS927" t="s">
        <v>5158</v>
      </c>
      <c r="AT927" t="s">
        <v>16620</v>
      </c>
      <c r="AU927">
        <v>2018</v>
      </c>
      <c r="AV927">
        <v>50</v>
      </c>
      <c r="AW927" t="s">
        <v>5373</v>
      </c>
      <c r="AX927" t="s">
        <v>74</v>
      </c>
      <c r="AY927" t="s">
        <v>74</v>
      </c>
      <c r="AZ927" t="s">
        <v>74</v>
      </c>
      <c r="BA927" t="s">
        <v>74</v>
      </c>
      <c r="BB927">
        <v>1451</v>
      </c>
      <c r="BC927">
        <v>1470</v>
      </c>
      <c r="BD927" t="s">
        <v>74</v>
      </c>
      <c r="BE927" t="s">
        <v>17785</v>
      </c>
      <c r="BF927" t="str">
        <f>HYPERLINK("http://dx.doi.org/10.1007/s00382-017-3698-6","http://dx.doi.org/10.1007/s00382-017-3698-6")</f>
        <v>http://dx.doi.org/10.1007/s00382-017-3698-6</v>
      </c>
      <c r="BG927" t="s">
        <v>74</v>
      </c>
      <c r="BH927" t="s">
        <v>74</v>
      </c>
      <c r="BI927">
        <v>20</v>
      </c>
      <c r="BJ927" t="s">
        <v>131</v>
      </c>
      <c r="BK927" t="s">
        <v>101</v>
      </c>
      <c r="BL927" t="s">
        <v>131</v>
      </c>
      <c r="BM927" t="s">
        <v>17769</v>
      </c>
      <c r="BN927" t="s">
        <v>74</v>
      </c>
      <c r="BO927" t="s">
        <v>74</v>
      </c>
      <c r="BP927" t="s">
        <v>74</v>
      </c>
      <c r="BQ927" t="s">
        <v>74</v>
      </c>
      <c r="BR927" t="s">
        <v>105</v>
      </c>
      <c r="BS927" t="s">
        <v>17786</v>
      </c>
      <c r="BT927" t="str">
        <f>HYPERLINK("https%3A%2F%2Fwww.webofscience.com%2Fwos%2Fwoscc%2Ffull-record%2FWOS:000425328700043","View Full Record in Web of Science")</f>
        <v>View Full Record in Web of Science</v>
      </c>
    </row>
    <row r="928" spans="1:72" x14ac:dyDescent="0.15">
      <c r="A928" t="s">
        <v>72</v>
      </c>
      <c r="B928" t="s">
        <v>17787</v>
      </c>
      <c r="C928" t="s">
        <v>74</v>
      </c>
      <c r="D928" t="s">
        <v>74</v>
      </c>
      <c r="E928" t="s">
        <v>74</v>
      </c>
      <c r="F928" t="s">
        <v>17788</v>
      </c>
      <c r="G928" t="s">
        <v>74</v>
      </c>
      <c r="H928" t="s">
        <v>74</v>
      </c>
      <c r="I928" t="s">
        <v>17789</v>
      </c>
      <c r="J928" t="s">
        <v>3496</v>
      </c>
      <c r="K928" t="s">
        <v>74</v>
      </c>
      <c r="L928" t="s">
        <v>74</v>
      </c>
      <c r="M928" t="s">
        <v>78</v>
      </c>
      <c r="N928" t="s">
        <v>79</v>
      </c>
      <c r="O928" t="s">
        <v>74</v>
      </c>
      <c r="P928" t="s">
        <v>74</v>
      </c>
      <c r="Q928" t="s">
        <v>74</v>
      </c>
      <c r="R928" t="s">
        <v>74</v>
      </c>
      <c r="S928" t="s">
        <v>74</v>
      </c>
      <c r="T928" t="s">
        <v>17790</v>
      </c>
      <c r="U928" t="s">
        <v>17791</v>
      </c>
      <c r="V928" t="s">
        <v>17792</v>
      </c>
      <c r="W928" t="s">
        <v>17793</v>
      </c>
      <c r="X928" t="s">
        <v>17794</v>
      </c>
      <c r="Y928" t="s">
        <v>17795</v>
      </c>
      <c r="Z928" t="s">
        <v>17796</v>
      </c>
      <c r="AA928" t="s">
        <v>17797</v>
      </c>
      <c r="AB928" t="s">
        <v>74</v>
      </c>
      <c r="AC928" t="s">
        <v>17798</v>
      </c>
      <c r="AD928" t="s">
        <v>17799</v>
      </c>
      <c r="AE928" t="s">
        <v>17800</v>
      </c>
      <c r="AF928" t="s">
        <v>74</v>
      </c>
      <c r="AG928">
        <v>36</v>
      </c>
      <c r="AH928">
        <v>5</v>
      </c>
      <c r="AI928">
        <v>6</v>
      </c>
      <c r="AJ928">
        <v>0</v>
      </c>
      <c r="AK928">
        <v>15</v>
      </c>
      <c r="AL928" t="s">
        <v>3508</v>
      </c>
      <c r="AM928" t="s">
        <v>1540</v>
      </c>
      <c r="AN928" t="s">
        <v>3509</v>
      </c>
      <c r="AO928" t="s">
        <v>3510</v>
      </c>
      <c r="AP928" t="s">
        <v>3511</v>
      </c>
      <c r="AQ928" t="s">
        <v>74</v>
      </c>
      <c r="AR928" t="s">
        <v>3512</v>
      </c>
      <c r="AS928" t="s">
        <v>3513</v>
      </c>
      <c r="AT928" t="s">
        <v>16620</v>
      </c>
      <c r="AU928">
        <v>2018</v>
      </c>
      <c r="AV928">
        <v>68</v>
      </c>
      <c r="AW928">
        <v>2</v>
      </c>
      <c r="AX928" t="s">
        <v>74</v>
      </c>
      <c r="AY928" t="s">
        <v>74</v>
      </c>
      <c r="AZ928" t="s">
        <v>74</v>
      </c>
      <c r="BA928" t="s">
        <v>74</v>
      </c>
      <c r="BB928">
        <v>536</v>
      </c>
      <c r="BC928">
        <v>541</v>
      </c>
      <c r="BD928" t="s">
        <v>74</v>
      </c>
      <c r="BE928" t="s">
        <v>17801</v>
      </c>
      <c r="BF928" t="str">
        <f>HYPERLINK("http://dx.doi.org/10.1099/ijsem.0.002535","http://dx.doi.org/10.1099/ijsem.0.002535")</f>
        <v>http://dx.doi.org/10.1099/ijsem.0.002535</v>
      </c>
      <c r="BG928" t="s">
        <v>74</v>
      </c>
      <c r="BH928" t="s">
        <v>74</v>
      </c>
      <c r="BI928">
        <v>6</v>
      </c>
      <c r="BJ928" t="s">
        <v>510</v>
      </c>
      <c r="BK928" t="s">
        <v>101</v>
      </c>
      <c r="BL928" t="s">
        <v>510</v>
      </c>
      <c r="BM928" t="s">
        <v>17802</v>
      </c>
      <c r="BN928">
        <v>29251588</v>
      </c>
      <c r="BO928" t="s">
        <v>162</v>
      </c>
      <c r="BP928" t="s">
        <v>74</v>
      </c>
      <c r="BQ928" t="s">
        <v>74</v>
      </c>
      <c r="BR928" t="s">
        <v>105</v>
      </c>
      <c r="BS928" t="s">
        <v>17803</v>
      </c>
      <c r="BT928" t="str">
        <f>HYPERLINK("https%3A%2F%2Fwww.webofscience.com%2Fwos%2Fwoscc%2Ffull-record%2FWOS:000425221100011","View Full Record in Web of Science")</f>
        <v>View Full Record in Web of Science</v>
      </c>
    </row>
    <row r="929" spans="1:72" x14ac:dyDescent="0.15">
      <c r="A929" t="s">
        <v>72</v>
      </c>
      <c r="B929" t="s">
        <v>17804</v>
      </c>
      <c r="C929" t="s">
        <v>74</v>
      </c>
      <c r="D929" t="s">
        <v>74</v>
      </c>
      <c r="E929" t="s">
        <v>74</v>
      </c>
      <c r="F929" t="s">
        <v>17805</v>
      </c>
      <c r="G929" t="s">
        <v>74</v>
      </c>
      <c r="H929" t="s">
        <v>74</v>
      </c>
      <c r="I929" t="s">
        <v>17806</v>
      </c>
      <c r="J929" t="s">
        <v>3496</v>
      </c>
      <c r="K929" t="s">
        <v>74</v>
      </c>
      <c r="L929" t="s">
        <v>74</v>
      </c>
      <c r="M929" t="s">
        <v>78</v>
      </c>
      <c r="N929" t="s">
        <v>79</v>
      </c>
      <c r="O929" t="s">
        <v>74</v>
      </c>
      <c r="P929" t="s">
        <v>74</v>
      </c>
      <c r="Q929" t="s">
        <v>74</v>
      </c>
      <c r="R929" t="s">
        <v>74</v>
      </c>
      <c r="S929" t="s">
        <v>74</v>
      </c>
      <c r="T929" t="s">
        <v>17807</v>
      </c>
      <c r="U929" t="s">
        <v>17808</v>
      </c>
      <c r="V929" t="s">
        <v>17809</v>
      </c>
      <c r="W929" t="s">
        <v>17810</v>
      </c>
      <c r="X929" t="s">
        <v>17811</v>
      </c>
      <c r="Y929" t="s">
        <v>17812</v>
      </c>
      <c r="Z929" t="s">
        <v>17813</v>
      </c>
      <c r="AA929" t="s">
        <v>17814</v>
      </c>
      <c r="AB929" t="s">
        <v>17815</v>
      </c>
      <c r="AC929" t="s">
        <v>17816</v>
      </c>
      <c r="AD929" t="s">
        <v>17817</v>
      </c>
      <c r="AE929" t="s">
        <v>17818</v>
      </c>
      <c r="AF929" t="s">
        <v>74</v>
      </c>
      <c r="AG929">
        <v>31</v>
      </c>
      <c r="AH929">
        <v>17</v>
      </c>
      <c r="AI929">
        <v>18</v>
      </c>
      <c r="AJ929">
        <v>1</v>
      </c>
      <c r="AK929">
        <v>6</v>
      </c>
      <c r="AL929" t="s">
        <v>3508</v>
      </c>
      <c r="AM929" t="s">
        <v>1540</v>
      </c>
      <c r="AN929" t="s">
        <v>8624</v>
      </c>
      <c r="AO929" t="s">
        <v>3510</v>
      </c>
      <c r="AP929" t="s">
        <v>3511</v>
      </c>
      <c r="AQ929" t="s">
        <v>74</v>
      </c>
      <c r="AR929" t="s">
        <v>3512</v>
      </c>
      <c r="AS929" t="s">
        <v>3513</v>
      </c>
      <c r="AT929" t="s">
        <v>16620</v>
      </c>
      <c r="AU929">
        <v>2018</v>
      </c>
      <c r="AV929">
        <v>68</v>
      </c>
      <c r="AW929">
        <v>2</v>
      </c>
      <c r="AX929" t="s">
        <v>74</v>
      </c>
      <c r="AY929" t="s">
        <v>74</v>
      </c>
      <c r="AZ929" t="s">
        <v>74</v>
      </c>
      <c r="BA929" t="s">
        <v>74</v>
      </c>
      <c r="BB929">
        <v>663</v>
      </c>
      <c r="BC929">
        <v>668</v>
      </c>
      <c r="BD929" t="s">
        <v>74</v>
      </c>
      <c r="BE929" t="s">
        <v>17819</v>
      </c>
      <c r="BF929" t="str">
        <f>HYPERLINK("http://dx.doi.org/10.1099/ijsem.0.002563","http://dx.doi.org/10.1099/ijsem.0.002563")</f>
        <v>http://dx.doi.org/10.1099/ijsem.0.002563</v>
      </c>
      <c r="BG929" t="s">
        <v>74</v>
      </c>
      <c r="BH929" t="s">
        <v>74</v>
      </c>
      <c r="BI929">
        <v>6</v>
      </c>
      <c r="BJ929" t="s">
        <v>510</v>
      </c>
      <c r="BK929" t="s">
        <v>101</v>
      </c>
      <c r="BL929" t="s">
        <v>510</v>
      </c>
      <c r="BM929" t="s">
        <v>17802</v>
      </c>
      <c r="BN929">
        <v>29388548</v>
      </c>
      <c r="BO929" t="s">
        <v>162</v>
      </c>
      <c r="BP929" t="s">
        <v>74</v>
      </c>
      <c r="BQ929" t="s">
        <v>74</v>
      </c>
      <c r="BR929" t="s">
        <v>105</v>
      </c>
      <c r="BS929" t="s">
        <v>17820</v>
      </c>
      <c r="BT929" t="str">
        <f>HYPERLINK("https%3A%2F%2Fwww.webofscience.com%2Fwos%2Fwoscc%2Ffull-record%2FWOS:000425221100031","View Full Record in Web of Science")</f>
        <v>View Full Record in Web of Science</v>
      </c>
    </row>
    <row r="930" spans="1:72" x14ac:dyDescent="0.15">
      <c r="A930" t="s">
        <v>72</v>
      </c>
      <c r="B930" t="s">
        <v>17821</v>
      </c>
      <c r="C930" t="s">
        <v>74</v>
      </c>
      <c r="D930" t="s">
        <v>74</v>
      </c>
      <c r="E930" t="s">
        <v>74</v>
      </c>
      <c r="F930" t="s">
        <v>17822</v>
      </c>
      <c r="G930" t="s">
        <v>74</v>
      </c>
      <c r="H930" t="s">
        <v>74</v>
      </c>
      <c r="I930" t="s">
        <v>17823</v>
      </c>
      <c r="J930" t="s">
        <v>3583</v>
      </c>
      <c r="K930" t="s">
        <v>74</v>
      </c>
      <c r="L930" t="s">
        <v>74</v>
      </c>
      <c r="M930" t="s">
        <v>78</v>
      </c>
      <c r="N930" t="s">
        <v>79</v>
      </c>
      <c r="O930" t="s">
        <v>74</v>
      </c>
      <c r="P930" t="s">
        <v>74</v>
      </c>
      <c r="Q930" t="s">
        <v>74</v>
      </c>
      <c r="R930" t="s">
        <v>74</v>
      </c>
      <c r="S930" t="s">
        <v>74</v>
      </c>
      <c r="T930" t="s">
        <v>74</v>
      </c>
      <c r="U930" t="s">
        <v>17824</v>
      </c>
      <c r="V930" t="s">
        <v>17825</v>
      </c>
      <c r="W930" t="s">
        <v>17826</v>
      </c>
      <c r="X930" t="s">
        <v>17827</v>
      </c>
      <c r="Y930" t="s">
        <v>17828</v>
      </c>
      <c r="Z930" t="s">
        <v>17829</v>
      </c>
      <c r="AA930" t="s">
        <v>74</v>
      </c>
      <c r="AB930" t="s">
        <v>17830</v>
      </c>
      <c r="AC930" t="s">
        <v>17831</v>
      </c>
      <c r="AD930" t="s">
        <v>17832</v>
      </c>
      <c r="AE930" t="s">
        <v>17833</v>
      </c>
      <c r="AF930" t="s">
        <v>74</v>
      </c>
      <c r="AG930">
        <v>97</v>
      </c>
      <c r="AH930">
        <v>28</v>
      </c>
      <c r="AI930">
        <v>28</v>
      </c>
      <c r="AJ930">
        <v>2</v>
      </c>
      <c r="AK930">
        <v>32</v>
      </c>
      <c r="AL930" t="s">
        <v>3595</v>
      </c>
      <c r="AM930" t="s">
        <v>3596</v>
      </c>
      <c r="AN930" t="s">
        <v>3597</v>
      </c>
      <c r="AO930" t="s">
        <v>3598</v>
      </c>
      <c r="AP930" t="s">
        <v>3599</v>
      </c>
      <c r="AQ930" t="s">
        <v>74</v>
      </c>
      <c r="AR930" t="s">
        <v>3600</v>
      </c>
      <c r="AS930" t="s">
        <v>3601</v>
      </c>
      <c r="AT930" t="s">
        <v>16620</v>
      </c>
      <c r="AU930">
        <v>2018</v>
      </c>
      <c r="AV930">
        <v>31</v>
      </c>
      <c r="AW930">
        <v>4</v>
      </c>
      <c r="AX930" t="s">
        <v>74</v>
      </c>
      <c r="AY930" t="s">
        <v>74</v>
      </c>
      <c r="AZ930" t="s">
        <v>74</v>
      </c>
      <c r="BA930" t="s">
        <v>74</v>
      </c>
      <c r="BB930">
        <v>1619</v>
      </c>
      <c r="BC930">
        <v>1635</v>
      </c>
      <c r="BD930" t="s">
        <v>74</v>
      </c>
      <c r="BE930" t="s">
        <v>17834</v>
      </c>
      <c r="BF930" t="str">
        <f>HYPERLINK("http://dx.doi.org/10.1175/JCLI-D-17-0351.1","http://dx.doi.org/10.1175/JCLI-D-17-0351.1")</f>
        <v>http://dx.doi.org/10.1175/JCLI-D-17-0351.1</v>
      </c>
      <c r="BG930" t="s">
        <v>74</v>
      </c>
      <c r="BH930" t="s">
        <v>74</v>
      </c>
      <c r="BI930">
        <v>17</v>
      </c>
      <c r="BJ930" t="s">
        <v>131</v>
      </c>
      <c r="BK930" t="s">
        <v>101</v>
      </c>
      <c r="BL930" t="s">
        <v>131</v>
      </c>
      <c r="BM930" t="s">
        <v>17835</v>
      </c>
      <c r="BN930" t="s">
        <v>74</v>
      </c>
      <c r="BO930" t="s">
        <v>2746</v>
      </c>
      <c r="BP930" t="s">
        <v>74</v>
      </c>
      <c r="BQ930" t="s">
        <v>74</v>
      </c>
      <c r="BR930" t="s">
        <v>105</v>
      </c>
      <c r="BS930" t="s">
        <v>17836</v>
      </c>
      <c r="BT930" t="str">
        <f>HYPERLINK("https%3A%2F%2Fwww.webofscience.com%2Fwos%2Fwoscc%2Ffull-record%2FWOS:000425166600018","View Full Record in Web of Science")</f>
        <v>View Full Record in Web of Science</v>
      </c>
    </row>
    <row r="931" spans="1:72" x14ac:dyDescent="0.15">
      <c r="A931" t="s">
        <v>72</v>
      </c>
      <c r="B931" t="s">
        <v>17837</v>
      </c>
      <c r="C931" t="s">
        <v>74</v>
      </c>
      <c r="D931" t="s">
        <v>74</v>
      </c>
      <c r="E931" t="s">
        <v>74</v>
      </c>
      <c r="F931" t="s">
        <v>17838</v>
      </c>
      <c r="G931" t="s">
        <v>74</v>
      </c>
      <c r="H931" t="s">
        <v>74</v>
      </c>
      <c r="I931" t="s">
        <v>17839</v>
      </c>
      <c r="J931" t="s">
        <v>17840</v>
      </c>
      <c r="K931" t="s">
        <v>74</v>
      </c>
      <c r="L931" t="s">
        <v>74</v>
      </c>
      <c r="M931" t="s">
        <v>78</v>
      </c>
      <c r="N931" t="s">
        <v>79</v>
      </c>
      <c r="O931" t="s">
        <v>74</v>
      </c>
      <c r="P931" t="s">
        <v>74</v>
      </c>
      <c r="Q931" t="s">
        <v>74</v>
      </c>
      <c r="R931" t="s">
        <v>74</v>
      </c>
      <c r="S931" t="s">
        <v>74</v>
      </c>
      <c r="T931" t="s">
        <v>17841</v>
      </c>
      <c r="U931" t="s">
        <v>74</v>
      </c>
      <c r="V931" t="s">
        <v>17842</v>
      </c>
      <c r="W931" t="s">
        <v>17843</v>
      </c>
      <c r="X931" t="s">
        <v>17844</v>
      </c>
      <c r="Y931" t="s">
        <v>17845</v>
      </c>
      <c r="Z931" t="s">
        <v>17846</v>
      </c>
      <c r="AA931" t="s">
        <v>17847</v>
      </c>
      <c r="AB931" t="s">
        <v>17848</v>
      </c>
      <c r="AC931" t="s">
        <v>17849</v>
      </c>
      <c r="AD931" t="s">
        <v>17849</v>
      </c>
      <c r="AE931" t="s">
        <v>17849</v>
      </c>
      <c r="AF931" t="s">
        <v>74</v>
      </c>
      <c r="AG931">
        <v>22</v>
      </c>
      <c r="AH931">
        <v>14</v>
      </c>
      <c r="AI931">
        <v>15</v>
      </c>
      <c r="AJ931">
        <v>0</v>
      </c>
      <c r="AK931">
        <v>21</v>
      </c>
      <c r="AL931" t="s">
        <v>179</v>
      </c>
      <c r="AM931" t="s">
        <v>180</v>
      </c>
      <c r="AN931" t="s">
        <v>181</v>
      </c>
      <c r="AO931" t="s">
        <v>17850</v>
      </c>
      <c r="AP931" t="s">
        <v>17851</v>
      </c>
      <c r="AQ931" t="s">
        <v>74</v>
      </c>
      <c r="AR931" t="s">
        <v>17852</v>
      </c>
      <c r="AS931" t="s">
        <v>17853</v>
      </c>
      <c r="AT931" t="s">
        <v>16620</v>
      </c>
      <c r="AU931">
        <v>2018</v>
      </c>
      <c r="AV931">
        <v>28</v>
      </c>
      <c r="AW931">
        <v>1</v>
      </c>
      <c r="AX931" t="s">
        <v>74</v>
      </c>
      <c r="AY931" t="s">
        <v>74</v>
      </c>
      <c r="AZ931" t="s">
        <v>74</v>
      </c>
      <c r="BA931" t="s">
        <v>74</v>
      </c>
      <c r="BB931">
        <v>175</v>
      </c>
      <c r="BC931">
        <v>181</v>
      </c>
      <c r="BD931" t="s">
        <v>74</v>
      </c>
      <c r="BE931" t="s">
        <v>17854</v>
      </c>
      <c r="BF931" t="str">
        <f>HYPERLINK("http://dx.doi.org/10.1002/aqc.2805","http://dx.doi.org/10.1002/aqc.2805")</f>
        <v>http://dx.doi.org/10.1002/aqc.2805</v>
      </c>
      <c r="BG931" t="s">
        <v>74</v>
      </c>
      <c r="BH931" t="s">
        <v>74</v>
      </c>
      <c r="BI931">
        <v>7</v>
      </c>
      <c r="BJ931" t="s">
        <v>17855</v>
      </c>
      <c r="BK931" t="s">
        <v>101</v>
      </c>
      <c r="BL931" t="s">
        <v>17856</v>
      </c>
      <c r="BM931" t="s">
        <v>17857</v>
      </c>
      <c r="BN931" t="s">
        <v>74</v>
      </c>
      <c r="BO931" t="s">
        <v>74</v>
      </c>
      <c r="BP931" t="s">
        <v>74</v>
      </c>
      <c r="BQ931" t="s">
        <v>74</v>
      </c>
      <c r="BR931" t="s">
        <v>105</v>
      </c>
      <c r="BS931" t="s">
        <v>17858</v>
      </c>
      <c r="BT931" t="str">
        <f>HYPERLINK("https%3A%2F%2Fwww.webofscience.com%2Fwos%2Fwoscc%2Ffull-record%2FWOS:000425121900018","View Full Record in Web of Science")</f>
        <v>View Full Record in Web of Science</v>
      </c>
    </row>
    <row r="932" spans="1:72" x14ac:dyDescent="0.15">
      <c r="A932" t="s">
        <v>72</v>
      </c>
      <c r="B932" t="s">
        <v>17859</v>
      </c>
      <c r="C932" t="s">
        <v>74</v>
      </c>
      <c r="D932" t="s">
        <v>74</v>
      </c>
      <c r="E932" t="s">
        <v>74</v>
      </c>
      <c r="F932" t="s">
        <v>17860</v>
      </c>
      <c r="G932" t="s">
        <v>74</v>
      </c>
      <c r="H932" t="s">
        <v>74</v>
      </c>
      <c r="I932" t="s">
        <v>17861</v>
      </c>
      <c r="J932" t="s">
        <v>17862</v>
      </c>
      <c r="K932" t="s">
        <v>74</v>
      </c>
      <c r="L932" t="s">
        <v>74</v>
      </c>
      <c r="M932" t="s">
        <v>78</v>
      </c>
      <c r="N932" t="s">
        <v>79</v>
      </c>
      <c r="O932" t="s">
        <v>74</v>
      </c>
      <c r="P932" t="s">
        <v>74</v>
      </c>
      <c r="Q932" t="s">
        <v>74</v>
      </c>
      <c r="R932" t="s">
        <v>74</v>
      </c>
      <c r="S932" t="s">
        <v>74</v>
      </c>
      <c r="T932" t="s">
        <v>17863</v>
      </c>
      <c r="U932" t="s">
        <v>17864</v>
      </c>
      <c r="V932" t="s">
        <v>17865</v>
      </c>
      <c r="W932" t="s">
        <v>17866</v>
      </c>
      <c r="X932" t="s">
        <v>17867</v>
      </c>
      <c r="Y932" t="s">
        <v>17868</v>
      </c>
      <c r="Z932" t="s">
        <v>17869</v>
      </c>
      <c r="AA932" t="s">
        <v>17870</v>
      </c>
      <c r="AB932" t="s">
        <v>17871</v>
      </c>
      <c r="AC932" t="s">
        <v>17872</v>
      </c>
      <c r="AD932" t="s">
        <v>17873</v>
      </c>
      <c r="AE932" t="s">
        <v>17874</v>
      </c>
      <c r="AF932" t="s">
        <v>74</v>
      </c>
      <c r="AG932">
        <v>49</v>
      </c>
      <c r="AH932">
        <v>6</v>
      </c>
      <c r="AI932">
        <v>6</v>
      </c>
      <c r="AJ932">
        <v>0</v>
      </c>
      <c r="AK932">
        <v>8</v>
      </c>
      <c r="AL932" t="s">
        <v>91</v>
      </c>
      <c r="AM932" t="s">
        <v>92</v>
      </c>
      <c r="AN932" t="s">
        <v>205</v>
      </c>
      <c r="AO932" t="s">
        <v>17875</v>
      </c>
      <c r="AP932" t="s">
        <v>17876</v>
      </c>
      <c r="AQ932" t="s">
        <v>74</v>
      </c>
      <c r="AR932" t="s">
        <v>17877</v>
      </c>
      <c r="AS932" t="s">
        <v>17878</v>
      </c>
      <c r="AT932" t="s">
        <v>16620</v>
      </c>
      <c r="AU932">
        <v>2018</v>
      </c>
      <c r="AV932">
        <v>148</v>
      </c>
      <c r="AW932">
        <v>2</v>
      </c>
      <c r="AX932" t="s">
        <v>74</v>
      </c>
      <c r="AY932" t="s">
        <v>74</v>
      </c>
      <c r="AZ932" t="s">
        <v>74</v>
      </c>
      <c r="BA932" t="s">
        <v>74</v>
      </c>
      <c r="BB932">
        <v>712</v>
      </c>
      <c r="BC932">
        <v>724</v>
      </c>
      <c r="BD932" t="s">
        <v>74</v>
      </c>
      <c r="BE932" t="s">
        <v>17879</v>
      </c>
      <c r="BF932" t="str">
        <f>HYPERLINK("http://dx.doi.org/10.1007/s10562-017-2257-4","http://dx.doi.org/10.1007/s10562-017-2257-4")</f>
        <v>http://dx.doi.org/10.1007/s10562-017-2257-4</v>
      </c>
      <c r="BG932" t="s">
        <v>74</v>
      </c>
      <c r="BH932" t="s">
        <v>74</v>
      </c>
      <c r="BI932">
        <v>13</v>
      </c>
      <c r="BJ932" t="s">
        <v>17880</v>
      </c>
      <c r="BK932" t="s">
        <v>101</v>
      </c>
      <c r="BL932" t="s">
        <v>2035</v>
      </c>
      <c r="BM932" t="s">
        <v>17881</v>
      </c>
      <c r="BN932" t="s">
        <v>74</v>
      </c>
      <c r="BO932" t="s">
        <v>74</v>
      </c>
      <c r="BP932" t="s">
        <v>74</v>
      </c>
      <c r="BQ932" t="s">
        <v>74</v>
      </c>
      <c r="BR932" t="s">
        <v>105</v>
      </c>
      <c r="BS932" t="s">
        <v>17882</v>
      </c>
      <c r="BT932" t="str">
        <f>HYPERLINK("https%3A%2F%2Fwww.webofscience.com%2Fwos%2Fwoscc%2Ffull-record%2FWOS:000425116300021","View Full Record in Web of Science")</f>
        <v>View Full Record in Web of Science</v>
      </c>
    </row>
    <row r="933" spans="1:72" x14ac:dyDescent="0.15">
      <c r="A933" t="s">
        <v>72</v>
      </c>
      <c r="B933" t="s">
        <v>17883</v>
      </c>
      <c r="C933" t="s">
        <v>74</v>
      </c>
      <c r="D933" t="s">
        <v>74</v>
      </c>
      <c r="E933" t="s">
        <v>74</v>
      </c>
      <c r="F933" t="s">
        <v>17884</v>
      </c>
      <c r="G933" t="s">
        <v>74</v>
      </c>
      <c r="H933" t="s">
        <v>74</v>
      </c>
      <c r="I933" t="s">
        <v>17885</v>
      </c>
      <c r="J933" t="s">
        <v>1297</v>
      </c>
      <c r="K933" t="s">
        <v>74</v>
      </c>
      <c r="L933" t="s">
        <v>74</v>
      </c>
      <c r="M933" t="s">
        <v>78</v>
      </c>
      <c r="N933" t="s">
        <v>79</v>
      </c>
      <c r="O933" t="s">
        <v>74</v>
      </c>
      <c r="P933" t="s">
        <v>74</v>
      </c>
      <c r="Q933" t="s">
        <v>74</v>
      </c>
      <c r="R933" t="s">
        <v>74</v>
      </c>
      <c r="S933" t="s">
        <v>74</v>
      </c>
      <c r="T933" t="s">
        <v>17886</v>
      </c>
      <c r="U933" t="s">
        <v>17887</v>
      </c>
      <c r="V933" t="s">
        <v>17888</v>
      </c>
      <c r="W933" t="s">
        <v>17889</v>
      </c>
      <c r="X933" t="s">
        <v>17890</v>
      </c>
      <c r="Y933" t="s">
        <v>17891</v>
      </c>
      <c r="Z933" t="s">
        <v>17892</v>
      </c>
      <c r="AA933" t="s">
        <v>17893</v>
      </c>
      <c r="AB933" t="s">
        <v>17894</v>
      </c>
      <c r="AC933" t="s">
        <v>17895</v>
      </c>
      <c r="AD933" t="s">
        <v>17896</v>
      </c>
      <c r="AE933" t="s">
        <v>17897</v>
      </c>
      <c r="AF933" t="s">
        <v>74</v>
      </c>
      <c r="AG933">
        <v>95</v>
      </c>
      <c r="AH933">
        <v>36</v>
      </c>
      <c r="AI933">
        <v>37</v>
      </c>
      <c r="AJ933">
        <v>0</v>
      </c>
      <c r="AK933">
        <v>11</v>
      </c>
      <c r="AL933" t="s">
        <v>277</v>
      </c>
      <c r="AM933" t="s">
        <v>278</v>
      </c>
      <c r="AN933" t="s">
        <v>279</v>
      </c>
      <c r="AO933" t="s">
        <v>1310</v>
      </c>
      <c r="AP933" t="s">
        <v>1311</v>
      </c>
      <c r="AQ933" t="s">
        <v>74</v>
      </c>
      <c r="AR933" t="s">
        <v>1312</v>
      </c>
      <c r="AS933" t="s">
        <v>1313</v>
      </c>
      <c r="AT933" t="s">
        <v>16707</v>
      </c>
      <c r="AU933">
        <v>2018</v>
      </c>
      <c r="AV933">
        <v>222</v>
      </c>
      <c r="AW933" t="s">
        <v>74</v>
      </c>
      <c r="AX933" t="s">
        <v>74</v>
      </c>
      <c r="AY933" t="s">
        <v>74</v>
      </c>
      <c r="AZ933" t="s">
        <v>74</v>
      </c>
      <c r="BA933" t="s">
        <v>74</v>
      </c>
      <c r="BB933">
        <v>230</v>
      </c>
      <c r="BC933">
        <v>252</v>
      </c>
      <c r="BD933" t="s">
        <v>74</v>
      </c>
      <c r="BE933" t="s">
        <v>17898</v>
      </c>
      <c r="BF933" t="str">
        <f>HYPERLINK("http://dx.doi.org/10.1016/j.gca.2017.10.007","http://dx.doi.org/10.1016/j.gca.2017.10.007")</f>
        <v>http://dx.doi.org/10.1016/j.gca.2017.10.007</v>
      </c>
      <c r="BG933" t="s">
        <v>74</v>
      </c>
      <c r="BH933" t="s">
        <v>74</v>
      </c>
      <c r="BI933">
        <v>23</v>
      </c>
      <c r="BJ933" t="s">
        <v>260</v>
      </c>
      <c r="BK933" t="s">
        <v>101</v>
      </c>
      <c r="BL933" t="s">
        <v>260</v>
      </c>
      <c r="BM933" t="s">
        <v>16709</v>
      </c>
      <c r="BN933">
        <v>29713092</v>
      </c>
      <c r="BO933" t="s">
        <v>104</v>
      </c>
      <c r="BP933" t="s">
        <v>74</v>
      </c>
      <c r="BQ933" t="s">
        <v>74</v>
      </c>
      <c r="BR933" t="s">
        <v>105</v>
      </c>
      <c r="BS933" t="s">
        <v>17899</v>
      </c>
      <c r="BT933" t="str">
        <f>HYPERLINK("https%3A%2F%2Fwww.webofscience.com%2Fwos%2Fwoscc%2Ffull-record%2FWOS:000424972200014","View Full Record in Web of Science")</f>
        <v>View Full Record in Web of Science</v>
      </c>
    </row>
    <row r="934" spans="1:72" x14ac:dyDescent="0.15">
      <c r="A934" t="s">
        <v>72</v>
      </c>
      <c r="B934" t="s">
        <v>17900</v>
      </c>
      <c r="C934" t="s">
        <v>74</v>
      </c>
      <c r="D934" t="s">
        <v>74</v>
      </c>
      <c r="E934" t="s">
        <v>74</v>
      </c>
      <c r="F934" t="s">
        <v>17901</v>
      </c>
      <c r="G934" t="s">
        <v>74</v>
      </c>
      <c r="H934" t="s">
        <v>74</v>
      </c>
      <c r="I934" t="s">
        <v>17902</v>
      </c>
      <c r="J934" t="s">
        <v>1297</v>
      </c>
      <c r="K934" t="s">
        <v>74</v>
      </c>
      <c r="L934" t="s">
        <v>74</v>
      </c>
      <c r="M934" t="s">
        <v>78</v>
      </c>
      <c r="N934" t="s">
        <v>79</v>
      </c>
      <c r="O934" t="s">
        <v>74</v>
      </c>
      <c r="P934" t="s">
        <v>74</v>
      </c>
      <c r="Q934" t="s">
        <v>74</v>
      </c>
      <c r="R934" t="s">
        <v>74</v>
      </c>
      <c r="S934" t="s">
        <v>74</v>
      </c>
      <c r="T934" t="s">
        <v>17903</v>
      </c>
      <c r="U934" t="s">
        <v>17904</v>
      </c>
      <c r="V934" t="s">
        <v>17905</v>
      </c>
      <c r="W934" t="s">
        <v>17906</v>
      </c>
      <c r="X934" t="s">
        <v>17907</v>
      </c>
      <c r="Y934" t="s">
        <v>17908</v>
      </c>
      <c r="Z934" t="s">
        <v>17909</v>
      </c>
      <c r="AA934" t="s">
        <v>17910</v>
      </c>
      <c r="AB934" t="s">
        <v>17911</v>
      </c>
      <c r="AC934" t="s">
        <v>17912</v>
      </c>
      <c r="AD934" t="s">
        <v>17913</v>
      </c>
      <c r="AE934" t="s">
        <v>17914</v>
      </c>
      <c r="AF934" t="s">
        <v>74</v>
      </c>
      <c r="AG934">
        <v>88</v>
      </c>
      <c r="AH934">
        <v>91</v>
      </c>
      <c r="AI934">
        <v>96</v>
      </c>
      <c r="AJ934">
        <v>1</v>
      </c>
      <c r="AK934">
        <v>21</v>
      </c>
      <c r="AL934" t="s">
        <v>277</v>
      </c>
      <c r="AM934" t="s">
        <v>278</v>
      </c>
      <c r="AN934" t="s">
        <v>279</v>
      </c>
      <c r="AO934" t="s">
        <v>1310</v>
      </c>
      <c r="AP934" t="s">
        <v>1311</v>
      </c>
      <c r="AQ934" t="s">
        <v>74</v>
      </c>
      <c r="AR934" t="s">
        <v>1312</v>
      </c>
      <c r="AS934" t="s">
        <v>1313</v>
      </c>
      <c r="AT934" t="s">
        <v>16707</v>
      </c>
      <c r="AU934">
        <v>2018</v>
      </c>
      <c r="AV934">
        <v>222</v>
      </c>
      <c r="AW934" t="s">
        <v>74</v>
      </c>
      <c r="AX934" t="s">
        <v>74</v>
      </c>
      <c r="AY934" t="s">
        <v>74</v>
      </c>
      <c r="AZ934" t="s">
        <v>74</v>
      </c>
      <c r="BA934" t="s">
        <v>74</v>
      </c>
      <c r="BB934">
        <v>284</v>
      </c>
      <c r="BC934">
        <v>304</v>
      </c>
      <c r="BD934" t="s">
        <v>74</v>
      </c>
      <c r="BE934" t="s">
        <v>17915</v>
      </c>
      <c r="BF934" t="str">
        <f>HYPERLINK("http://dx.doi.org/10.1016/j.gca.2017.10.014","http://dx.doi.org/10.1016/j.gca.2017.10.014")</f>
        <v>http://dx.doi.org/10.1016/j.gca.2017.10.014</v>
      </c>
      <c r="BG934" t="s">
        <v>74</v>
      </c>
      <c r="BH934" t="s">
        <v>74</v>
      </c>
      <c r="BI934">
        <v>21</v>
      </c>
      <c r="BJ934" t="s">
        <v>260</v>
      </c>
      <c r="BK934" t="s">
        <v>101</v>
      </c>
      <c r="BL934" t="s">
        <v>260</v>
      </c>
      <c r="BM934" t="s">
        <v>16709</v>
      </c>
      <c r="BN934" t="s">
        <v>74</v>
      </c>
      <c r="BO934" t="s">
        <v>288</v>
      </c>
      <c r="BP934" t="s">
        <v>74</v>
      </c>
      <c r="BQ934" t="s">
        <v>74</v>
      </c>
      <c r="BR934" t="s">
        <v>105</v>
      </c>
      <c r="BS934" t="s">
        <v>17916</v>
      </c>
      <c r="BT934" t="str">
        <f>HYPERLINK("https%3A%2F%2Fwww.webofscience.com%2Fwos%2Fwoscc%2Ffull-record%2FWOS:000424972200017","View Full Record in Web of Science")</f>
        <v>View Full Record in Web of Science</v>
      </c>
    </row>
    <row r="935" spans="1:72" x14ac:dyDescent="0.15">
      <c r="A935" t="s">
        <v>72</v>
      </c>
      <c r="B935" t="s">
        <v>17917</v>
      </c>
      <c r="C935" t="s">
        <v>74</v>
      </c>
      <c r="D935" t="s">
        <v>74</v>
      </c>
      <c r="E935" t="s">
        <v>74</v>
      </c>
      <c r="F935" t="s">
        <v>17918</v>
      </c>
      <c r="G935" t="s">
        <v>74</v>
      </c>
      <c r="H935" t="s">
        <v>74</v>
      </c>
      <c r="I935" t="s">
        <v>17919</v>
      </c>
      <c r="J935" t="s">
        <v>3583</v>
      </c>
      <c r="K935" t="s">
        <v>74</v>
      </c>
      <c r="L935" t="s">
        <v>74</v>
      </c>
      <c r="M935" t="s">
        <v>78</v>
      </c>
      <c r="N935" t="s">
        <v>79</v>
      </c>
      <c r="O935" t="s">
        <v>74</v>
      </c>
      <c r="P935" t="s">
        <v>74</v>
      </c>
      <c r="Q935" t="s">
        <v>74</v>
      </c>
      <c r="R935" t="s">
        <v>74</v>
      </c>
      <c r="S935" t="s">
        <v>74</v>
      </c>
      <c r="T935" t="s">
        <v>74</v>
      </c>
      <c r="U935" t="s">
        <v>17920</v>
      </c>
      <c r="V935" t="s">
        <v>17921</v>
      </c>
      <c r="W935" t="s">
        <v>17922</v>
      </c>
      <c r="X935" t="s">
        <v>17923</v>
      </c>
      <c r="Y935" t="s">
        <v>17924</v>
      </c>
      <c r="Z935" t="s">
        <v>17925</v>
      </c>
      <c r="AA935" t="s">
        <v>17926</v>
      </c>
      <c r="AB935" t="s">
        <v>74</v>
      </c>
      <c r="AC935" t="s">
        <v>17927</v>
      </c>
      <c r="AD935" t="s">
        <v>17928</v>
      </c>
      <c r="AE935" t="s">
        <v>17929</v>
      </c>
      <c r="AF935" t="s">
        <v>74</v>
      </c>
      <c r="AG935">
        <v>52</v>
      </c>
      <c r="AH935">
        <v>11</v>
      </c>
      <c r="AI935">
        <v>14</v>
      </c>
      <c r="AJ935">
        <v>1</v>
      </c>
      <c r="AK935">
        <v>24</v>
      </c>
      <c r="AL935" t="s">
        <v>3595</v>
      </c>
      <c r="AM935" t="s">
        <v>3596</v>
      </c>
      <c r="AN935" t="s">
        <v>3597</v>
      </c>
      <c r="AO935" t="s">
        <v>3598</v>
      </c>
      <c r="AP935" t="s">
        <v>3599</v>
      </c>
      <c r="AQ935" t="s">
        <v>74</v>
      </c>
      <c r="AR935" t="s">
        <v>3600</v>
      </c>
      <c r="AS935" t="s">
        <v>3601</v>
      </c>
      <c r="AT935" t="s">
        <v>16620</v>
      </c>
      <c r="AU935">
        <v>2018</v>
      </c>
      <c r="AV935">
        <v>31</v>
      </c>
      <c r="AW935">
        <v>3</v>
      </c>
      <c r="AX935" t="s">
        <v>74</v>
      </c>
      <c r="AY935" t="s">
        <v>74</v>
      </c>
      <c r="AZ935" t="s">
        <v>74</v>
      </c>
      <c r="BA935" t="s">
        <v>74</v>
      </c>
      <c r="BB935">
        <v>1053</v>
      </c>
      <c r="BC935">
        <v>1073</v>
      </c>
      <c r="BD935" t="s">
        <v>74</v>
      </c>
      <c r="BE935" t="s">
        <v>17930</v>
      </c>
      <c r="BF935" t="str">
        <f>HYPERLINK("http://dx.doi.org/10.1175/JCLI-D-17-0237.1","http://dx.doi.org/10.1175/JCLI-D-17-0237.1")</f>
        <v>http://dx.doi.org/10.1175/JCLI-D-17-0237.1</v>
      </c>
      <c r="BG935" t="s">
        <v>74</v>
      </c>
      <c r="BH935" t="s">
        <v>74</v>
      </c>
      <c r="BI935">
        <v>21</v>
      </c>
      <c r="BJ935" t="s">
        <v>131</v>
      </c>
      <c r="BK935" t="s">
        <v>101</v>
      </c>
      <c r="BL935" t="s">
        <v>131</v>
      </c>
      <c r="BM935" t="s">
        <v>17931</v>
      </c>
      <c r="BN935" t="s">
        <v>74</v>
      </c>
      <c r="BO935" t="s">
        <v>74</v>
      </c>
      <c r="BP935" t="s">
        <v>74</v>
      </c>
      <c r="BQ935" t="s">
        <v>74</v>
      </c>
      <c r="BR935" t="s">
        <v>105</v>
      </c>
      <c r="BS935" t="s">
        <v>17932</v>
      </c>
      <c r="BT935" t="str">
        <f>HYPERLINK("https%3A%2F%2Fwww.webofscience.com%2Fwos%2Fwoscc%2Ffull-record%2FWOS:000425166100008","View Full Record in Web of Science")</f>
        <v>View Full Record in Web of Science</v>
      </c>
    </row>
    <row r="936" spans="1:72" x14ac:dyDescent="0.15">
      <c r="A936" t="s">
        <v>72</v>
      </c>
      <c r="B936" t="s">
        <v>17933</v>
      </c>
      <c r="C936" t="s">
        <v>74</v>
      </c>
      <c r="D936" t="s">
        <v>74</v>
      </c>
      <c r="E936" t="s">
        <v>74</v>
      </c>
      <c r="F936" t="s">
        <v>17934</v>
      </c>
      <c r="G936" t="s">
        <v>74</v>
      </c>
      <c r="H936" t="s">
        <v>74</v>
      </c>
      <c r="I936" t="s">
        <v>17935</v>
      </c>
      <c r="J936" t="s">
        <v>3583</v>
      </c>
      <c r="K936" t="s">
        <v>74</v>
      </c>
      <c r="L936" t="s">
        <v>74</v>
      </c>
      <c r="M936" t="s">
        <v>78</v>
      </c>
      <c r="N936" t="s">
        <v>79</v>
      </c>
      <c r="O936" t="s">
        <v>74</v>
      </c>
      <c r="P936" t="s">
        <v>74</v>
      </c>
      <c r="Q936" t="s">
        <v>74</v>
      </c>
      <c r="R936" t="s">
        <v>74</v>
      </c>
      <c r="S936" t="s">
        <v>74</v>
      </c>
      <c r="T936" t="s">
        <v>74</v>
      </c>
      <c r="U936" t="s">
        <v>17936</v>
      </c>
      <c r="V936" t="s">
        <v>17937</v>
      </c>
      <c r="W936" t="s">
        <v>17938</v>
      </c>
      <c r="X936" t="s">
        <v>17939</v>
      </c>
      <c r="Y936" t="s">
        <v>17940</v>
      </c>
      <c r="Z936" t="s">
        <v>17941</v>
      </c>
      <c r="AA936" t="s">
        <v>17942</v>
      </c>
      <c r="AB936" t="s">
        <v>17943</v>
      </c>
      <c r="AC936" t="s">
        <v>17944</v>
      </c>
      <c r="AD936" t="s">
        <v>17945</v>
      </c>
      <c r="AE936" t="s">
        <v>17946</v>
      </c>
      <c r="AF936" t="s">
        <v>74</v>
      </c>
      <c r="AG936">
        <v>74</v>
      </c>
      <c r="AH936">
        <v>49</v>
      </c>
      <c r="AI936">
        <v>56</v>
      </c>
      <c r="AJ936">
        <v>1</v>
      </c>
      <c r="AK936">
        <v>22</v>
      </c>
      <c r="AL936" t="s">
        <v>3595</v>
      </c>
      <c r="AM936" t="s">
        <v>3596</v>
      </c>
      <c r="AN936" t="s">
        <v>3597</v>
      </c>
      <c r="AO936" t="s">
        <v>3598</v>
      </c>
      <c r="AP936" t="s">
        <v>3599</v>
      </c>
      <c r="AQ936" t="s">
        <v>74</v>
      </c>
      <c r="AR936" t="s">
        <v>3600</v>
      </c>
      <c r="AS936" t="s">
        <v>3601</v>
      </c>
      <c r="AT936" t="s">
        <v>16620</v>
      </c>
      <c r="AU936">
        <v>2018</v>
      </c>
      <c r="AV936">
        <v>31</v>
      </c>
      <c r="AW936">
        <v>3</v>
      </c>
      <c r="AX936" t="s">
        <v>74</v>
      </c>
      <c r="AY936" t="s">
        <v>74</v>
      </c>
      <c r="AZ936" t="s">
        <v>74</v>
      </c>
      <c r="BA936" t="s">
        <v>74</v>
      </c>
      <c r="BB936">
        <v>1091</v>
      </c>
      <c r="BC936">
        <v>1105</v>
      </c>
      <c r="BD936" t="s">
        <v>74</v>
      </c>
      <c r="BE936" t="s">
        <v>17947</v>
      </c>
      <c r="BF936" t="str">
        <f>HYPERLINK("http://dx.doi.org/10.1175/JCLI-D-17-0323.1","http://dx.doi.org/10.1175/JCLI-D-17-0323.1")</f>
        <v>http://dx.doi.org/10.1175/JCLI-D-17-0323.1</v>
      </c>
      <c r="BG936" t="s">
        <v>74</v>
      </c>
      <c r="BH936" t="s">
        <v>74</v>
      </c>
      <c r="BI936">
        <v>15</v>
      </c>
      <c r="BJ936" t="s">
        <v>131</v>
      </c>
      <c r="BK936" t="s">
        <v>101</v>
      </c>
      <c r="BL936" t="s">
        <v>131</v>
      </c>
      <c r="BM936" t="s">
        <v>17931</v>
      </c>
      <c r="BN936" t="s">
        <v>74</v>
      </c>
      <c r="BO936" t="s">
        <v>2453</v>
      </c>
      <c r="BP936" t="s">
        <v>74</v>
      </c>
      <c r="BQ936" t="s">
        <v>74</v>
      </c>
      <c r="BR936" t="s">
        <v>105</v>
      </c>
      <c r="BS936" t="s">
        <v>17948</v>
      </c>
      <c r="BT936" t="str">
        <f>HYPERLINK("https%3A%2F%2Fwww.webofscience.com%2Fwos%2Fwoscc%2Ffull-record%2FWOS:000425166100010","View Full Record in Web of Science")</f>
        <v>View Full Record in Web of Science</v>
      </c>
    </row>
    <row r="937" spans="1:72" x14ac:dyDescent="0.15">
      <c r="A937" t="s">
        <v>72</v>
      </c>
      <c r="B937" t="s">
        <v>17949</v>
      </c>
      <c r="C937" t="s">
        <v>74</v>
      </c>
      <c r="D937" t="s">
        <v>74</v>
      </c>
      <c r="E937" t="s">
        <v>74</v>
      </c>
      <c r="F937" t="s">
        <v>17950</v>
      </c>
      <c r="G937" t="s">
        <v>74</v>
      </c>
      <c r="H937" t="s">
        <v>74</v>
      </c>
      <c r="I937" t="s">
        <v>17951</v>
      </c>
      <c r="J937" t="s">
        <v>700</v>
      </c>
      <c r="K937" t="s">
        <v>74</v>
      </c>
      <c r="L937" t="s">
        <v>74</v>
      </c>
      <c r="M937" t="s">
        <v>78</v>
      </c>
      <c r="N937" t="s">
        <v>79</v>
      </c>
      <c r="O937" t="s">
        <v>74</v>
      </c>
      <c r="P937" t="s">
        <v>74</v>
      </c>
      <c r="Q937" t="s">
        <v>74</v>
      </c>
      <c r="R937" t="s">
        <v>74</v>
      </c>
      <c r="S937" t="s">
        <v>74</v>
      </c>
      <c r="T937" t="s">
        <v>17952</v>
      </c>
      <c r="U937" t="s">
        <v>11496</v>
      </c>
      <c r="V937" t="s">
        <v>17953</v>
      </c>
      <c r="W937" t="s">
        <v>17954</v>
      </c>
      <c r="X937" t="s">
        <v>17955</v>
      </c>
      <c r="Y937" t="s">
        <v>17956</v>
      </c>
      <c r="Z937" t="s">
        <v>17957</v>
      </c>
      <c r="AA937" t="s">
        <v>74</v>
      </c>
      <c r="AB937" t="s">
        <v>74</v>
      </c>
      <c r="AC937" t="s">
        <v>17958</v>
      </c>
      <c r="AD937" t="s">
        <v>17959</v>
      </c>
      <c r="AE937" t="s">
        <v>17960</v>
      </c>
      <c r="AF937" t="s">
        <v>74</v>
      </c>
      <c r="AG937">
        <v>30</v>
      </c>
      <c r="AH937">
        <v>17</v>
      </c>
      <c r="AI937">
        <v>17</v>
      </c>
      <c r="AJ937">
        <v>2</v>
      </c>
      <c r="AK937">
        <v>23</v>
      </c>
      <c r="AL937" t="s">
        <v>425</v>
      </c>
      <c r="AM937" t="s">
        <v>278</v>
      </c>
      <c r="AN937" t="s">
        <v>426</v>
      </c>
      <c r="AO937" t="s">
        <v>713</v>
      </c>
      <c r="AP937" t="s">
        <v>714</v>
      </c>
      <c r="AQ937" t="s">
        <v>74</v>
      </c>
      <c r="AR937" t="s">
        <v>715</v>
      </c>
      <c r="AS937" t="s">
        <v>716</v>
      </c>
      <c r="AT937" t="s">
        <v>16620</v>
      </c>
      <c r="AU937">
        <v>2018</v>
      </c>
      <c r="AV937">
        <v>88</v>
      </c>
      <c r="AW937" t="s">
        <v>74</v>
      </c>
      <c r="AX937" t="s">
        <v>74</v>
      </c>
      <c r="AY937" t="s">
        <v>74</v>
      </c>
      <c r="AZ937" t="s">
        <v>74</v>
      </c>
      <c r="BA937" t="s">
        <v>74</v>
      </c>
      <c r="BB937">
        <v>132</v>
      </c>
      <c r="BC937">
        <v>138</v>
      </c>
      <c r="BD937" t="s">
        <v>74</v>
      </c>
      <c r="BE937" t="s">
        <v>17961</v>
      </c>
      <c r="BF937" t="str">
        <f>HYPERLINK("http://dx.doi.org/10.1016/j.marpol.2017.11.019","http://dx.doi.org/10.1016/j.marpol.2017.11.019")</f>
        <v>http://dx.doi.org/10.1016/j.marpol.2017.11.019</v>
      </c>
      <c r="BG937" t="s">
        <v>74</v>
      </c>
      <c r="BH937" t="s">
        <v>74</v>
      </c>
      <c r="BI937">
        <v>7</v>
      </c>
      <c r="BJ937" t="s">
        <v>718</v>
      </c>
      <c r="BK937" t="s">
        <v>719</v>
      </c>
      <c r="BL937" t="s">
        <v>720</v>
      </c>
      <c r="BM937" t="s">
        <v>17962</v>
      </c>
      <c r="BN937" t="s">
        <v>74</v>
      </c>
      <c r="BO937" t="s">
        <v>74</v>
      </c>
      <c r="BP937" t="s">
        <v>74</v>
      </c>
      <c r="BQ937" t="s">
        <v>74</v>
      </c>
      <c r="BR937" t="s">
        <v>105</v>
      </c>
      <c r="BS937" t="s">
        <v>17963</v>
      </c>
      <c r="BT937" t="str">
        <f>HYPERLINK("https%3A%2F%2Fwww.webofscience.com%2Fwos%2Fwoscc%2Ffull-record%2FWOS:000424961300016","View Full Record in Web of Science")</f>
        <v>View Full Record in Web of Science</v>
      </c>
    </row>
    <row r="938" spans="1:72" x14ac:dyDescent="0.15">
      <c r="A938" t="s">
        <v>72</v>
      </c>
      <c r="B938" t="s">
        <v>17964</v>
      </c>
      <c r="C938" t="s">
        <v>74</v>
      </c>
      <c r="D938" t="s">
        <v>74</v>
      </c>
      <c r="E938" t="s">
        <v>74</v>
      </c>
      <c r="F938" t="s">
        <v>17965</v>
      </c>
      <c r="G938" t="s">
        <v>74</v>
      </c>
      <c r="H938" t="s">
        <v>74</v>
      </c>
      <c r="I938" t="s">
        <v>17966</v>
      </c>
      <c r="J938" t="s">
        <v>700</v>
      </c>
      <c r="K938" t="s">
        <v>74</v>
      </c>
      <c r="L938" t="s">
        <v>74</v>
      </c>
      <c r="M938" t="s">
        <v>78</v>
      </c>
      <c r="N938" t="s">
        <v>79</v>
      </c>
      <c r="O938" t="s">
        <v>74</v>
      </c>
      <c r="P938" t="s">
        <v>74</v>
      </c>
      <c r="Q938" t="s">
        <v>74</v>
      </c>
      <c r="R938" t="s">
        <v>74</v>
      </c>
      <c r="S938" t="s">
        <v>74</v>
      </c>
      <c r="T938" t="s">
        <v>74</v>
      </c>
      <c r="U938" t="s">
        <v>17967</v>
      </c>
      <c r="V938" t="s">
        <v>17968</v>
      </c>
      <c r="W938" t="s">
        <v>17969</v>
      </c>
      <c r="X938" t="s">
        <v>17970</v>
      </c>
      <c r="Y938" t="s">
        <v>17971</v>
      </c>
      <c r="Z938" t="s">
        <v>74</v>
      </c>
      <c r="AA938" t="s">
        <v>17972</v>
      </c>
      <c r="AB938" t="s">
        <v>17973</v>
      </c>
      <c r="AC938" t="s">
        <v>74</v>
      </c>
      <c r="AD938" t="s">
        <v>74</v>
      </c>
      <c r="AE938" t="s">
        <v>74</v>
      </c>
      <c r="AF938" t="s">
        <v>74</v>
      </c>
      <c r="AG938">
        <v>90</v>
      </c>
      <c r="AH938">
        <v>18</v>
      </c>
      <c r="AI938">
        <v>18</v>
      </c>
      <c r="AJ938">
        <v>0</v>
      </c>
      <c r="AK938">
        <v>13</v>
      </c>
      <c r="AL938" t="s">
        <v>425</v>
      </c>
      <c r="AM938" t="s">
        <v>278</v>
      </c>
      <c r="AN938" t="s">
        <v>426</v>
      </c>
      <c r="AO938" t="s">
        <v>713</v>
      </c>
      <c r="AP938" t="s">
        <v>714</v>
      </c>
      <c r="AQ938" t="s">
        <v>74</v>
      </c>
      <c r="AR938" t="s">
        <v>715</v>
      </c>
      <c r="AS938" t="s">
        <v>716</v>
      </c>
      <c r="AT938" t="s">
        <v>16620</v>
      </c>
      <c r="AU938">
        <v>2018</v>
      </c>
      <c r="AV938">
        <v>88</v>
      </c>
      <c r="AW938" t="s">
        <v>74</v>
      </c>
      <c r="AX938" t="s">
        <v>74</v>
      </c>
      <c r="AY938" t="s">
        <v>74</v>
      </c>
      <c r="AZ938" t="s">
        <v>74</v>
      </c>
      <c r="BA938" t="s">
        <v>74</v>
      </c>
      <c r="BB938">
        <v>295</v>
      </c>
      <c r="BC938">
        <v>302</v>
      </c>
      <c r="BD938" t="s">
        <v>74</v>
      </c>
      <c r="BE938" t="s">
        <v>17974</v>
      </c>
      <c r="BF938" t="str">
        <f>HYPERLINK("http://dx.doi.org/10.1016/j.marpol.2017.09.033","http://dx.doi.org/10.1016/j.marpol.2017.09.033")</f>
        <v>http://dx.doi.org/10.1016/j.marpol.2017.09.033</v>
      </c>
      <c r="BG938" t="s">
        <v>74</v>
      </c>
      <c r="BH938" t="s">
        <v>74</v>
      </c>
      <c r="BI938">
        <v>8</v>
      </c>
      <c r="BJ938" t="s">
        <v>718</v>
      </c>
      <c r="BK938" t="s">
        <v>719</v>
      </c>
      <c r="BL938" t="s">
        <v>720</v>
      </c>
      <c r="BM938" t="s">
        <v>17962</v>
      </c>
      <c r="BN938" t="s">
        <v>74</v>
      </c>
      <c r="BO938" t="s">
        <v>74</v>
      </c>
      <c r="BP938" t="s">
        <v>74</v>
      </c>
      <c r="BQ938" t="s">
        <v>74</v>
      </c>
      <c r="BR938" t="s">
        <v>105</v>
      </c>
      <c r="BS938" t="s">
        <v>17975</v>
      </c>
      <c r="BT938" t="str">
        <f>HYPERLINK("https%3A%2F%2Fwww.webofscience.com%2Fwos%2Fwoscc%2Ffull-record%2FWOS:000424961300034","View Full Record in Web of Science")</f>
        <v>View Full Record in Web of Science</v>
      </c>
    </row>
    <row r="939" spans="1:72" x14ac:dyDescent="0.15">
      <c r="A939" t="s">
        <v>72</v>
      </c>
      <c r="B939" t="s">
        <v>17976</v>
      </c>
      <c r="C939" t="s">
        <v>74</v>
      </c>
      <c r="D939" t="s">
        <v>74</v>
      </c>
      <c r="E939" t="s">
        <v>74</v>
      </c>
      <c r="F939" t="s">
        <v>17977</v>
      </c>
      <c r="G939" t="s">
        <v>74</v>
      </c>
      <c r="H939" t="s">
        <v>74</v>
      </c>
      <c r="I939" t="s">
        <v>17978</v>
      </c>
      <c r="J939" t="s">
        <v>17979</v>
      </c>
      <c r="K939" t="s">
        <v>74</v>
      </c>
      <c r="L939" t="s">
        <v>74</v>
      </c>
      <c r="M939" t="s">
        <v>78</v>
      </c>
      <c r="N939" t="s">
        <v>79</v>
      </c>
      <c r="O939" t="s">
        <v>74</v>
      </c>
      <c r="P939" t="s">
        <v>74</v>
      </c>
      <c r="Q939" t="s">
        <v>74</v>
      </c>
      <c r="R939" t="s">
        <v>74</v>
      </c>
      <c r="S939" t="s">
        <v>74</v>
      </c>
      <c r="T939" t="s">
        <v>74</v>
      </c>
      <c r="U939" t="s">
        <v>17980</v>
      </c>
      <c r="V939" t="s">
        <v>17981</v>
      </c>
      <c r="W939" t="s">
        <v>17982</v>
      </c>
      <c r="X939" t="s">
        <v>17983</v>
      </c>
      <c r="Y939" t="s">
        <v>17984</v>
      </c>
      <c r="Z939" t="s">
        <v>17985</v>
      </c>
      <c r="AA939" t="s">
        <v>17986</v>
      </c>
      <c r="AB939" t="s">
        <v>17987</v>
      </c>
      <c r="AC939" t="s">
        <v>17988</v>
      </c>
      <c r="AD939" t="s">
        <v>17989</v>
      </c>
      <c r="AE939" t="s">
        <v>17990</v>
      </c>
      <c r="AF939" t="s">
        <v>74</v>
      </c>
      <c r="AG939">
        <v>45</v>
      </c>
      <c r="AH939">
        <v>47</v>
      </c>
      <c r="AI939">
        <v>53</v>
      </c>
      <c r="AJ939">
        <v>3</v>
      </c>
      <c r="AK939">
        <v>115</v>
      </c>
      <c r="AL939" t="s">
        <v>5980</v>
      </c>
      <c r="AM939" t="s">
        <v>4100</v>
      </c>
      <c r="AN939" t="s">
        <v>5981</v>
      </c>
      <c r="AO939" t="s">
        <v>17991</v>
      </c>
      <c r="AP939" t="s">
        <v>17992</v>
      </c>
      <c r="AQ939" t="s">
        <v>74</v>
      </c>
      <c r="AR939" t="s">
        <v>17993</v>
      </c>
      <c r="AS939" t="s">
        <v>17994</v>
      </c>
      <c r="AT939" t="s">
        <v>16620</v>
      </c>
      <c r="AU939">
        <v>2018</v>
      </c>
      <c r="AV939">
        <v>33</v>
      </c>
      <c r="AW939">
        <v>2</v>
      </c>
      <c r="AX939" t="s">
        <v>74</v>
      </c>
      <c r="AY939" t="s">
        <v>74</v>
      </c>
      <c r="AZ939" t="s">
        <v>74</v>
      </c>
      <c r="BA939" t="s">
        <v>74</v>
      </c>
      <c r="BB939">
        <v>304</v>
      </c>
      <c r="BC939">
        <v>313</v>
      </c>
      <c r="BD939" t="s">
        <v>74</v>
      </c>
      <c r="BE939" t="s">
        <v>17995</v>
      </c>
      <c r="BF939" t="str">
        <f>HYPERLINK("http://dx.doi.org/10.1039/c7ja00237h","http://dx.doi.org/10.1039/c7ja00237h")</f>
        <v>http://dx.doi.org/10.1039/c7ja00237h</v>
      </c>
      <c r="BG939" t="s">
        <v>74</v>
      </c>
      <c r="BH939" t="s">
        <v>74</v>
      </c>
      <c r="BI939">
        <v>10</v>
      </c>
      <c r="BJ939" t="s">
        <v>17996</v>
      </c>
      <c r="BK939" t="s">
        <v>101</v>
      </c>
      <c r="BL939" t="s">
        <v>17997</v>
      </c>
      <c r="BM939" t="s">
        <v>17998</v>
      </c>
      <c r="BN939" t="s">
        <v>74</v>
      </c>
      <c r="BO939" t="s">
        <v>74</v>
      </c>
      <c r="BP939" t="s">
        <v>74</v>
      </c>
      <c r="BQ939" t="s">
        <v>74</v>
      </c>
      <c r="BR939" t="s">
        <v>105</v>
      </c>
      <c r="BS939" t="s">
        <v>17999</v>
      </c>
      <c r="BT939" t="str">
        <f>HYPERLINK("https%3A%2F%2Fwww.webofscience.com%2Fwos%2Fwoscc%2Ffull-record%2FWOS:000424770600016","View Full Record in Web of Science")</f>
        <v>View Full Record in Web of Science</v>
      </c>
    </row>
    <row r="940" spans="1:72" x14ac:dyDescent="0.15">
      <c r="A940" t="s">
        <v>72</v>
      </c>
      <c r="B940" t="s">
        <v>18000</v>
      </c>
      <c r="C940" t="s">
        <v>74</v>
      </c>
      <c r="D940" t="s">
        <v>74</v>
      </c>
      <c r="E940" t="s">
        <v>74</v>
      </c>
      <c r="F940" t="s">
        <v>18001</v>
      </c>
      <c r="G940" t="s">
        <v>74</v>
      </c>
      <c r="H940" t="s">
        <v>74</v>
      </c>
      <c r="I940" t="s">
        <v>18002</v>
      </c>
      <c r="J940" t="s">
        <v>18003</v>
      </c>
      <c r="K940" t="s">
        <v>74</v>
      </c>
      <c r="L940" t="s">
        <v>74</v>
      </c>
      <c r="M940" t="s">
        <v>78</v>
      </c>
      <c r="N940" t="s">
        <v>79</v>
      </c>
      <c r="O940" t="s">
        <v>74</v>
      </c>
      <c r="P940" t="s">
        <v>74</v>
      </c>
      <c r="Q940" t="s">
        <v>74</v>
      </c>
      <c r="R940" t="s">
        <v>74</v>
      </c>
      <c r="S940" t="s">
        <v>74</v>
      </c>
      <c r="T940" t="s">
        <v>18004</v>
      </c>
      <c r="U940" t="s">
        <v>18005</v>
      </c>
      <c r="V940" t="s">
        <v>18006</v>
      </c>
      <c r="W940" t="s">
        <v>18007</v>
      </c>
      <c r="X940" t="s">
        <v>18008</v>
      </c>
      <c r="Y940" t="s">
        <v>18009</v>
      </c>
      <c r="Z940" t="s">
        <v>18010</v>
      </c>
      <c r="AA940" t="s">
        <v>18011</v>
      </c>
      <c r="AB940" t="s">
        <v>74</v>
      </c>
      <c r="AC940" t="s">
        <v>18012</v>
      </c>
      <c r="AD940" t="s">
        <v>18013</v>
      </c>
      <c r="AE940" t="s">
        <v>18014</v>
      </c>
      <c r="AF940" t="s">
        <v>74</v>
      </c>
      <c r="AG940">
        <v>38</v>
      </c>
      <c r="AH940">
        <v>29</v>
      </c>
      <c r="AI940">
        <v>31</v>
      </c>
      <c r="AJ940">
        <v>5</v>
      </c>
      <c r="AK940">
        <v>73</v>
      </c>
      <c r="AL940" t="s">
        <v>179</v>
      </c>
      <c r="AM940" t="s">
        <v>180</v>
      </c>
      <c r="AN940" t="s">
        <v>181</v>
      </c>
      <c r="AO940" t="s">
        <v>18015</v>
      </c>
      <c r="AP940" t="s">
        <v>18016</v>
      </c>
      <c r="AQ940" t="s">
        <v>74</v>
      </c>
      <c r="AR940" t="s">
        <v>18017</v>
      </c>
      <c r="AS940" t="s">
        <v>18018</v>
      </c>
      <c r="AT940" t="s">
        <v>16620</v>
      </c>
      <c r="AU940">
        <v>2018</v>
      </c>
      <c r="AV940">
        <v>83</v>
      </c>
      <c r="AW940">
        <v>2</v>
      </c>
      <c r="AX940" t="s">
        <v>74</v>
      </c>
      <c r="AY940" t="s">
        <v>74</v>
      </c>
      <c r="AZ940" t="s">
        <v>74</v>
      </c>
      <c r="BA940" t="s">
        <v>74</v>
      </c>
      <c r="BB940">
        <v>543</v>
      </c>
      <c r="BC940">
        <v>551</v>
      </c>
      <c r="BD940" t="s">
        <v>74</v>
      </c>
      <c r="BE940" t="s">
        <v>18019</v>
      </c>
      <c r="BF940" t="str">
        <f>HYPERLINK("http://dx.doi.org/10.1111/1750-3841.14044","http://dx.doi.org/10.1111/1750-3841.14044")</f>
        <v>http://dx.doi.org/10.1111/1750-3841.14044</v>
      </c>
      <c r="BG940" t="s">
        <v>74</v>
      </c>
      <c r="BH940" t="s">
        <v>74</v>
      </c>
      <c r="BI940">
        <v>9</v>
      </c>
      <c r="BJ940" t="s">
        <v>18020</v>
      </c>
      <c r="BK940" t="s">
        <v>101</v>
      </c>
      <c r="BL940" t="s">
        <v>18020</v>
      </c>
      <c r="BM940" t="s">
        <v>18021</v>
      </c>
      <c r="BN940">
        <v>29350764</v>
      </c>
      <c r="BO940" t="s">
        <v>74</v>
      </c>
      <c r="BP940" t="s">
        <v>74</v>
      </c>
      <c r="BQ940" t="s">
        <v>74</v>
      </c>
      <c r="BR940" t="s">
        <v>105</v>
      </c>
      <c r="BS940" t="s">
        <v>18022</v>
      </c>
      <c r="BT940" t="str">
        <f>HYPERLINK("https%3A%2F%2Fwww.webofscience.com%2Fwos%2Fwoscc%2Ffull-record%2FWOS:000424648000036","View Full Record in Web of Science")</f>
        <v>View Full Record in Web of Science</v>
      </c>
    </row>
    <row r="941" spans="1:72" x14ac:dyDescent="0.15">
      <c r="A941" t="s">
        <v>72</v>
      </c>
      <c r="B941" t="s">
        <v>18023</v>
      </c>
      <c r="C941" t="s">
        <v>74</v>
      </c>
      <c r="D941" t="s">
        <v>74</v>
      </c>
      <c r="E941" t="s">
        <v>74</v>
      </c>
      <c r="F941" t="s">
        <v>18024</v>
      </c>
      <c r="G941" t="s">
        <v>74</v>
      </c>
      <c r="H941" t="s">
        <v>74</v>
      </c>
      <c r="I941" t="s">
        <v>18025</v>
      </c>
      <c r="J941" t="s">
        <v>18026</v>
      </c>
      <c r="K941" t="s">
        <v>74</v>
      </c>
      <c r="L941" t="s">
        <v>74</v>
      </c>
      <c r="M941" t="s">
        <v>78</v>
      </c>
      <c r="N941" t="s">
        <v>79</v>
      </c>
      <c r="O941" t="s">
        <v>74</v>
      </c>
      <c r="P941" t="s">
        <v>74</v>
      </c>
      <c r="Q941" t="s">
        <v>74</v>
      </c>
      <c r="R941" t="s">
        <v>74</v>
      </c>
      <c r="S941" t="s">
        <v>74</v>
      </c>
      <c r="T941" t="s">
        <v>18027</v>
      </c>
      <c r="U941" t="s">
        <v>18028</v>
      </c>
      <c r="V941" t="s">
        <v>18029</v>
      </c>
      <c r="W941" t="s">
        <v>18030</v>
      </c>
      <c r="X941" t="s">
        <v>18031</v>
      </c>
      <c r="Y941" t="s">
        <v>18032</v>
      </c>
      <c r="Z941" t="s">
        <v>18033</v>
      </c>
      <c r="AA941" t="s">
        <v>74</v>
      </c>
      <c r="AB941" t="s">
        <v>18034</v>
      </c>
      <c r="AC941" t="s">
        <v>18035</v>
      </c>
      <c r="AD941" t="s">
        <v>18035</v>
      </c>
      <c r="AE941" t="s">
        <v>18036</v>
      </c>
      <c r="AF941" t="s">
        <v>74</v>
      </c>
      <c r="AG941">
        <v>60</v>
      </c>
      <c r="AH941">
        <v>2</v>
      </c>
      <c r="AI941">
        <v>2</v>
      </c>
      <c r="AJ941">
        <v>1</v>
      </c>
      <c r="AK941">
        <v>9</v>
      </c>
      <c r="AL941" t="s">
        <v>18037</v>
      </c>
      <c r="AM941" t="s">
        <v>9015</v>
      </c>
      <c r="AN941" t="s">
        <v>9016</v>
      </c>
      <c r="AO941" t="s">
        <v>18038</v>
      </c>
      <c r="AP941" t="s">
        <v>18039</v>
      </c>
      <c r="AQ941" t="s">
        <v>74</v>
      </c>
      <c r="AR941" t="s">
        <v>18040</v>
      </c>
      <c r="AS941" t="s">
        <v>18041</v>
      </c>
      <c r="AT941" t="s">
        <v>16620</v>
      </c>
      <c r="AU941">
        <v>2018</v>
      </c>
      <c r="AV941">
        <v>96</v>
      </c>
      <c r="AW941">
        <v>2</v>
      </c>
      <c r="AX941" t="s">
        <v>74</v>
      </c>
      <c r="AY941" t="s">
        <v>74</v>
      </c>
      <c r="AZ941" t="s">
        <v>74</v>
      </c>
      <c r="BA941" t="s">
        <v>74</v>
      </c>
      <c r="BB941">
        <v>153</v>
      </c>
      <c r="BC941">
        <v>162</v>
      </c>
      <c r="BD941" t="s">
        <v>74</v>
      </c>
      <c r="BE941" t="s">
        <v>18042</v>
      </c>
      <c r="BF941" t="str">
        <f>HYPERLINK("http://dx.doi.org/10.1139/cjz-2016-0015","http://dx.doi.org/10.1139/cjz-2016-0015")</f>
        <v>http://dx.doi.org/10.1139/cjz-2016-0015</v>
      </c>
      <c r="BG941" t="s">
        <v>74</v>
      </c>
      <c r="BH941" t="s">
        <v>74</v>
      </c>
      <c r="BI941">
        <v>10</v>
      </c>
      <c r="BJ941" t="s">
        <v>2624</v>
      </c>
      <c r="BK941" t="s">
        <v>101</v>
      </c>
      <c r="BL941" t="s">
        <v>2624</v>
      </c>
      <c r="BM941" t="s">
        <v>18043</v>
      </c>
      <c r="BN941" t="s">
        <v>74</v>
      </c>
      <c r="BO941" t="s">
        <v>74</v>
      </c>
      <c r="BP941" t="s">
        <v>74</v>
      </c>
      <c r="BQ941" t="s">
        <v>74</v>
      </c>
      <c r="BR941" t="s">
        <v>105</v>
      </c>
      <c r="BS941" t="s">
        <v>18044</v>
      </c>
      <c r="BT941" t="str">
        <f>HYPERLINK("https%3A%2F%2Fwww.webofscience.com%2Fwos%2Fwoscc%2Ffull-record%2FWOS:000424450900009","View Full Record in Web of Science")</f>
        <v>View Full Record in Web of Science</v>
      </c>
    </row>
    <row r="942" spans="1:72" x14ac:dyDescent="0.15">
      <c r="A942" t="s">
        <v>72</v>
      </c>
      <c r="B942" t="s">
        <v>18045</v>
      </c>
      <c r="C942" t="s">
        <v>74</v>
      </c>
      <c r="D942" t="s">
        <v>74</v>
      </c>
      <c r="E942" t="s">
        <v>74</v>
      </c>
      <c r="F942" t="s">
        <v>18046</v>
      </c>
      <c r="G942" t="s">
        <v>74</v>
      </c>
      <c r="H942" t="s">
        <v>74</v>
      </c>
      <c r="I942" t="s">
        <v>18047</v>
      </c>
      <c r="J942" t="s">
        <v>18048</v>
      </c>
      <c r="K942" t="s">
        <v>74</v>
      </c>
      <c r="L942" t="s">
        <v>74</v>
      </c>
      <c r="M942" t="s">
        <v>78</v>
      </c>
      <c r="N942" t="s">
        <v>79</v>
      </c>
      <c r="O942" t="s">
        <v>74</v>
      </c>
      <c r="P942" t="s">
        <v>74</v>
      </c>
      <c r="Q942" t="s">
        <v>74</v>
      </c>
      <c r="R942" t="s">
        <v>74</v>
      </c>
      <c r="S942" t="s">
        <v>74</v>
      </c>
      <c r="T942" t="s">
        <v>18049</v>
      </c>
      <c r="U942" t="s">
        <v>18050</v>
      </c>
      <c r="V942" t="s">
        <v>18051</v>
      </c>
      <c r="W942" t="s">
        <v>18052</v>
      </c>
      <c r="X942" t="s">
        <v>3455</v>
      </c>
      <c r="Y942" t="s">
        <v>18053</v>
      </c>
      <c r="Z942" t="s">
        <v>18054</v>
      </c>
      <c r="AA942" t="s">
        <v>18055</v>
      </c>
      <c r="AB942" t="s">
        <v>18056</v>
      </c>
      <c r="AC942" t="s">
        <v>18057</v>
      </c>
      <c r="AD942" t="s">
        <v>18057</v>
      </c>
      <c r="AE942" t="s">
        <v>18058</v>
      </c>
      <c r="AF942" t="s">
        <v>74</v>
      </c>
      <c r="AG942">
        <v>70</v>
      </c>
      <c r="AH942">
        <v>7</v>
      </c>
      <c r="AI942">
        <v>7</v>
      </c>
      <c r="AJ942">
        <v>1</v>
      </c>
      <c r="AK942">
        <v>18</v>
      </c>
      <c r="AL942" t="s">
        <v>179</v>
      </c>
      <c r="AM942" t="s">
        <v>180</v>
      </c>
      <c r="AN942" t="s">
        <v>181</v>
      </c>
      <c r="AO942" t="s">
        <v>18059</v>
      </c>
      <c r="AP942" t="s">
        <v>18060</v>
      </c>
      <c r="AQ942" t="s">
        <v>74</v>
      </c>
      <c r="AR942" t="s">
        <v>18061</v>
      </c>
      <c r="AS942" t="s">
        <v>18062</v>
      </c>
      <c r="AT942" t="s">
        <v>16620</v>
      </c>
      <c r="AU942">
        <v>2018</v>
      </c>
      <c r="AV942">
        <v>54</v>
      </c>
      <c r="AW942">
        <v>1</v>
      </c>
      <c r="AX942" t="s">
        <v>74</v>
      </c>
      <c r="AY942" t="s">
        <v>74</v>
      </c>
      <c r="AZ942" t="s">
        <v>74</v>
      </c>
      <c r="BA942" t="s">
        <v>74</v>
      </c>
      <c r="BB942">
        <v>56</v>
      </c>
      <c r="BC942">
        <v>65</v>
      </c>
      <c r="BD942" t="s">
        <v>74</v>
      </c>
      <c r="BE942" t="s">
        <v>18063</v>
      </c>
      <c r="BF942" t="str">
        <f>HYPERLINK("http://dx.doi.org/10.1111/jpy.12599","http://dx.doi.org/10.1111/jpy.12599")</f>
        <v>http://dx.doi.org/10.1111/jpy.12599</v>
      </c>
      <c r="BG942" t="s">
        <v>74</v>
      </c>
      <c r="BH942" t="s">
        <v>74</v>
      </c>
      <c r="BI942">
        <v>10</v>
      </c>
      <c r="BJ942" t="s">
        <v>18064</v>
      </c>
      <c r="BK942" t="s">
        <v>101</v>
      </c>
      <c r="BL942" t="s">
        <v>18064</v>
      </c>
      <c r="BM942" t="s">
        <v>18065</v>
      </c>
      <c r="BN942">
        <v>29054124</v>
      </c>
      <c r="BO942" t="s">
        <v>74</v>
      </c>
      <c r="BP942" t="s">
        <v>74</v>
      </c>
      <c r="BQ942" t="s">
        <v>74</v>
      </c>
      <c r="BR942" t="s">
        <v>105</v>
      </c>
      <c r="BS942" t="s">
        <v>18066</v>
      </c>
      <c r="BT942" t="str">
        <f>HYPERLINK("https%3A%2F%2Fwww.webofscience.com%2Fwos%2Fwoscc%2Ffull-record%2FWOS:000424094000007","View Full Record in Web of Science")</f>
        <v>View Full Record in Web of Science</v>
      </c>
    </row>
    <row r="943" spans="1:72" x14ac:dyDescent="0.15">
      <c r="A943" t="s">
        <v>72</v>
      </c>
      <c r="B943" t="s">
        <v>18067</v>
      </c>
      <c r="C943" t="s">
        <v>74</v>
      </c>
      <c r="D943" t="s">
        <v>74</v>
      </c>
      <c r="E943" t="s">
        <v>74</v>
      </c>
      <c r="F943" t="s">
        <v>18068</v>
      </c>
      <c r="G943" t="s">
        <v>74</v>
      </c>
      <c r="H943" t="s">
        <v>74</v>
      </c>
      <c r="I943" t="s">
        <v>18069</v>
      </c>
      <c r="J943" t="s">
        <v>77</v>
      </c>
      <c r="K943" t="s">
        <v>74</v>
      </c>
      <c r="L943" t="s">
        <v>74</v>
      </c>
      <c r="M943" t="s">
        <v>78</v>
      </c>
      <c r="N943" t="s">
        <v>79</v>
      </c>
      <c r="O943" t="s">
        <v>74</v>
      </c>
      <c r="P943" t="s">
        <v>74</v>
      </c>
      <c r="Q943" t="s">
        <v>74</v>
      </c>
      <c r="R943" t="s">
        <v>74</v>
      </c>
      <c r="S943" t="s">
        <v>74</v>
      </c>
      <c r="T943" t="s">
        <v>18070</v>
      </c>
      <c r="U943" t="s">
        <v>18071</v>
      </c>
      <c r="V943" t="s">
        <v>18072</v>
      </c>
      <c r="W943" t="s">
        <v>18073</v>
      </c>
      <c r="X943" t="s">
        <v>18074</v>
      </c>
      <c r="Y943" t="s">
        <v>18075</v>
      </c>
      <c r="Z943" t="s">
        <v>18076</v>
      </c>
      <c r="AA943" t="s">
        <v>18077</v>
      </c>
      <c r="AB943" t="s">
        <v>18078</v>
      </c>
      <c r="AC943" t="s">
        <v>74</v>
      </c>
      <c r="AD943" t="s">
        <v>74</v>
      </c>
      <c r="AE943" t="s">
        <v>74</v>
      </c>
      <c r="AF943" t="s">
        <v>74</v>
      </c>
      <c r="AG943">
        <v>17</v>
      </c>
      <c r="AH943">
        <v>9</v>
      </c>
      <c r="AI943">
        <v>11</v>
      </c>
      <c r="AJ943">
        <v>1</v>
      </c>
      <c r="AK943">
        <v>12</v>
      </c>
      <c r="AL943" t="s">
        <v>91</v>
      </c>
      <c r="AM943" t="s">
        <v>92</v>
      </c>
      <c r="AN943" t="s">
        <v>93</v>
      </c>
      <c r="AO943" t="s">
        <v>94</v>
      </c>
      <c r="AP943" t="s">
        <v>95</v>
      </c>
      <c r="AQ943" t="s">
        <v>74</v>
      </c>
      <c r="AR943" t="s">
        <v>96</v>
      </c>
      <c r="AS943" t="s">
        <v>97</v>
      </c>
      <c r="AT943" t="s">
        <v>16620</v>
      </c>
      <c r="AU943">
        <v>2018</v>
      </c>
      <c r="AV943">
        <v>41</v>
      </c>
      <c r="AW943">
        <v>2</v>
      </c>
      <c r="AX943" t="s">
        <v>74</v>
      </c>
      <c r="AY943" t="s">
        <v>74</v>
      </c>
      <c r="AZ943" t="s">
        <v>74</v>
      </c>
      <c r="BA943" t="s">
        <v>74</v>
      </c>
      <c r="BB943">
        <v>225</v>
      </c>
      <c r="BC943">
        <v>235</v>
      </c>
      <c r="BD943" t="s">
        <v>74</v>
      </c>
      <c r="BE943" t="s">
        <v>18079</v>
      </c>
      <c r="BF943" t="str">
        <f>HYPERLINK("http://dx.doi.org/10.1007/s00300-017-2183-3","http://dx.doi.org/10.1007/s00300-017-2183-3")</f>
        <v>http://dx.doi.org/10.1007/s00300-017-2183-3</v>
      </c>
      <c r="BG943" t="s">
        <v>74</v>
      </c>
      <c r="BH943" t="s">
        <v>74</v>
      </c>
      <c r="BI943">
        <v>11</v>
      </c>
      <c r="BJ943" t="s">
        <v>100</v>
      </c>
      <c r="BK943" t="s">
        <v>101</v>
      </c>
      <c r="BL943" t="s">
        <v>102</v>
      </c>
      <c r="BM943" t="s">
        <v>17008</v>
      </c>
      <c r="BN943" t="s">
        <v>74</v>
      </c>
      <c r="BO943" t="s">
        <v>980</v>
      </c>
      <c r="BP943" t="s">
        <v>74</v>
      </c>
      <c r="BQ943" t="s">
        <v>74</v>
      </c>
      <c r="BR943" t="s">
        <v>105</v>
      </c>
      <c r="BS943" t="s">
        <v>18080</v>
      </c>
      <c r="BT943" t="str">
        <f>HYPERLINK("https%3A%2F%2Fwww.webofscience.com%2Fwos%2Fwoscc%2Ffull-record%2FWOS:000424276400002","View Full Record in Web of Science")</f>
        <v>View Full Record in Web of Science</v>
      </c>
    </row>
    <row r="944" spans="1:72" x14ac:dyDescent="0.15">
      <c r="A944" t="s">
        <v>72</v>
      </c>
      <c r="B944" t="s">
        <v>18081</v>
      </c>
      <c r="C944" t="s">
        <v>74</v>
      </c>
      <c r="D944" t="s">
        <v>74</v>
      </c>
      <c r="E944" t="s">
        <v>74</v>
      </c>
      <c r="F944" t="s">
        <v>18082</v>
      </c>
      <c r="G944" t="s">
        <v>74</v>
      </c>
      <c r="H944" t="s">
        <v>74</v>
      </c>
      <c r="I944" t="s">
        <v>18083</v>
      </c>
      <c r="J944" t="s">
        <v>77</v>
      </c>
      <c r="K944" t="s">
        <v>74</v>
      </c>
      <c r="L944" t="s">
        <v>74</v>
      </c>
      <c r="M944" t="s">
        <v>78</v>
      </c>
      <c r="N944" t="s">
        <v>79</v>
      </c>
      <c r="O944" t="s">
        <v>74</v>
      </c>
      <c r="P944" t="s">
        <v>74</v>
      </c>
      <c r="Q944" t="s">
        <v>74</v>
      </c>
      <c r="R944" t="s">
        <v>74</v>
      </c>
      <c r="S944" t="s">
        <v>74</v>
      </c>
      <c r="T944" t="s">
        <v>18084</v>
      </c>
      <c r="U944" t="s">
        <v>18085</v>
      </c>
      <c r="V944" t="s">
        <v>18086</v>
      </c>
      <c r="W944" t="s">
        <v>18087</v>
      </c>
      <c r="X944" t="s">
        <v>18088</v>
      </c>
      <c r="Y944" t="s">
        <v>18089</v>
      </c>
      <c r="Z944" t="s">
        <v>18090</v>
      </c>
      <c r="AA944" t="s">
        <v>18091</v>
      </c>
      <c r="AB944" t="s">
        <v>18092</v>
      </c>
      <c r="AC944" t="s">
        <v>18093</v>
      </c>
      <c r="AD944" t="s">
        <v>18094</v>
      </c>
      <c r="AE944" t="s">
        <v>18095</v>
      </c>
      <c r="AF944" t="s">
        <v>74</v>
      </c>
      <c r="AG944">
        <v>46</v>
      </c>
      <c r="AH944">
        <v>14</v>
      </c>
      <c r="AI944">
        <v>19</v>
      </c>
      <c r="AJ944">
        <v>1</v>
      </c>
      <c r="AK944">
        <v>20</v>
      </c>
      <c r="AL944" t="s">
        <v>91</v>
      </c>
      <c r="AM944" t="s">
        <v>92</v>
      </c>
      <c r="AN944" t="s">
        <v>93</v>
      </c>
      <c r="AO944" t="s">
        <v>94</v>
      </c>
      <c r="AP944" t="s">
        <v>95</v>
      </c>
      <c r="AQ944" t="s">
        <v>74</v>
      </c>
      <c r="AR944" t="s">
        <v>96</v>
      </c>
      <c r="AS944" t="s">
        <v>97</v>
      </c>
      <c r="AT944" t="s">
        <v>16620</v>
      </c>
      <c r="AU944">
        <v>2018</v>
      </c>
      <c r="AV944">
        <v>41</v>
      </c>
      <c r="AW944">
        <v>2</v>
      </c>
      <c r="AX944" t="s">
        <v>74</v>
      </c>
      <c r="AY944" t="s">
        <v>74</v>
      </c>
      <c r="AZ944" t="s">
        <v>74</v>
      </c>
      <c r="BA944" t="s">
        <v>74</v>
      </c>
      <c r="BB944">
        <v>249</v>
      </c>
      <c r="BC944">
        <v>258</v>
      </c>
      <c r="BD944" t="s">
        <v>74</v>
      </c>
      <c r="BE944" t="s">
        <v>18096</v>
      </c>
      <c r="BF944" t="str">
        <f>HYPERLINK("http://dx.doi.org/10.1007/s00300-017-2185-1","http://dx.doi.org/10.1007/s00300-017-2185-1")</f>
        <v>http://dx.doi.org/10.1007/s00300-017-2185-1</v>
      </c>
      <c r="BG944" t="s">
        <v>74</v>
      </c>
      <c r="BH944" t="s">
        <v>74</v>
      </c>
      <c r="BI944">
        <v>10</v>
      </c>
      <c r="BJ944" t="s">
        <v>100</v>
      </c>
      <c r="BK944" t="s">
        <v>101</v>
      </c>
      <c r="BL944" t="s">
        <v>102</v>
      </c>
      <c r="BM944" t="s">
        <v>17008</v>
      </c>
      <c r="BN944" t="s">
        <v>74</v>
      </c>
      <c r="BO944" t="s">
        <v>74</v>
      </c>
      <c r="BP944" t="s">
        <v>74</v>
      </c>
      <c r="BQ944" t="s">
        <v>74</v>
      </c>
      <c r="BR944" t="s">
        <v>105</v>
      </c>
      <c r="BS944" t="s">
        <v>18097</v>
      </c>
      <c r="BT944" t="str">
        <f>HYPERLINK("https%3A%2F%2Fwww.webofscience.com%2Fwos%2Fwoscc%2Ffull-record%2FWOS:000424276400004","View Full Record in Web of Science")</f>
        <v>View Full Record in Web of Science</v>
      </c>
    </row>
    <row r="945" spans="1:72" x14ac:dyDescent="0.15">
      <c r="A945" t="s">
        <v>72</v>
      </c>
      <c r="B945" t="s">
        <v>18098</v>
      </c>
      <c r="C945" t="s">
        <v>74</v>
      </c>
      <c r="D945" t="s">
        <v>74</v>
      </c>
      <c r="E945" t="s">
        <v>74</v>
      </c>
      <c r="F945" t="s">
        <v>18099</v>
      </c>
      <c r="G945" t="s">
        <v>74</v>
      </c>
      <c r="H945" t="s">
        <v>74</v>
      </c>
      <c r="I945" t="s">
        <v>18100</v>
      </c>
      <c r="J945" t="s">
        <v>77</v>
      </c>
      <c r="K945" t="s">
        <v>74</v>
      </c>
      <c r="L945" t="s">
        <v>74</v>
      </c>
      <c r="M945" t="s">
        <v>78</v>
      </c>
      <c r="N945" t="s">
        <v>999</v>
      </c>
      <c r="O945" t="s">
        <v>74</v>
      </c>
      <c r="P945" t="s">
        <v>74</v>
      </c>
      <c r="Q945" t="s">
        <v>74</v>
      </c>
      <c r="R945" t="s">
        <v>74</v>
      </c>
      <c r="S945" t="s">
        <v>74</v>
      </c>
      <c r="T945" t="s">
        <v>74</v>
      </c>
      <c r="U945" t="s">
        <v>74</v>
      </c>
      <c r="V945" t="s">
        <v>74</v>
      </c>
      <c r="W945" t="s">
        <v>18101</v>
      </c>
      <c r="X945" t="s">
        <v>18102</v>
      </c>
      <c r="Y945" t="s">
        <v>18103</v>
      </c>
      <c r="Z945" t="s">
        <v>18104</v>
      </c>
      <c r="AA945" t="s">
        <v>18105</v>
      </c>
      <c r="AB945" t="s">
        <v>18106</v>
      </c>
      <c r="AC945" t="s">
        <v>74</v>
      </c>
      <c r="AD945" t="s">
        <v>74</v>
      </c>
      <c r="AE945" t="s">
        <v>74</v>
      </c>
      <c r="AF945" t="s">
        <v>74</v>
      </c>
      <c r="AG945">
        <v>1</v>
      </c>
      <c r="AH945">
        <v>0</v>
      </c>
      <c r="AI945">
        <v>0</v>
      </c>
      <c r="AJ945">
        <v>0</v>
      </c>
      <c r="AK945">
        <v>7</v>
      </c>
      <c r="AL945" t="s">
        <v>91</v>
      </c>
      <c r="AM945" t="s">
        <v>92</v>
      </c>
      <c r="AN945" t="s">
        <v>93</v>
      </c>
      <c r="AO945" t="s">
        <v>94</v>
      </c>
      <c r="AP945" t="s">
        <v>95</v>
      </c>
      <c r="AQ945" t="s">
        <v>74</v>
      </c>
      <c r="AR945" t="s">
        <v>96</v>
      </c>
      <c r="AS945" t="s">
        <v>97</v>
      </c>
      <c r="AT945" t="s">
        <v>16620</v>
      </c>
      <c r="AU945">
        <v>2018</v>
      </c>
      <c r="AV945">
        <v>41</v>
      </c>
      <c r="AW945">
        <v>2</v>
      </c>
      <c r="AX945" t="s">
        <v>74</v>
      </c>
      <c r="AY945" t="s">
        <v>74</v>
      </c>
      <c r="AZ945" t="s">
        <v>74</v>
      </c>
      <c r="BA945" t="s">
        <v>74</v>
      </c>
      <c r="BB945">
        <v>267</v>
      </c>
      <c r="BC945">
        <v>268</v>
      </c>
      <c r="BD945" t="s">
        <v>74</v>
      </c>
      <c r="BE945" t="s">
        <v>18107</v>
      </c>
      <c r="BF945" t="str">
        <f>HYPERLINK("http://dx.doi.org/10.1007/s00300-017-2188-y","http://dx.doi.org/10.1007/s00300-017-2188-y")</f>
        <v>http://dx.doi.org/10.1007/s00300-017-2188-y</v>
      </c>
      <c r="BG945" t="s">
        <v>74</v>
      </c>
      <c r="BH945" t="s">
        <v>74</v>
      </c>
      <c r="BI945">
        <v>2</v>
      </c>
      <c r="BJ945" t="s">
        <v>100</v>
      </c>
      <c r="BK945" t="s">
        <v>101</v>
      </c>
      <c r="BL945" t="s">
        <v>102</v>
      </c>
      <c r="BM945" t="s">
        <v>17008</v>
      </c>
      <c r="BN945" t="s">
        <v>74</v>
      </c>
      <c r="BO945" t="s">
        <v>162</v>
      </c>
      <c r="BP945" t="s">
        <v>74</v>
      </c>
      <c r="BQ945" t="s">
        <v>74</v>
      </c>
      <c r="BR945" t="s">
        <v>105</v>
      </c>
      <c r="BS945" t="s">
        <v>18108</v>
      </c>
      <c r="BT945" t="str">
        <f>HYPERLINK("https%3A%2F%2Fwww.webofscience.com%2Fwos%2Fwoscc%2Ffull-record%2FWOS:000424276400006","View Full Record in Web of Science")</f>
        <v>View Full Record in Web of Science</v>
      </c>
    </row>
    <row r="946" spans="1:72" x14ac:dyDescent="0.15">
      <c r="A946" t="s">
        <v>72</v>
      </c>
      <c r="B946" t="s">
        <v>18109</v>
      </c>
      <c r="C946" t="s">
        <v>74</v>
      </c>
      <c r="D946" t="s">
        <v>74</v>
      </c>
      <c r="E946" t="s">
        <v>74</v>
      </c>
      <c r="F946" t="s">
        <v>18110</v>
      </c>
      <c r="G946" t="s">
        <v>74</v>
      </c>
      <c r="H946" t="s">
        <v>74</v>
      </c>
      <c r="I946" t="s">
        <v>18111</v>
      </c>
      <c r="J946" t="s">
        <v>77</v>
      </c>
      <c r="K946" t="s">
        <v>74</v>
      </c>
      <c r="L946" t="s">
        <v>74</v>
      </c>
      <c r="M946" t="s">
        <v>78</v>
      </c>
      <c r="N946" t="s">
        <v>79</v>
      </c>
      <c r="O946" t="s">
        <v>74</v>
      </c>
      <c r="P946" t="s">
        <v>74</v>
      </c>
      <c r="Q946" t="s">
        <v>74</v>
      </c>
      <c r="R946" t="s">
        <v>74</v>
      </c>
      <c r="S946" t="s">
        <v>74</v>
      </c>
      <c r="T946" t="s">
        <v>18112</v>
      </c>
      <c r="U946" t="s">
        <v>18113</v>
      </c>
      <c r="V946" t="s">
        <v>18114</v>
      </c>
      <c r="W946" t="s">
        <v>18115</v>
      </c>
      <c r="X946" t="s">
        <v>18116</v>
      </c>
      <c r="Y946" t="s">
        <v>18117</v>
      </c>
      <c r="Z946" t="s">
        <v>18118</v>
      </c>
      <c r="AA946" t="s">
        <v>18119</v>
      </c>
      <c r="AB946" t="s">
        <v>18120</v>
      </c>
      <c r="AC946" t="s">
        <v>18121</v>
      </c>
      <c r="AD946" t="s">
        <v>18122</v>
      </c>
      <c r="AE946" t="s">
        <v>18123</v>
      </c>
      <c r="AF946" t="s">
        <v>74</v>
      </c>
      <c r="AG946">
        <v>79</v>
      </c>
      <c r="AH946">
        <v>7</v>
      </c>
      <c r="AI946">
        <v>8</v>
      </c>
      <c r="AJ946">
        <v>2</v>
      </c>
      <c r="AK946">
        <v>41</v>
      </c>
      <c r="AL946" t="s">
        <v>91</v>
      </c>
      <c r="AM946" t="s">
        <v>92</v>
      </c>
      <c r="AN946" t="s">
        <v>93</v>
      </c>
      <c r="AO946" t="s">
        <v>94</v>
      </c>
      <c r="AP946" t="s">
        <v>95</v>
      </c>
      <c r="AQ946" t="s">
        <v>74</v>
      </c>
      <c r="AR946" t="s">
        <v>96</v>
      </c>
      <c r="AS946" t="s">
        <v>97</v>
      </c>
      <c r="AT946" t="s">
        <v>16620</v>
      </c>
      <c r="AU946">
        <v>2018</v>
      </c>
      <c r="AV946">
        <v>41</v>
      </c>
      <c r="AW946">
        <v>2</v>
      </c>
      <c r="AX946" t="s">
        <v>74</v>
      </c>
      <c r="AY946" t="s">
        <v>74</v>
      </c>
      <c r="AZ946" t="s">
        <v>74</v>
      </c>
      <c r="BA946" t="s">
        <v>74</v>
      </c>
      <c r="BB946">
        <v>269</v>
      </c>
      <c r="BC946">
        <v>281</v>
      </c>
      <c r="BD946" t="s">
        <v>74</v>
      </c>
      <c r="BE946" t="s">
        <v>18124</v>
      </c>
      <c r="BF946" t="str">
        <f>HYPERLINK("http://dx.doi.org/10.1007/s00300-017-2189-x","http://dx.doi.org/10.1007/s00300-017-2189-x")</f>
        <v>http://dx.doi.org/10.1007/s00300-017-2189-x</v>
      </c>
      <c r="BG946" t="s">
        <v>74</v>
      </c>
      <c r="BH946" t="s">
        <v>74</v>
      </c>
      <c r="BI946">
        <v>13</v>
      </c>
      <c r="BJ946" t="s">
        <v>100</v>
      </c>
      <c r="BK946" t="s">
        <v>101</v>
      </c>
      <c r="BL946" t="s">
        <v>102</v>
      </c>
      <c r="BM946" t="s">
        <v>17008</v>
      </c>
      <c r="BN946" t="s">
        <v>74</v>
      </c>
      <c r="BO946" t="s">
        <v>1085</v>
      </c>
      <c r="BP946" t="s">
        <v>74</v>
      </c>
      <c r="BQ946" t="s">
        <v>74</v>
      </c>
      <c r="BR946" t="s">
        <v>105</v>
      </c>
      <c r="BS946" t="s">
        <v>18125</v>
      </c>
      <c r="BT946" t="str">
        <f>HYPERLINK("https%3A%2F%2Fwww.webofscience.com%2Fwos%2Fwoscc%2Ffull-record%2FWOS:000424276400007","View Full Record in Web of Science")</f>
        <v>View Full Record in Web of Science</v>
      </c>
    </row>
    <row r="947" spans="1:72" x14ac:dyDescent="0.15">
      <c r="A947" t="s">
        <v>72</v>
      </c>
      <c r="B947" t="s">
        <v>18126</v>
      </c>
      <c r="C947" t="s">
        <v>74</v>
      </c>
      <c r="D947" t="s">
        <v>74</v>
      </c>
      <c r="E947" t="s">
        <v>74</v>
      </c>
      <c r="F947" t="s">
        <v>18127</v>
      </c>
      <c r="G947" t="s">
        <v>74</v>
      </c>
      <c r="H947" t="s">
        <v>74</v>
      </c>
      <c r="I947" t="s">
        <v>18128</v>
      </c>
      <c r="J947" t="s">
        <v>77</v>
      </c>
      <c r="K947" t="s">
        <v>74</v>
      </c>
      <c r="L947" t="s">
        <v>74</v>
      </c>
      <c r="M947" t="s">
        <v>78</v>
      </c>
      <c r="N947" t="s">
        <v>79</v>
      </c>
      <c r="O947" t="s">
        <v>74</v>
      </c>
      <c r="P947" t="s">
        <v>74</v>
      </c>
      <c r="Q947" t="s">
        <v>74</v>
      </c>
      <c r="R947" t="s">
        <v>74</v>
      </c>
      <c r="S947" t="s">
        <v>74</v>
      </c>
      <c r="T947" t="s">
        <v>18129</v>
      </c>
      <c r="U947" t="s">
        <v>18130</v>
      </c>
      <c r="V947" t="s">
        <v>18131</v>
      </c>
      <c r="W947" t="s">
        <v>18132</v>
      </c>
      <c r="X947" t="s">
        <v>18133</v>
      </c>
      <c r="Y947" t="s">
        <v>18134</v>
      </c>
      <c r="Z947" t="s">
        <v>18135</v>
      </c>
      <c r="AA947" t="s">
        <v>18136</v>
      </c>
      <c r="AB947" t="s">
        <v>18137</v>
      </c>
      <c r="AC947" t="s">
        <v>74</v>
      </c>
      <c r="AD947" t="s">
        <v>74</v>
      </c>
      <c r="AE947" t="s">
        <v>74</v>
      </c>
      <c r="AF947" t="s">
        <v>74</v>
      </c>
      <c r="AG947">
        <v>73</v>
      </c>
      <c r="AH947">
        <v>26</v>
      </c>
      <c r="AI947">
        <v>30</v>
      </c>
      <c r="AJ947">
        <v>0</v>
      </c>
      <c r="AK947">
        <v>9</v>
      </c>
      <c r="AL947" t="s">
        <v>91</v>
      </c>
      <c r="AM947" t="s">
        <v>92</v>
      </c>
      <c r="AN947" t="s">
        <v>93</v>
      </c>
      <c r="AO947" t="s">
        <v>94</v>
      </c>
      <c r="AP947" t="s">
        <v>95</v>
      </c>
      <c r="AQ947" t="s">
        <v>74</v>
      </c>
      <c r="AR947" t="s">
        <v>96</v>
      </c>
      <c r="AS947" t="s">
        <v>97</v>
      </c>
      <c r="AT947" t="s">
        <v>16620</v>
      </c>
      <c r="AU947">
        <v>2018</v>
      </c>
      <c r="AV947">
        <v>41</v>
      </c>
      <c r="AW947">
        <v>2</v>
      </c>
      <c r="AX947" t="s">
        <v>74</v>
      </c>
      <c r="AY947" t="s">
        <v>74</v>
      </c>
      <c r="AZ947" t="s">
        <v>74</v>
      </c>
      <c r="BA947" t="s">
        <v>74</v>
      </c>
      <c r="BB947">
        <v>283</v>
      </c>
      <c r="BC947">
        <v>301</v>
      </c>
      <c r="BD947" t="s">
        <v>74</v>
      </c>
      <c r="BE947" t="s">
        <v>18138</v>
      </c>
      <c r="BF947" t="str">
        <f>HYPERLINK("http://dx.doi.org/10.1007/s00300-017-2190-4","http://dx.doi.org/10.1007/s00300-017-2190-4")</f>
        <v>http://dx.doi.org/10.1007/s00300-017-2190-4</v>
      </c>
      <c r="BG947" t="s">
        <v>74</v>
      </c>
      <c r="BH947" t="s">
        <v>74</v>
      </c>
      <c r="BI947">
        <v>19</v>
      </c>
      <c r="BJ947" t="s">
        <v>100</v>
      </c>
      <c r="BK947" t="s">
        <v>101</v>
      </c>
      <c r="BL947" t="s">
        <v>102</v>
      </c>
      <c r="BM947" t="s">
        <v>17008</v>
      </c>
      <c r="BN947" t="s">
        <v>74</v>
      </c>
      <c r="BO947" t="s">
        <v>341</v>
      </c>
      <c r="BP947" t="s">
        <v>74</v>
      </c>
      <c r="BQ947" t="s">
        <v>74</v>
      </c>
      <c r="BR947" t="s">
        <v>105</v>
      </c>
      <c r="BS947" t="s">
        <v>18139</v>
      </c>
      <c r="BT947" t="str">
        <f>HYPERLINK("https%3A%2F%2Fwww.webofscience.com%2Fwos%2Fwoscc%2Ffull-record%2FWOS:000424276400008","View Full Record in Web of Science")</f>
        <v>View Full Record in Web of Science</v>
      </c>
    </row>
    <row r="948" spans="1:72" x14ac:dyDescent="0.15">
      <c r="A948" t="s">
        <v>72</v>
      </c>
      <c r="B948" t="s">
        <v>18140</v>
      </c>
      <c r="C948" t="s">
        <v>74</v>
      </c>
      <c r="D948" t="s">
        <v>74</v>
      </c>
      <c r="E948" t="s">
        <v>74</v>
      </c>
      <c r="F948" t="s">
        <v>18141</v>
      </c>
      <c r="G948" t="s">
        <v>74</v>
      </c>
      <c r="H948" t="s">
        <v>74</v>
      </c>
      <c r="I948" t="s">
        <v>18142</v>
      </c>
      <c r="J948" t="s">
        <v>77</v>
      </c>
      <c r="K948" t="s">
        <v>74</v>
      </c>
      <c r="L948" t="s">
        <v>74</v>
      </c>
      <c r="M948" t="s">
        <v>78</v>
      </c>
      <c r="N948" t="s">
        <v>79</v>
      </c>
      <c r="O948" t="s">
        <v>74</v>
      </c>
      <c r="P948" t="s">
        <v>74</v>
      </c>
      <c r="Q948" t="s">
        <v>74</v>
      </c>
      <c r="R948" t="s">
        <v>74</v>
      </c>
      <c r="S948" t="s">
        <v>74</v>
      </c>
      <c r="T948" t="s">
        <v>18143</v>
      </c>
      <c r="U948" t="s">
        <v>18144</v>
      </c>
      <c r="V948" t="s">
        <v>18145</v>
      </c>
      <c r="W948" t="s">
        <v>18146</v>
      </c>
      <c r="X948" t="s">
        <v>18147</v>
      </c>
      <c r="Y948" t="s">
        <v>18148</v>
      </c>
      <c r="Z948" t="s">
        <v>18149</v>
      </c>
      <c r="AA948" t="s">
        <v>74</v>
      </c>
      <c r="AB948" t="s">
        <v>18150</v>
      </c>
      <c r="AC948" t="s">
        <v>18151</v>
      </c>
      <c r="AD948" t="s">
        <v>18152</v>
      </c>
      <c r="AE948" t="s">
        <v>18153</v>
      </c>
      <c r="AF948" t="s">
        <v>74</v>
      </c>
      <c r="AG948">
        <v>39</v>
      </c>
      <c r="AH948">
        <v>14</v>
      </c>
      <c r="AI948">
        <v>14</v>
      </c>
      <c r="AJ948">
        <v>0</v>
      </c>
      <c r="AK948">
        <v>23</v>
      </c>
      <c r="AL948" t="s">
        <v>91</v>
      </c>
      <c r="AM948" t="s">
        <v>92</v>
      </c>
      <c r="AN948" t="s">
        <v>93</v>
      </c>
      <c r="AO948" t="s">
        <v>94</v>
      </c>
      <c r="AP948" t="s">
        <v>95</v>
      </c>
      <c r="AQ948" t="s">
        <v>74</v>
      </c>
      <c r="AR948" t="s">
        <v>96</v>
      </c>
      <c r="AS948" t="s">
        <v>97</v>
      </c>
      <c r="AT948" t="s">
        <v>16620</v>
      </c>
      <c r="AU948">
        <v>2018</v>
      </c>
      <c r="AV948">
        <v>41</v>
      </c>
      <c r="AW948">
        <v>2</v>
      </c>
      <c r="AX948" t="s">
        <v>74</v>
      </c>
      <c r="AY948" t="s">
        <v>74</v>
      </c>
      <c r="AZ948" t="s">
        <v>74</v>
      </c>
      <c r="BA948" t="s">
        <v>74</v>
      </c>
      <c r="BB948">
        <v>303</v>
      </c>
      <c r="BC948">
        <v>311</v>
      </c>
      <c r="BD948" t="s">
        <v>74</v>
      </c>
      <c r="BE948" t="s">
        <v>18154</v>
      </c>
      <c r="BF948" t="str">
        <f>HYPERLINK("http://dx.doi.org/10.1007/s00300-017-2191-3","http://dx.doi.org/10.1007/s00300-017-2191-3")</f>
        <v>http://dx.doi.org/10.1007/s00300-017-2191-3</v>
      </c>
      <c r="BG948" t="s">
        <v>74</v>
      </c>
      <c r="BH948" t="s">
        <v>74</v>
      </c>
      <c r="BI948">
        <v>9</v>
      </c>
      <c r="BJ948" t="s">
        <v>100</v>
      </c>
      <c r="BK948" t="s">
        <v>101</v>
      </c>
      <c r="BL948" t="s">
        <v>102</v>
      </c>
      <c r="BM948" t="s">
        <v>17008</v>
      </c>
      <c r="BN948" t="s">
        <v>74</v>
      </c>
      <c r="BO948" t="s">
        <v>980</v>
      </c>
      <c r="BP948" t="s">
        <v>74</v>
      </c>
      <c r="BQ948" t="s">
        <v>74</v>
      </c>
      <c r="BR948" t="s">
        <v>105</v>
      </c>
      <c r="BS948" t="s">
        <v>18155</v>
      </c>
      <c r="BT948" t="str">
        <f>HYPERLINK("https%3A%2F%2Fwww.webofscience.com%2Fwos%2Fwoscc%2Ffull-record%2FWOS:000424276400009","View Full Record in Web of Science")</f>
        <v>View Full Record in Web of Science</v>
      </c>
    </row>
    <row r="949" spans="1:72" x14ac:dyDescent="0.15">
      <c r="A949" t="s">
        <v>72</v>
      </c>
      <c r="B949" t="s">
        <v>18156</v>
      </c>
      <c r="C949" t="s">
        <v>74</v>
      </c>
      <c r="D949" t="s">
        <v>74</v>
      </c>
      <c r="E949" t="s">
        <v>74</v>
      </c>
      <c r="F949" t="s">
        <v>18157</v>
      </c>
      <c r="G949" t="s">
        <v>74</v>
      </c>
      <c r="H949" t="s">
        <v>74</v>
      </c>
      <c r="I949" t="s">
        <v>18158</v>
      </c>
      <c r="J949" t="s">
        <v>77</v>
      </c>
      <c r="K949" t="s">
        <v>74</v>
      </c>
      <c r="L949" t="s">
        <v>74</v>
      </c>
      <c r="M949" t="s">
        <v>78</v>
      </c>
      <c r="N949" t="s">
        <v>79</v>
      </c>
      <c r="O949" t="s">
        <v>74</v>
      </c>
      <c r="P949" t="s">
        <v>74</v>
      </c>
      <c r="Q949" t="s">
        <v>74</v>
      </c>
      <c r="R949" t="s">
        <v>74</v>
      </c>
      <c r="S949" t="s">
        <v>74</v>
      </c>
      <c r="T949" t="s">
        <v>18159</v>
      </c>
      <c r="U949" t="s">
        <v>18160</v>
      </c>
      <c r="V949" t="s">
        <v>18161</v>
      </c>
      <c r="W949" t="s">
        <v>18162</v>
      </c>
      <c r="X949" t="s">
        <v>18163</v>
      </c>
      <c r="Y949" t="s">
        <v>18164</v>
      </c>
      <c r="Z949" t="s">
        <v>18165</v>
      </c>
      <c r="AA949" t="s">
        <v>18166</v>
      </c>
      <c r="AB949" t="s">
        <v>18167</v>
      </c>
      <c r="AC949" t="s">
        <v>18168</v>
      </c>
      <c r="AD949" t="s">
        <v>18169</v>
      </c>
      <c r="AE949" t="s">
        <v>18170</v>
      </c>
      <c r="AF949" t="s">
        <v>74</v>
      </c>
      <c r="AG949">
        <v>94</v>
      </c>
      <c r="AH949">
        <v>14</v>
      </c>
      <c r="AI949">
        <v>15</v>
      </c>
      <c r="AJ949">
        <v>6</v>
      </c>
      <c r="AK949">
        <v>41</v>
      </c>
      <c r="AL949" t="s">
        <v>91</v>
      </c>
      <c r="AM949" t="s">
        <v>92</v>
      </c>
      <c r="AN949" t="s">
        <v>93</v>
      </c>
      <c r="AO949" t="s">
        <v>94</v>
      </c>
      <c r="AP949" t="s">
        <v>95</v>
      </c>
      <c r="AQ949" t="s">
        <v>74</v>
      </c>
      <c r="AR949" t="s">
        <v>96</v>
      </c>
      <c r="AS949" t="s">
        <v>97</v>
      </c>
      <c r="AT949" t="s">
        <v>16620</v>
      </c>
      <c r="AU949">
        <v>2018</v>
      </c>
      <c r="AV949">
        <v>41</v>
      </c>
      <c r="AW949">
        <v>2</v>
      </c>
      <c r="AX949" t="s">
        <v>74</v>
      </c>
      <c r="AY949" t="s">
        <v>74</v>
      </c>
      <c r="AZ949" t="s">
        <v>74</v>
      </c>
      <c r="BA949" t="s">
        <v>74</v>
      </c>
      <c r="BB949">
        <v>323</v>
      </c>
      <c r="BC949">
        <v>340</v>
      </c>
      <c r="BD949" t="s">
        <v>74</v>
      </c>
      <c r="BE949" t="s">
        <v>18171</v>
      </c>
      <c r="BF949" t="str">
        <f>HYPERLINK("http://dx.doi.org/10.1007/s00300-017-2193-1","http://dx.doi.org/10.1007/s00300-017-2193-1")</f>
        <v>http://dx.doi.org/10.1007/s00300-017-2193-1</v>
      </c>
      <c r="BG949" t="s">
        <v>74</v>
      </c>
      <c r="BH949" t="s">
        <v>74</v>
      </c>
      <c r="BI949">
        <v>18</v>
      </c>
      <c r="BJ949" t="s">
        <v>100</v>
      </c>
      <c r="BK949" t="s">
        <v>101</v>
      </c>
      <c r="BL949" t="s">
        <v>102</v>
      </c>
      <c r="BM949" t="s">
        <v>17008</v>
      </c>
      <c r="BN949" t="s">
        <v>74</v>
      </c>
      <c r="BO949" t="s">
        <v>74</v>
      </c>
      <c r="BP949" t="s">
        <v>74</v>
      </c>
      <c r="BQ949" t="s">
        <v>74</v>
      </c>
      <c r="BR949" t="s">
        <v>105</v>
      </c>
      <c r="BS949" t="s">
        <v>18172</v>
      </c>
      <c r="BT949" t="str">
        <f>HYPERLINK("https%3A%2F%2Fwww.webofscience.com%2Fwos%2Fwoscc%2Ffull-record%2FWOS:000424276400011","View Full Record in Web of Science")</f>
        <v>View Full Record in Web of Science</v>
      </c>
    </row>
    <row r="950" spans="1:72" x14ac:dyDescent="0.15">
      <c r="A950" t="s">
        <v>72</v>
      </c>
      <c r="B950" t="s">
        <v>18173</v>
      </c>
      <c r="C950" t="s">
        <v>74</v>
      </c>
      <c r="D950" t="s">
        <v>74</v>
      </c>
      <c r="E950" t="s">
        <v>74</v>
      </c>
      <c r="F950" t="s">
        <v>18174</v>
      </c>
      <c r="G950" t="s">
        <v>74</v>
      </c>
      <c r="H950" t="s">
        <v>74</v>
      </c>
      <c r="I950" t="s">
        <v>18175</v>
      </c>
      <c r="J950" t="s">
        <v>77</v>
      </c>
      <c r="K950" t="s">
        <v>74</v>
      </c>
      <c r="L950" t="s">
        <v>74</v>
      </c>
      <c r="M950" t="s">
        <v>78</v>
      </c>
      <c r="N950" t="s">
        <v>79</v>
      </c>
      <c r="O950" t="s">
        <v>74</v>
      </c>
      <c r="P950" t="s">
        <v>74</v>
      </c>
      <c r="Q950" t="s">
        <v>74</v>
      </c>
      <c r="R950" t="s">
        <v>74</v>
      </c>
      <c r="S950" t="s">
        <v>74</v>
      </c>
      <c r="T950" t="s">
        <v>18176</v>
      </c>
      <c r="U950" t="s">
        <v>18177</v>
      </c>
      <c r="V950" t="s">
        <v>18178</v>
      </c>
      <c r="W950" t="s">
        <v>18179</v>
      </c>
      <c r="X950" t="s">
        <v>18180</v>
      </c>
      <c r="Y950" t="s">
        <v>18181</v>
      </c>
      <c r="Z950" t="s">
        <v>18182</v>
      </c>
      <c r="AA950" t="s">
        <v>74</v>
      </c>
      <c r="AB950" t="s">
        <v>18183</v>
      </c>
      <c r="AC950" t="s">
        <v>18184</v>
      </c>
      <c r="AD950" t="s">
        <v>18185</v>
      </c>
      <c r="AE950" t="s">
        <v>18186</v>
      </c>
      <c r="AF950" t="s">
        <v>74</v>
      </c>
      <c r="AG950">
        <v>69</v>
      </c>
      <c r="AH950">
        <v>19</v>
      </c>
      <c r="AI950">
        <v>20</v>
      </c>
      <c r="AJ950">
        <v>0</v>
      </c>
      <c r="AK950">
        <v>18</v>
      </c>
      <c r="AL950" t="s">
        <v>91</v>
      </c>
      <c r="AM950" t="s">
        <v>92</v>
      </c>
      <c r="AN950" t="s">
        <v>205</v>
      </c>
      <c r="AO950" t="s">
        <v>94</v>
      </c>
      <c r="AP950" t="s">
        <v>95</v>
      </c>
      <c r="AQ950" t="s">
        <v>74</v>
      </c>
      <c r="AR950" t="s">
        <v>96</v>
      </c>
      <c r="AS950" t="s">
        <v>97</v>
      </c>
      <c r="AT950" t="s">
        <v>16620</v>
      </c>
      <c r="AU950">
        <v>2018</v>
      </c>
      <c r="AV950">
        <v>41</v>
      </c>
      <c r="AW950">
        <v>2</v>
      </c>
      <c r="AX950" t="s">
        <v>74</v>
      </c>
      <c r="AY950" t="s">
        <v>74</v>
      </c>
      <c r="AZ950" t="s">
        <v>74</v>
      </c>
      <c r="BA950" t="s">
        <v>74</v>
      </c>
      <c r="BB950">
        <v>365</v>
      </c>
      <c r="BC950">
        <v>375</v>
      </c>
      <c r="BD950" t="s">
        <v>74</v>
      </c>
      <c r="BE950" t="s">
        <v>18187</v>
      </c>
      <c r="BF950" t="str">
        <f>HYPERLINK("http://dx.doi.org/10.1007/s00300-017-2196-y","http://dx.doi.org/10.1007/s00300-017-2196-y")</f>
        <v>http://dx.doi.org/10.1007/s00300-017-2196-y</v>
      </c>
      <c r="BG950" t="s">
        <v>74</v>
      </c>
      <c r="BH950" t="s">
        <v>74</v>
      </c>
      <c r="BI950">
        <v>11</v>
      </c>
      <c r="BJ950" t="s">
        <v>100</v>
      </c>
      <c r="BK950" t="s">
        <v>101</v>
      </c>
      <c r="BL950" t="s">
        <v>102</v>
      </c>
      <c r="BM950" t="s">
        <v>17008</v>
      </c>
      <c r="BN950" t="s">
        <v>74</v>
      </c>
      <c r="BO950" t="s">
        <v>74</v>
      </c>
      <c r="BP950" t="s">
        <v>74</v>
      </c>
      <c r="BQ950" t="s">
        <v>74</v>
      </c>
      <c r="BR950" t="s">
        <v>105</v>
      </c>
      <c r="BS950" t="s">
        <v>18188</v>
      </c>
      <c r="BT950" t="str">
        <f>HYPERLINK("https%3A%2F%2Fwww.webofscience.com%2Fwos%2Fwoscc%2Ffull-record%2FWOS:000424276400014","View Full Record in Web of Science")</f>
        <v>View Full Record in Web of Science</v>
      </c>
    </row>
    <row r="951" spans="1:72" x14ac:dyDescent="0.15">
      <c r="A951" t="s">
        <v>72</v>
      </c>
      <c r="B951" t="s">
        <v>18189</v>
      </c>
      <c r="C951" t="s">
        <v>74</v>
      </c>
      <c r="D951" t="s">
        <v>74</v>
      </c>
      <c r="E951" t="s">
        <v>74</v>
      </c>
      <c r="F951" t="s">
        <v>18190</v>
      </c>
      <c r="G951" t="s">
        <v>74</v>
      </c>
      <c r="H951" t="s">
        <v>74</v>
      </c>
      <c r="I951" t="s">
        <v>18191</v>
      </c>
      <c r="J951" t="s">
        <v>77</v>
      </c>
      <c r="K951" t="s">
        <v>74</v>
      </c>
      <c r="L951" t="s">
        <v>74</v>
      </c>
      <c r="M951" t="s">
        <v>78</v>
      </c>
      <c r="N951" t="s">
        <v>79</v>
      </c>
      <c r="O951" t="s">
        <v>74</v>
      </c>
      <c r="P951" t="s">
        <v>74</v>
      </c>
      <c r="Q951" t="s">
        <v>74</v>
      </c>
      <c r="R951" t="s">
        <v>74</v>
      </c>
      <c r="S951" t="s">
        <v>74</v>
      </c>
      <c r="T951" t="s">
        <v>18192</v>
      </c>
      <c r="U951" t="s">
        <v>18193</v>
      </c>
      <c r="V951" t="s">
        <v>18194</v>
      </c>
      <c r="W951" t="s">
        <v>18195</v>
      </c>
      <c r="X951" t="s">
        <v>18196</v>
      </c>
      <c r="Y951" t="s">
        <v>18197</v>
      </c>
      <c r="Z951" t="s">
        <v>18198</v>
      </c>
      <c r="AA951" t="s">
        <v>18199</v>
      </c>
      <c r="AB951" t="s">
        <v>18200</v>
      </c>
      <c r="AC951" t="s">
        <v>18201</v>
      </c>
      <c r="AD951" t="s">
        <v>18202</v>
      </c>
      <c r="AE951" t="s">
        <v>18203</v>
      </c>
      <c r="AF951" t="s">
        <v>74</v>
      </c>
      <c r="AG951">
        <v>92</v>
      </c>
      <c r="AH951">
        <v>26</v>
      </c>
      <c r="AI951">
        <v>26</v>
      </c>
      <c r="AJ951">
        <v>0</v>
      </c>
      <c r="AK951">
        <v>26</v>
      </c>
      <c r="AL951" t="s">
        <v>91</v>
      </c>
      <c r="AM951" t="s">
        <v>92</v>
      </c>
      <c r="AN951" t="s">
        <v>205</v>
      </c>
      <c r="AO951" t="s">
        <v>94</v>
      </c>
      <c r="AP951" t="s">
        <v>95</v>
      </c>
      <c r="AQ951" t="s">
        <v>74</v>
      </c>
      <c r="AR951" t="s">
        <v>96</v>
      </c>
      <c r="AS951" t="s">
        <v>97</v>
      </c>
      <c r="AT951" t="s">
        <v>16620</v>
      </c>
      <c r="AU951">
        <v>2018</v>
      </c>
      <c r="AV951">
        <v>41</v>
      </c>
      <c r="AW951">
        <v>2</v>
      </c>
      <c r="AX951" t="s">
        <v>74</v>
      </c>
      <c r="AY951" t="s">
        <v>74</v>
      </c>
      <c r="AZ951" t="s">
        <v>74</v>
      </c>
      <c r="BA951" t="s">
        <v>74</v>
      </c>
      <c r="BB951">
        <v>377</v>
      </c>
      <c r="BC951">
        <v>396</v>
      </c>
      <c r="BD951" t="s">
        <v>74</v>
      </c>
      <c r="BE951" t="s">
        <v>18204</v>
      </c>
      <c r="BF951" t="str">
        <f>HYPERLINK("http://dx.doi.org/10.1007/s00300-017-2197-x","http://dx.doi.org/10.1007/s00300-017-2197-x")</f>
        <v>http://dx.doi.org/10.1007/s00300-017-2197-x</v>
      </c>
      <c r="BG951" t="s">
        <v>74</v>
      </c>
      <c r="BH951" t="s">
        <v>74</v>
      </c>
      <c r="BI951">
        <v>20</v>
      </c>
      <c r="BJ951" t="s">
        <v>100</v>
      </c>
      <c r="BK951" t="s">
        <v>101</v>
      </c>
      <c r="BL951" t="s">
        <v>102</v>
      </c>
      <c r="BM951" t="s">
        <v>17008</v>
      </c>
      <c r="BN951" t="s">
        <v>74</v>
      </c>
      <c r="BO951" t="s">
        <v>74</v>
      </c>
      <c r="BP951" t="s">
        <v>74</v>
      </c>
      <c r="BQ951" t="s">
        <v>74</v>
      </c>
      <c r="BR951" t="s">
        <v>105</v>
      </c>
      <c r="BS951" t="s">
        <v>18205</v>
      </c>
      <c r="BT951" t="str">
        <f>HYPERLINK("https%3A%2F%2Fwww.webofscience.com%2Fwos%2Fwoscc%2Ffull-record%2FWOS:000424276400015","View Full Record in Web of Science")</f>
        <v>View Full Record in Web of Science</v>
      </c>
    </row>
    <row r="952" spans="1:72" x14ac:dyDescent="0.15">
      <c r="A952" t="s">
        <v>72</v>
      </c>
      <c r="B952" t="s">
        <v>18206</v>
      </c>
      <c r="C952" t="s">
        <v>74</v>
      </c>
      <c r="D952" t="s">
        <v>74</v>
      </c>
      <c r="E952" t="s">
        <v>74</v>
      </c>
      <c r="F952" t="s">
        <v>18207</v>
      </c>
      <c r="G952" t="s">
        <v>74</v>
      </c>
      <c r="H952" t="s">
        <v>74</v>
      </c>
      <c r="I952" t="s">
        <v>18208</v>
      </c>
      <c r="J952" t="s">
        <v>7290</v>
      </c>
      <c r="K952" t="s">
        <v>74</v>
      </c>
      <c r="L952" t="s">
        <v>74</v>
      </c>
      <c r="M952" t="s">
        <v>78</v>
      </c>
      <c r="N952" t="s">
        <v>79</v>
      </c>
      <c r="O952" t="s">
        <v>74</v>
      </c>
      <c r="P952" t="s">
        <v>74</v>
      </c>
      <c r="Q952" t="s">
        <v>74</v>
      </c>
      <c r="R952" t="s">
        <v>74</v>
      </c>
      <c r="S952" t="s">
        <v>74</v>
      </c>
      <c r="T952" t="s">
        <v>18209</v>
      </c>
      <c r="U952" t="s">
        <v>18210</v>
      </c>
      <c r="V952" t="s">
        <v>18211</v>
      </c>
      <c r="W952" t="s">
        <v>18212</v>
      </c>
      <c r="X952" t="s">
        <v>18213</v>
      </c>
      <c r="Y952" t="s">
        <v>18214</v>
      </c>
      <c r="Z952" t="s">
        <v>18215</v>
      </c>
      <c r="AA952" t="s">
        <v>18216</v>
      </c>
      <c r="AB952" t="s">
        <v>18217</v>
      </c>
      <c r="AC952" t="s">
        <v>4855</v>
      </c>
      <c r="AD952" t="s">
        <v>4856</v>
      </c>
      <c r="AE952" t="s">
        <v>18218</v>
      </c>
      <c r="AF952" t="s">
        <v>74</v>
      </c>
      <c r="AG952">
        <v>36</v>
      </c>
      <c r="AH952">
        <v>9</v>
      </c>
      <c r="AI952">
        <v>11</v>
      </c>
      <c r="AJ952">
        <v>0</v>
      </c>
      <c r="AK952">
        <v>30</v>
      </c>
      <c r="AL952" t="s">
        <v>277</v>
      </c>
      <c r="AM952" t="s">
        <v>278</v>
      </c>
      <c r="AN952" t="s">
        <v>279</v>
      </c>
      <c r="AO952" t="s">
        <v>7303</v>
      </c>
      <c r="AP952" t="s">
        <v>7304</v>
      </c>
      <c r="AQ952" t="s">
        <v>74</v>
      </c>
      <c r="AR952" t="s">
        <v>7290</v>
      </c>
      <c r="AS952" t="s">
        <v>7305</v>
      </c>
      <c r="AT952" t="s">
        <v>16620</v>
      </c>
      <c r="AU952">
        <v>2018</v>
      </c>
      <c r="AV952">
        <v>193</v>
      </c>
      <c r="AW952" t="s">
        <v>74</v>
      </c>
      <c r="AX952" t="s">
        <v>74</v>
      </c>
      <c r="AY952" t="s">
        <v>74</v>
      </c>
      <c r="AZ952" t="s">
        <v>74</v>
      </c>
      <c r="BA952" t="s">
        <v>74</v>
      </c>
      <c r="BB952">
        <v>213</v>
      </c>
      <c r="BC952">
        <v>222</v>
      </c>
      <c r="BD952" t="s">
        <v>74</v>
      </c>
      <c r="BE952" t="s">
        <v>18219</v>
      </c>
      <c r="BF952" t="str">
        <f>HYPERLINK("http://dx.doi.org/10.1016/j.chemosphere.2017.11.020","http://dx.doi.org/10.1016/j.chemosphere.2017.11.020")</f>
        <v>http://dx.doi.org/10.1016/j.chemosphere.2017.11.020</v>
      </c>
      <c r="BG952" t="s">
        <v>74</v>
      </c>
      <c r="BH952" t="s">
        <v>74</v>
      </c>
      <c r="BI952">
        <v>10</v>
      </c>
      <c r="BJ952" t="s">
        <v>921</v>
      </c>
      <c r="BK952" t="s">
        <v>101</v>
      </c>
      <c r="BL952" t="s">
        <v>315</v>
      </c>
      <c r="BM952" t="s">
        <v>18220</v>
      </c>
      <c r="BN952">
        <v>29136567</v>
      </c>
      <c r="BO952" t="s">
        <v>341</v>
      </c>
      <c r="BP952" t="s">
        <v>74</v>
      </c>
      <c r="BQ952" t="s">
        <v>74</v>
      </c>
      <c r="BR952" t="s">
        <v>105</v>
      </c>
      <c r="BS952" t="s">
        <v>18221</v>
      </c>
      <c r="BT952" t="str">
        <f>HYPERLINK("https%3A%2F%2Fwww.webofscience.com%2Fwos%2Fwoscc%2Ffull-record%2FWOS:000423890500025","View Full Record in Web of Science")</f>
        <v>View Full Record in Web of Science</v>
      </c>
    </row>
    <row r="953" spans="1:72" x14ac:dyDescent="0.15">
      <c r="A953" t="s">
        <v>72</v>
      </c>
      <c r="B953" t="s">
        <v>18222</v>
      </c>
      <c r="C953" t="s">
        <v>74</v>
      </c>
      <c r="D953" t="s">
        <v>74</v>
      </c>
      <c r="E953" t="s">
        <v>74</v>
      </c>
      <c r="F953" t="s">
        <v>18223</v>
      </c>
      <c r="G953" t="s">
        <v>74</v>
      </c>
      <c r="H953" t="s">
        <v>74</v>
      </c>
      <c r="I953" t="s">
        <v>18224</v>
      </c>
      <c r="J953" t="s">
        <v>14206</v>
      </c>
      <c r="K953" t="s">
        <v>74</v>
      </c>
      <c r="L953" t="s">
        <v>74</v>
      </c>
      <c r="M953" t="s">
        <v>78</v>
      </c>
      <c r="N953" t="s">
        <v>79</v>
      </c>
      <c r="O953" t="s">
        <v>74</v>
      </c>
      <c r="P953" t="s">
        <v>74</v>
      </c>
      <c r="Q953" t="s">
        <v>74</v>
      </c>
      <c r="R953" t="s">
        <v>74</v>
      </c>
      <c r="S953" t="s">
        <v>74</v>
      </c>
      <c r="T953" t="s">
        <v>18225</v>
      </c>
      <c r="U953" t="s">
        <v>18226</v>
      </c>
      <c r="V953" t="s">
        <v>18227</v>
      </c>
      <c r="W953" t="s">
        <v>18228</v>
      </c>
      <c r="X953" t="s">
        <v>18229</v>
      </c>
      <c r="Y953" t="s">
        <v>18230</v>
      </c>
      <c r="Z953" t="s">
        <v>18231</v>
      </c>
      <c r="AA953" t="s">
        <v>5300</v>
      </c>
      <c r="AB953" t="s">
        <v>18232</v>
      </c>
      <c r="AC953" t="s">
        <v>18233</v>
      </c>
      <c r="AD953" t="s">
        <v>18234</v>
      </c>
      <c r="AE953" t="s">
        <v>18235</v>
      </c>
      <c r="AF953" t="s">
        <v>74</v>
      </c>
      <c r="AG953">
        <v>95</v>
      </c>
      <c r="AH953">
        <v>33</v>
      </c>
      <c r="AI953">
        <v>36</v>
      </c>
      <c r="AJ953">
        <v>5</v>
      </c>
      <c r="AK953">
        <v>80</v>
      </c>
      <c r="AL953" t="s">
        <v>179</v>
      </c>
      <c r="AM953" t="s">
        <v>180</v>
      </c>
      <c r="AN953" t="s">
        <v>181</v>
      </c>
      <c r="AO953" t="s">
        <v>14219</v>
      </c>
      <c r="AP953" t="s">
        <v>14220</v>
      </c>
      <c r="AQ953" t="s">
        <v>74</v>
      </c>
      <c r="AR953" t="s">
        <v>14206</v>
      </c>
      <c r="AS953" t="s">
        <v>314</v>
      </c>
      <c r="AT953" t="s">
        <v>16620</v>
      </c>
      <c r="AU953">
        <v>2018</v>
      </c>
      <c r="AV953">
        <v>99</v>
      </c>
      <c r="AW953">
        <v>2</v>
      </c>
      <c r="AX953" t="s">
        <v>74</v>
      </c>
      <c r="AY953" t="s">
        <v>74</v>
      </c>
      <c r="AZ953" t="s">
        <v>74</v>
      </c>
      <c r="BA953" t="s">
        <v>74</v>
      </c>
      <c r="BB953">
        <v>450</v>
      </c>
      <c r="BC953">
        <v>463</v>
      </c>
      <c r="BD953" t="s">
        <v>74</v>
      </c>
      <c r="BE953" t="s">
        <v>18236</v>
      </c>
      <c r="BF953" t="str">
        <f>HYPERLINK("http://dx.doi.org/10.1002/ecy.2103","http://dx.doi.org/10.1002/ecy.2103")</f>
        <v>http://dx.doi.org/10.1002/ecy.2103</v>
      </c>
      <c r="BG953" t="s">
        <v>74</v>
      </c>
      <c r="BH953" t="s">
        <v>74</v>
      </c>
      <c r="BI953">
        <v>14</v>
      </c>
      <c r="BJ953" t="s">
        <v>314</v>
      </c>
      <c r="BK953" t="s">
        <v>101</v>
      </c>
      <c r="BL953" t="s">
        <v>315</v>
      </c>
      <c r="BM953" t="s">
        <v>18237</v>
      </c>
      <c r="BN953">
        <v>29328509</v>
      </c>
      <c r="BO953" t="s">
        <v>5821</v>
      </c>
      <c r="BP953" t="s">
        <v>74</v>
      </c>
      <c r="BQ953" t="s">
        <v>74</v>
      </c>
      <c r="BR953" t="s">
        <v>105</v>
      </c>
      <c r="BS953" t="s">
        <v>18238</v>
      </c>
      <c r="BT953" t="str">
        <f>HYPERLINK("https%3A%2F%2Fwww.webofscience.com%2Fwos%2Fwoscc%2Ffull-record%2FWOS:000424165200017","View Full Record in Web of Science")</f>
        <v>View Full Record in Web of Science</v>
      </c>
    </row>
    <row r="954" spans="1:72" x14ac:dyDescent="0.15">
      <c r="A954" t="s">
        <v>72</v>
      </c>
      <c r="B954" t="s">
        <v>18239</v>
      </c>
      <c r="C954" t="s">
        <v>74</v>
      </c>
      <c r="D954" t="s">
        <v>74</v>
      </c>
      <c r="E954" t="s">
        <v>74</v>
      </c>
      <c r="F954" t="s">
        <v>18240</v>
      </c>
      <c r="G954" t="s">
        <v>74</v>
      </c>
      <c r="H954" t="s">
        <v>74</v>
      </c>
      <c r="I954" t="s">
        <v>18241</v>
      </c>
      <c r="J954" t="s">
        <v>2751</v>
      </c>
      <c r="K954" t="s">
        <v>74</v>
      </c>
      <c r="L954" t="s">
        <v>74</v>
      </c>
      <c r="M954" t="s">
        <v>78</v>
      </c>
      <c r="N954" t="s">
        <v>79</v>
      </c>
      <c r="O954" t="s">
        <v>74</v>
      </c>
      <c r="P954" t="s">
        <v>74</v>
      </c>
      <c r="Q954" t="s">
        <v>74</v>
      </c>
      <c r="R954" t="s">
        <v>74</v>
      </c>
      <c r="S954" t="s">
        <v>74</v>
      </c>
      <c r="T954" t="s">
        <v>18242</v>
      </c>
      <c r="U954" t="s">
        <v>18243</v>
      </c>
      <c r="V954" t="s">
        <v>18244</v>
      </c>
      <c r="W954" t="s">
        <v>18245</v>
      </c>
      <c r="X954" t="s">
        <v>18246</v>
      </c>
      <c r="Y954" t="s">
        <v>18247</v>
      </c>
      <c r="Z954" t="s">
        <v>18248</v>
      </c>
      <c r="AA954" t="s">
        <v>18249</v>
      </c>
      <c r="AB954" t="s">
        <v>18250</v>
      </c>
      <c r="AC954" t="s">
        <v>74</v>
      </c>
      <c r="AD954" t="s">
        <v>74</v>
      </c>
      <c r="AE954" t="s">
        <v>74</v>
      </c>
      <c r="AF954" t="s">
        <v>74</v>
      </c>
      <c r="AG954">
        <v>69</v>
      </c>
      <c r="AH954">
        <v>10</v>
      </c>
      <c r="AI954">
        <v>13</v>
      </c>
      <c r="AJ954">
        <v>0</v>
      </c>
      <c r="AK954">
        <v>5</v>
      </c>
      <c r="AL954" t="s">
        <v>277</v>
      </c>
      <c r="AM954" t="s">
        <v>278</v>
      </c>
      <c r="AN954" t="s">
        <v>279</v>
      </c>
      <c r="AO954" t="s">
        <v>2764</v>
      </c>
      <c r="AP954" t="s">
        <v>2765</v>
      </c>
      <c r="AQ954" t="s">
        <v>74</v>
      </c>
      <c r="AR954" t="s">
        <v>2766</v>
      </c>
      <c r="AS954" t="s">
        <v>2767</v>
      </c>
      <c r="AT954" t="s">
        <v>16620</v>
      </c>
      <c r="AU954">
        <v>2018</v>
      </c>
      <c r="AV954">
        <v>152</v>
      </c>
      <c r="AW954" t="s">
        <v>74</v>
      </c>
      <c r="AX954" t="s">
        <v>74</v>
      </c>
      <c r="AY954" t="s">
        <v>74</v>
      </c>
      <c r="AZ954" t="s">
        <v>74</v>
      </c>
      <c r="BA954" t="s">
        <v>74</v>
      </c>
      <c r="BB954">
        <v>132</v>
      </c>
      <c r="BC954">
        <v>144</v>
      </c>
      <c r="BD954" t="s">
        <v>74</v>
      </c>
      <c r="BE954" t="s">
        <v>18251</v>
      </c>
      <c r="BF954" t="str">
        <f>HYPERLINK("http://dx.doi.org/10.1016/j.jseaes.2017.11.037","http://dx.doi.org/10.1016/j.jseaes.2017.11.037")</f>
        <v>http://dx.doi.org/10.1016/j.jseaes.2017.11.037</v>
      </c>
      <c r="BG954" t="s">
        <v>74</v>
      </c>
      <c r="BH954" t="s">
        <v>74</v>
      </c>
      <c r="BI954">
        <v>13</v>
      </c>
      <c r="BJ954" t="s">
        <v>1243</v>
      </c>
      <c r="BK954" t="s">
        <v>101</v>
      </c>
      <c r="BL954" t="s">
        <v>1181</v>
      </c>
      <c r="BM954" t="s">
        <v>18252</v>
      </c>
      <c r="BN954" t="s">
        <v>74</v>
      </c>
      <c r="BO954" t="s">
        <v>74</v>
      </c>
      <c r="BP954" t="s">
        <v>74</v>
      </c>
      <c r="BQ954" t="s">
        <v>74</v>
      </c>
      <c r="BR954" t="s">
        <v>105</v>
      </c>
      <c r="BS954" t="s">
        <v>18253</v>
      </c>
      <c r="BT954" t="str">
        <f>HYPERLINK("https%3A%2F%2Fwww.webofscience.com%2Fwos%2Fwoscc%2Ffull-record%2FWOS:000424177200011","View Full Record in Web of Science")</f>
        <v>View Full Record in Web of Science</v>
      </c>
    </row>
    <row r="955" spans="1:72" x14ac:dyDescent="0.15">
      <c r="A955" t="s">
        <v>72</v>
      </c>
      <c r="B955" t="s">
        <v>18254</v>
      </c>
      <c r="C955" t="s">
        <v>74</v>
      </c>
      <c r="D955" t="s">
        <v>74</v>
      </c>
      <c r="E955" t="s">
        <v>74</v>
      </c>
      <c r="F955" t="s">
        <v>18255</v>
      </c>
      <c r="G955" t="s">
        <v>74</v>
      </c>
      <c r="H955" t="s">
        <v>74</v>
      </c>
      <c r="I955" t="s">
        <v>18256</v>
      </c>
      <c r="J955" t="s">
        <v>321</v>
      </c>
      <c r="K955" t="s">
        <v>74</v>
      </c>
      <c r="L955" t="s">
        <v>74</v>
      </c>
      <c r="M955" t="s">
        <v>78</v>
      </c>
      <c r="N955" t="s">
        <v>79</v>
      </c>
      <c r="O955" t="s">
        <v>74</v>
      </c>
      <c r="P955" t="s">
        <v>74</v>
      </c>
      <c r="Q955" t="s">
        <v>74</v>
      </c>
      <c r="R955" t="s">
        <v>74</v>
      </c>
      <c r="S955" t="s">
        <v>74</v>
      </c>
      <c r="T955" t="s">
        <v>18257</v>
      </c>
      <c r="U955" t="s">
        <v>18258</v>
      </c>
      <c r="V955" t="s">
        <v>18259</v>
      </c>
      <c r="W955" t="s">
        <v>18260</v>
      </c>
      <c r="X955" t="s">
        <v>18261</v>
      </c>
      <c r="Y955" t="s">
        <v>18262</v>
      </c>
      <c r="Z955" t="s">
        <v>18263</v>
      </c>
      <c r="AA955" t="s">
        <v>18264</v>
      </c>
      <c r="AB955" t="s">
        <v>74</v>
      </c>
      <c r="AC955" t="s">
        <v>18265</v>
      </c>
      <c r="AD955" t="s">
        <v>18266</v>
      </c>
      <c r="AE955" t="s">
        <v>18267</v>
      </c>
      <c r="AF955" t="s">
        <v>74</v>
      </c>
      <c r="AG955">
        <v>103</v>
      </c>
      <c r="AH955">
        <v>24</v>
      </c>
      <c r="AI955">
        <v>33</v>
      </c>
      <c r="AJ955">
        <v>0</v>
      </c>
      <c r="AK955">
        <v>22</v>
      </c>
      <c r="AL955" t="s">
        <v>277</v>
      </c>
      <c r="AM955" t="s">
        <v>278</v>
      </c>
      <c r="AN955" t="s">
        <v>279</v>
      </c>
      <c r="AO955" t="s">
        <v>333</v>
      </c>
      <c r="AP955" t="s">
        <v>74</v>
      </c>
      <c r="AQ955" t="s">
        <v>74</v>
      </c>
      <c r="AR955" t="s">
        <v>335</v>
      </c>
      <c r="AS955" t="s">
        <v>336</v>
      </c>
      <c r="AT955" t="s">
        <v>16707</v>
      </c>
      <c r="AU955">
        <v>2018</v>
      </c>
      <c r="AV955">
        <v>181</v>
      </c>
      <c r="AW955" t="s">
        <v>74</v>
      </c>
      <c r="AX955" t="s">
        <v>74</v>
      </c>
      <c r="AY955" t="s">
        <v>74</v>
      </c>
      <c r="AZ955" t="s">
        <v>74</v>
      </c>
      <c r="BA955" t="s">
        <v>74</v>
      </c>
      <c r="BB955">
        <v>93</v>
      </c>
      <c r="BC955">
        <v>108</v>
      </c>
      <c r="BD955" t="s">
        <v>74</v>
      </c>
      <c r="BE955" t="s">
        <v>18268</v>
      </c>
      <c r="BF955" t="str">
        <f>HYPERLINK("http://dx.doi.org/10.1016/j.quascirev.2017.12.006","http://dx.doi.org/10.1016/j.quascirev.2017.12.006")</f>
        <v>http://dx.doi.org/10.1016/j.quascirev.2017.12.006</v>
      </c>
      <c r="BG955" t="s">
        <v>74</v>
      </c>
      <c r="BH955" t="s">
        <v>74</v>
      </c>
      <c r="BI955">
        <v>16</v>
      </c>
      <c r="BJ955" t="s">
        <v>338</v>
      </c>
      <c r="BK955" t="s">
        <v>101</v>
      </c>
      <c r="BL955" t="s">
        <v>339</v>
      </c>
      <c r="BM955" t="s">
        <v>18269</v>
      </c>
      <c r="BN955" t="s">
        <v>74</v>
      </c>
      <c r="BO955" t="s">
        <v>341</v>
      </c>
      <c r="BP955" t="s">
        <v>74</v>
      </c>
      <c r="BQ955" t="s">
        <v>74</v>
      </c>
      <c r="BR955" t="s">
        <v>105</v>
      </c>
      <c r="BS955" t="s">
        <v>18270</v>
      </c>
      <c r="BT955" t="str">
        <f>HYPERLINK("https%3A%2F%2Fwww.webofscience.com%2Fwos%2Fwoscc%2Ffull-record%2FWOS:000424178200007","View Full Record in Web of Science")</f>
        <v>View Full Record in Web of Science</v>
      </c>
    </row>
    <row r="956" spans="1:72" x14ac:dyDescent="0.15">
      <c r="A956" t="s">
        <v>72</v>
      </c>
      <c r="B956" t="s">
        <v>18271</v>
      </c>
      <c r="C956" t="s">
        <v>74</v>
      </c>
      <c r="D956" t="s">
        <v>74</v>
      </c>
      <c r="E956" t="s">
        <v>74</v>
      </c>
      <c r="F956" t="s">
        <v>18272</v>
      </c>
      <c r="G956" t="s">
        <v>74</v>
      </c>
      <c r="H956" t="s">
        <v>74</v>
      </c>
      <c r="I956" t="s">
        <v>18273</v>
      </c>
      <c r="J956" t="s">
        <v>370</v>
      </c>
      <c r="K956" t="s">
        <v>74</v>
      </c>
      <c r="L956" t="s">
        <v>74</v>
      </c>
      <c r="M956" t="s">
        <v>78</v>
      </c>
      <c r="N956" t="s">
        <v>79</v>
      </c>
      <c r="O956" t="s">
        <v>74</v>
      </c>
      <c r="P956" t="s">
        <v>74</v>
      </c>
      <c r="Q956" t="s">
        <v>74</v>
      </c>
      <c r="R956" t="s">
        <v>74</v>
      </c>
      <c r="S956" t="s">
        <v>74</v>
      </c>
      <c r="T956" t="s">
        <v>18274</v>
      </c>
      <c r="U956" t="s">
        <v>18275</v>
      </c>
      <c r="V956" t="s">
        <v>18276</v>
      </c>
      <c r="W956" t="s">
        <v>18277</v>
      </c>
      <c r="X956" t="s">
        <v>18278</v>
      </c>
      <c r="Y956" t="s">
        <v>18279</v>
      </c>
      <c r="Z956" t="s">
        <v>18280</v>
      </c>
      <c r="AA956" t="s">
        <v>18281</v>
      </c>
      <c r="AB956" t="s">
        <v>18282</v>
      </c>
      <c r="AC956" t="s">
        <v>18283</v>
      </c>
      <c r="AD956" t="s">
        <v>18283</v>
      </c>
      <c r="AE956" t="s">
        <v>18284</v>
      </c>
      <c r="AF956" t="s">
        <v>74</v>
      </c>
      <c r="AG956">
        <v>42</v>
      </c>
      <c r="AH956">
        <v>6</v>
      </c>
      <c r="AI956">
        <v>6</v>
      </c>
      <c r="AJ956">
        <v>0</v>
      </c>
      <c r="AK956">
        <v>23</v>
      </c>
      <c r="AL956" t="s">
        <v>372</v>
      </c>
      <c r="AM956" t="s">
        <v>92</v>
      </c>
      <c r="AN956" t="s">
        <v>373</v>
      </c>
      <c r="AO956" t="s">
        <v>374</v>
      </c>
      <c r="AP956" t="s">
        <v>375</v>
      </c>
      <c r="AQ956" t="s">
        <v>74</v>
      </c>
      <c r="AR956" t="s">
        <v>376</v>
      </c>
      <c r="AS956" t="s">
        <v>377</v>
      </c>
      <c r="AT956" t="s">
        <v>16620</v>
      </c>
      <c r="AU956">
        <v>2018</v>
      </c>
      <c r="AV956">
        <v>30</v>
      </c>
      <c r="AW956">
        <v>1</v>
      </c>
      <c r="AX956" t="s">
        <v>74</v>
      </c>
      <c r="AY956" t="s">
        <v>74</v>
      </c>
      <c r="AZ956" t="s">
        <v>74</v>
      </c>
      <c r="BA956" t="s">
        <v>74</v>
      </c>
      <c r="BB956">
        <v>3</v>
      </c>
      <c r="BC956">
        <v>12</v>
      </c>
      <c r="BD956" t="s">
        <v>74</v>
      </c>
      <c r="BE956" t="s">
        <v>18285</v>
      </c>
      <c r="BF956" t="str">
        <f>HYPERLINK("http://dx.doi.org/10.1017/S0954102017000347","http://dx.doi.org/10.1017/S0954102017000347")</f>
        <v>http://dx.doi.org/10.1017/S0954102017000347</v>
      </c>
      <c r="BG956" t="s">
        <v>74</v>
      </c>
      <c r="BH956" t="s">
        <v>74</v>
      </c>
      <c r="BI956">
        <v>10</v>
      </c>
      <c r="BJ956" t="s">
        <v>379</v>
      </c>
      <c r="BK956" t="s">
        <v>101</v>
      </c>
      <c r="BL956" t="s">
        <v>380</v>
      </c>
      <c r="BM956" t="s">
        <v>18286</v>
      </c>
      <c r="BN956" t="s">
        <v>74</v>
      </c>
      <c r="BO956" t="s">
        <v>288</v>
      </c>
      <c r="BP956" t="s">
        <v>74</v>
      </c>
      <c r="BQ956" t="s">
        <v>74</v>
      </c>
      <c r="BR956" t="s">
        <v>105</v>
      </c>
      <c r="BS956" t="s">
        <v>18287</v>
      </c>
      <c r="BT956" t="str">
        <f>HYPERLINK("https%3A%2F%2Fwww.webofscience.com%2Fwos%2Fwoscc%2Ffull-record%2FWOS:000424037400002","View Full Record in Web of Science")</f>
        <v>View Full Record in Web of Science</v>
      </c>
    </row>
    <row r="957" spans="1:72" x14ac:dyDescent="0.15">
      <c r="A957" t="s">
        <v>72</v>
      </c>
      <c r="B957" t="s">
        <v>18288</v>
      </c>
      <c r="C957" t="s">
        <v>74</v>
      </c>
      <c r="D957" t="s">
        <v>74</v>
      </c>
      <c r="E957" t="s">
        <v>74</v>
      </c>
      <c r="F957" t="s">
        <v>18289</v>
      </c>
      <c r="G957" t="s">
        <v>74</v>
      </c>
      <c r="H957" t="s">
        <v>74</v>
      </c>
      <c r="I957" t="s">
        <v>18290</v>
      </c>
      <c r="J957" t="s">
        <v>370</v>
      </c>
      <c r="K957" t="s">
        <v>74</v>
      </c>
      <c r="L957" t="s">
        <v>74</v>
      </c>
      <c r="M957" t="s">
        <v>78</v>
      </c>
      <c r="N957" t="s">
        <v>79</v>
      </c>
      <c r="O957" t="s">
        <v>74</v>
      </c>
      <c r="P957" t="s">
        <v>74</v>
      </c>
      <c r="Q957" t="s">
        <v>74</v>
      </c>
      <c r="R957" t="s">
        <v>74</v>
      </c>
      <c r="S957" t="s">
        <v>74</v>
      </c>
      <c r="T957" t="s">
        <v>18291</v>
      </c>
      <c r="U957" t="s">
        <v>18292</v>
      </c>
      <c r="V957" t="s">
        <v>18293</v>
      </c>
      <c r="W957" t="s">
        <v>18294</v>
      </c>
      <c r="X957" t="s">
        <v>18295</v>
      </c>
      <c r="Y957" t="s">
        <v>18296</v>
      </c>
      <c r="Z957" t="s">
        <v>18297</v>
      </c>
      <c r="AA957" t="s">
        <v>18298</v>
      </c>
      <c r="AB957" t="s">
        <v>18299</v>
      </c>
      <c r="AC957" t="s">
        <v>18300</v>
      </c>
      <c r="AD957" t="s">
        <v>18301</v>
      </c>
      <c r="AE957" t="s">
        <v>18302</v>
      </c>
      <c r="AF957" t="s">
        <v>74</v>
      </c>
      <c r="AG957">
        <v>36</v>
      </c>
      <c r="AH957">
        <v>11</v>
      </c>
      <c r="AI957">
        <v>11</v>
      </c>
      <c r="AJ957">
        <v>0</v>
      </c>
      <c r="AK957">
        <v>20</v>
      </c>
      <c r="AL957" t="s">
        <v>372</v>
      </c>
      <c r="AM957" t="s">
        <v>92</v>
      </c>
      <c r="AN957" t="s">
        <v>373</v>
      </c>
      <c r="AO957" t="s">
        <v>374</v>
      </c>
      <c r="AP957" t="s">
        <v>375</v>
      </c>
      <c r="AQ957" t="s">
        <v>74</v>
      </c>
      <c r="AR957" t="s">
        <v>376</v>
      </c>
      <c r="AS957" t="s">
        <v>377</v>
      </c>
      <c r="AT957" t="s">
        <v>16620</v>
      </c>
      <c r="AU957">
        <v>2018</v>
      </c>
      <c r="AV957">
        <v>30</v>
      </c>
      <c r="AW957">
        <v>1</v>
      </c>
      <c r="AX957" t="s">
        <v>74</v>
      </c>
      <c r="AY957" t="s">
        <v>74</v>
      </c>
      <c r="AZ957" t="s">
        <v>74</v>
      </c>
      <c r="BA957" t="s">
        <v>74</v>
      </c>
      <c r="BB957">
        <v>13</v>
      </c>
      <c r="BC957">
        <v>21</v>
      </c>
      <c r="BD957" t="s">
        <v>74</v>
      </c>
      <c r="BE957" t="s">
        <v>18303</v>
      </c>
      <c r="BF957" t="str">
        <f>HYPERLINK("http://dx.doi.org/10.1017/S0954102017000360","http://dx.doi.org/10.1017/S0954102017000360")</f>
        <v>http://dx.doi.org/10.1017/S0954102017000360</v>
      </c>
      <c r="BG957" t="s">
        <v>74</v>
      </c>
      <c r="BH957" t="s">
        <v>74</v>
      </c>
      <c r="BI957">
        <v>9</v>
      </c>
      <c r="BJ957" t="s">
        <v>379</v>
      </c>
      <c r="BK957" t="s">
        <v>101</v>
      </c>
      <c r="BL957" t="s">
        <v>380</v>
      </c>
      <c r="BM957" t="s">
        <v>18286</v>
      </c>
      <c r="BN957" t="s">
        <v>74</v>
      </c>
      <c r="BO957" t="s">
        <v>74</v>
      </c>
      <c r="BP957" t="s">
        <v>74</v>
      </c>
      <c r="BQ957" t="s">
        <v>74</v>
      </c>
      <c r="BR957" t="s">
        <v>105</v>
      </c>
      <c r="BS957" t="s">
        <v>18304</v>
      </c>
      <c r="BT957" t="str">
        <f>HYPERLINK("https%3A%2F%2Fwww.webofscience.com%2Fwos%2Fwoscc%2Ffull-record%2FWOS:000424037400003","View Full Record in Web of Science")</f>
        <v>View Full Record in Web of Science</v>
      </c>
    </row>
    <row r="958" spans="1:72" x14ac:dyDescent="0.15">
      <c r="A958" t="s">
        <v>72</v>
      </c>
      <c r="B958" t="s">
        <v>18305</v>
      </c>
      <c r="C958" t="s">
        <v>74</v>
      </c>
      <c r="D958" t="s">
        <v>74</v>
      </c>
      <c r="E958" t="s">
        <v>74</v>
      </c>
      <c r="F958" t="s">
        <v>18306</v>
      </c>
      <c r="G958" t="s">
        <v>74</v>
      </c>
      <c r="H958" t="s">
        <v>74</v>
      </c>
      <c r="I958" t="s">
        <v>18307</v>
      </c>
      <c r="J958" t="s">
        <v>370</v>
      </c>
      <c r="K958" t="s">
        <v>74</v>
      </c>
      <c r="L958" t="s">
        <v>74</v>
      </c>
      <c r="M958" t="s">
        <v>78</v>
      </c>
      <c r="N958" t="s">
        <v>79</v>
      </c>
      <c r="O958" t="s">
        <v>74</v>
      </c>
      <c r="P958" t="s">
        <v>74</v>
      </c>
      <c r="Q958" t="s">
        <v>74</v>
      </c>
      <c r="R958" t="s">
        <v>74</v>
      </c>
      <c r="S958" t="s">
        <v>74</v>
      </c>
      <c r="T958" t="s">
        <v>18308</v>
      </c>
      <c r="U958" t="s">
        <v>18309</v>
      </c>
      <c r="V958" t="s">
        <v>18310</v>
      </c>
      <c r="W958" t="s">
        <v>18311</v>
      </c>
      <c r="X958" t="s">
        <v>18312</v>
      </c>
      <c r="Y958" t="s">
        <v>18313</v>
      </c>
      <c r="Z958" t="s">
        <v>18314</v>
      </c>
      <c r="AA958" t="s">
        <v>18315</v>
      </c>
      <c r="AB958" t="s">
        <v>18316</v>
      </c>
      <c r="AC958" t="s">
        <v>18317</v>
      </c>
      <c r="AD958" t="s">
        <v>18318</v>
      </c>
      <c r="AE958" t="s">
        <v>18319</v>
      </c>
      <c r="AF958" t="s">
        <v>74</v>
      </c>
      <c r="AG958">
        <v>25</v>
      </c>
      <c r="AH958">
        <v>3</v>
      </c>
      <c r="AI958">
        <v>3</v>
      </c>
      <c r="AJ958">
        <v>0</v>
      </c>
      <c r="AK958">
        <v>14</v>
      </c>
      <c r="AL958" t="s">
        <v>372</v>
      </c>
      <c r="AM958" t="s">
        <v>92</v>
      </c>
      <c r="AN958" t="s">
        <v>373</v>
      </c>
      <c r="AO958" t="s">
        <v>374</v>
      </c>
      <c r="AP958" t="s">
        <v>375</v>
      </c>
      <c r="AQ958" t="s">
        <v>74</v>
      </c>
      <c r="AR958" t="s">
        <v>376</v>
      </c>
      <c r="AS958" t="s">
        <v>377</v>
      </c>
      <c r="AT958" t="s">
        <v>16620</v>
      </c>
      <c r="AU958">
        <v>2018</v>
      </c>
      <c r="AV958">
        <v>30</v>
      </c>
      <c r="AW958">
        <v>1</v>
      </c>
      <c r="AX958" t="s">
        <v>74</v>
      </c>
      <c r="AY958" t="s">
        <v>74</v>
      </c>
      <c r="AZ958" t="s">
        <v>74</v>
      </c>
      <c r="BA958" t="s">
        <v>74</v>
      </c>
      <c r="BB958">
        <v>22</v>
      </c>
      <c r="BC958">
        <v>28</v>
      </c>
      <c r="BD958" t="s">
        <v>74</v>
      </c>
      <c r="BE958" t="s">
        <v>18320</v>
      </c>
      <c r="BF958" t="str">
        <f>HYPERLINK("http://dx.doi.org/10.1017/S0954102017000414","http://dx.doi.org/10.1017/S0954102017000414")</f>
        <v>http://dx.doi.org/10.1017/S0954102017000414</v>
      </c>
      <c r="BG958" t="s">
        <v>74</v>
      </c>
      <c r="BH958" t="s">
        <v>74</v>
      </c>
      <c r="BI958">
        <v>7</v>
      </c>
      <c r="BJ958" t="s">
        <v>379</v>
      </c>
      <c r="BK958" t="s">
        <v>101</v>
      </c>
      <c r="BL958" t="s">
        <v>380</v>
      </c>
      <c r="BM958" t="s">
        <v>18286</v>
      </c>
      <c r="BN958" t="s">
        <v>74</v>
      </c>
      <c r="BO958" t="s">
        <v>74</v>
      </c>
      <c r="BP958" t="s">
        <v>74</v>
      </c>
      <c r="BQ958" t="s">
        <v>74</v>
      </c>
      <c r="BR958" t="s">
        <v>105</v>
      </c>
      <c r="BS958" t="s">
        <v>18321</v>
      </c>
      <c r="BT958" t="str">
        <f>HYPERLINK("https%3A%2F%2Fwww.webofscience.com%2Fwos%2Fwoscc%2Ffull-record%2FWOS:000424037400004","View Full Record in Web of Science")</f>
        <v>View Full Record in Web of Science</v>
      </c>
    </row>
    <row r="959" spans="1:72" x14ac:dyDescent="0.15">
      <c r="A959" t="s">
        <v>72</v>
      </c>
      <c r="B959" t="s">
        <v>18322</v>
      </c>
      <c r="C959" t="s">
        <v>74</v>
      </c>
      <c r="D959" t="s">
        <v>74</v>
      </c>
      <c r="E959" t="s">
        <v>74</v>
      </c>
      <c r="F959" t="s">
        <v>18323</v>
      </c>
      <c r="G959" t="s">
        <v>74</v>
      </c>
      <c r="H959" t="s">
        <v>74</v>
      </c>
      <c r="I959" t="s">
        <v>18324</v>
      </c>
      <c r="J959" t="s">
        <v>370</v>
      </c>
      <c r="K959" t="s">
        <v>74</v>
      </c>
      <c r="L959" t="s">
        <v>74</v>
      </c>
      <c r="M959" t="s">
        <v>78</v>
      </c>
      <c r="N959" t="s">
        <v>79</v>
      </c>
      <c r="O959" t="s">
        <v>74</v>
      </c>
      <c r="P959" t="s">
        <v>74</v>
      </c>
      <c r="Q959" t="s">
        <v>74</v>
      </c>
      <c r="R959" t="s">
        <v>74</v>
      </c>
      <c r="S959" t="s">
        <v>74</v>
      </c>
      <c r="T959" t="s">
        <v>18325</v>
      </c>
      <c r="U959" t="s">
        <v>18326</v>
      </c>
      <c r="V959" t="s">
        <v>18327</v>
      </c>
      <c r="W959" t="s">
        <v>18328</v>
      </c>
      <c r="X959" t="s">
        <v>18329</v>
      </c>
      <c r="Y959" t="s">
        <v>18330</v>
      </c>
      <c r="Z959" t="s">
        <v>18331</v>
      </c>
      <c r="AA959" t="s">
        <v>18332</v>
      </c>
      <c r="AB959" t="s">
        <v>18333</v>
      </c>
      <c r="AC959" t="s">
        <v>18334</v>
      </c>
      <c r="AD959" t="s">
        <v>18335</v>
      </c>
      <c r="AE959" t="s">
        <v>18336</v>
      </c>
      <c r="AF959" t="s">
        <v>74</v>
      </c>
      <c r="AG959">
        <v>38</v>
      </c>
      <c r="AH959">
        <v>8</v>
      </c>
      <c r="AI959">
        <v>8</v>
      </c>
      <c r="AJ959">
        <v>0</v>
      </c>
      <c r="AK959">
        <v>7</v>
      </c>
      <c r="AL959" t="s">
        <v>372</v>
      </c>
      <c r="AM959" t="s">
        <v>92</v>
      </c>
      <c r="AN959" t="s">
        <v>373</v>
      </c>
      <c r="AO959" t="s">
        <v>374</v>
      </c>
      <c r="AP959" t="s">
        <v>375</v>
      </c>
      <c r="AQ959" t="s">
        <v>74</v>
      </c>
      <c r="AR959" t="s">
        <v>376</v>
      </c>
      <c r="AS959" t="s">
        <v>377</v>
      </c>
      <c r="AT959" t="s">
        <v>16620</v>
      </c>
      <c r="AU959">
        <v>2018</v>
      </c>
      <c r="AV959">
        <v>30</v>
      </c>
      <c r="AW959">
        <v>1</v>
      </c>
      <c r="AX959" t="s">
        <v>74</v>
      </c>
      <c r="AY959" t="s">
        <v>74</v>
      </c>
      <c r="AZ959" t="s">
        <v>74</v>
      </c>
      <c r="BA959" t="s">
        <v>74</v>
      </c>
      <c r="BB959">
        <v>29</v>
      </c>
      <c r="BC959">
        <v>43</v>
      </c>
      <c r="BD959" t="s">
        <v>74</v>
      </c>
      <c r="BE959" t="s">
        <v>18337</v>
      </c>
      <c r="BF959" t="str">
        <f>HYPERLINK("http://dx.doi.org/10.1017/S0954102017000396","http://dx.doi.org/10.1017/S0954102017000396")</f>
        <v>http://dx.doi.org/10.1017/S0954102017000396</v>
      </c>
      <c r="BG959" t="s">
        <v>74</v>
      </c>
      <c r="BH959" t="s">
        <v>74</v>
      </c>
      <c r="BI959">
        <v>15</v>
      </c>
      <c r="BJ959" t="s">
        <v>379</v>
      </c>
      <c r="BK959" t="s">
        <v>101</v>
      </c>
      <c r="BL959" t="s">
        <v>380</v>
      </c>
      <c r="BM959" t="s">
        <v>18286</v>
      </c>
      <c r="BN959" t="s">
        <v>74</v>
      </c>
      <c r="BO959" t="s">
        <v>4840</v>
      </c>
      <c r="BP959" t="s">
        <v>74</v>
      </c>
      <c r="BQ959" t="s">
        <v>74</v>
      </c>
      <c r="BR959" t="s">
        <v>105</v>
      </c>
      <c r="BS959" t="s">
        <v>18338</v>
      </c>
      <c r="BT959" t="str">
        <f>HYPERLINK("https%3A%2F%2Fwww.webofscience.com%2Fwos%2Fwoscc%2Ffull-record%2FWOS:000424037400005","View Full Record in Web of Science")</f>
        <v>View Full Record in Web of Science</v>
      </c>
    </row>
    <row r="960" spans="1:72" x14ac:dyDescent="0.15">
      <c r="A960" t="s">
        <v>72</v>
      </c>
      <c r="B960" t="s">
        <v>996</v>
      </c>
      <c r="C960" t="s">
        <v>74</v>
      </c>
      <c r="D960" t="s">
        <v>74</v>
      </c>
      <c r="E960" t="s">
        <v>74</v>
      </c>
      <c r="F960" t="s">
        <v>997</v>
      </c>
      <c r="G960" t="s">
        <v>74</v>
      </c>
      <c r="H960" t="s">
        <v>74</v>
      </c>
      <c r="I960" t="s">
        <v>18339</v>
      </c>
      <c r="J960" t="s">
        <v>370</v>
      </c>
      <c r="K960" t="s">
        <v>74</v>
      </c>
      <c r="L960" t="s">
        <v>74</v>
      </c>
      <c r="M960" t="s">
        <v>78</v>
      </c>
      <c r="N960" t="s">
        <v>79</v>
      </c>
      <c r="O960" t="s">
        <v>74</v>
      </c>
      <c r="P960" t="s">
        <v>74</v>
      </c>
      <c r="Q960" t="s">
        <v>74</v>
      </c>
      <c r="R960" t="s">
        <v>74</v>
      </c>
      <c r="S960" t="s">
        <v>74</v>
      </c>
      <c r="T960" t="s">
        <v>18340</v>
      </c>
      <c r="U960" t="s">
        <v>18341</v>
      </c>
      <c r="V960" t="s">
        <v>18342</v>
      </c>
      <c r="W960" t="s">
        <v>18343</v>
      </c>
      <c r="X960" t="s">
        <v>18344</v>
      </c>
      <c r="Y960" t="s">
        <v>18345</v>
      </c>
      <c r="Z960" t="s">
        <v>18346</v>
      </c>
      <c r="AA960" t="s">
        <v>18347</v>
      </c>
      <c r="AB960" t="s">
        <v>18348</v>
      </c>
      <c r="AC960" t="s">
        <v>18349</v>
      </c>
      <c r="AD960" t="s">
        <v>18350</v>
      </c>
      <c r="AE960" t="s">
        <v>18351</v>
      </c>
      <c r="AF960" t="s">
        <v>74</v>
      </c>
      <c r="AG960">
        <v>38</v>
      </c>
      <c r="AH960">
        <v>9</v>
      </c>
      <c r="AI960">
        <v>9</v>
      </c>
      <c r="AJ960">
        <v>0</v>
      </c>
      <c r="AK960">
        <v>7</v>
      </c>
      <c r="AL960" t="s">
        <v>372</v>
      </c>
      <c r="AM960" t="s">
        <v>92</v>
      </c>
      <c r="AN960" t="s">
        <v>373</v>
      </c>
      <c r="AO960" t="s">
        <v>374</v>
      </c>
      <c r="AP960" t="s">
        <v>375</v>
      </c>
      <c r="AQ960" t="s">
        <v>74</v>
      </c>
      <c r="AR960" t="s">
        <v>376</v>
      </c>
      <c r="AS960" t="s">
        <v>377</v>
      </c>
      <c r="AT960" t="s">
        <v>16620</v>
      </c>
      <c r="AU960">
        <v>2018</v>
      </c>
      <c r="AV960">
        <v>30</v>
      </c>
      <c r="AW960">
        <v>1</v>
      </c>
      <c r="AX960" t="s">
        <v>74</v>
      </c>
      <c r="AY960" t="s">
        <v>74</v>
      </c>
      <c r="AZ960" t="s">
        <v>74</v>
      </c>
      <c r="BA960" t="s">
        <v>74</v>
      </c>
      <c r="BB960">
        <v>44</v>
      </c>
      <c r="BC960">
        <v>65</v>
      </c>
      <c r="BD960" t="s">
        <v>74</v>
      </c>
      <c r="BE960" t="s">
        <v>18352</v>
      </c>
      <c r="BF960" t="str">
        <f>HYPERLINK("http://dx.doi.org/10.1017/S0954102017000451","http://dx.doi.org/10.1017/S0954102017000451")</f>
        <v>http://dx.doi.org/10.1017/S0954102017000451</v>
      </c>
      <c r="BG960" t="s">
        <v>74</v>
      </c>
      <c r="BH960" t="s">
        <v>74</v>
      </c>
      <c r="BI960">
        <v>22</v>
      </c>
      <c r="BJ960" t="s">
        <v>379</v>
      </c>
      <c r="BK960" t="s">
        <v>101</v>
      </c>
      <c r="BL960" t="s">
        <v>380</v>
      </c>
      <c r="BM960" t="s">
        <v>18286</v>
      </c>
      <c r="BN960" t="s">
        <v>74</v>
      </c>
      <c r="BO960" t="s">
        <v>74</v>
      </c>
      <c r="BP960" t="s">
        <v>74</v>
      </c>
      <c r="BQ960" t="s">
        <v>74</v>
      </c>
      <c r="BR960" t="s">
        <v>105</v>
      </c>
      <c r="BS960" t="s">
        <v>18353</v>
      </c>
      <c r="BT960" t="str">
        <f>HYPERLINK("https%3A%2F%2Fwww.webofscience.com%2Fwos%2Fwoscc%2Ffull-record%2FWOS:000424037400006","View Full Record in Web of Science")</f>
        <v>View Full Record in Web of Science</v>
      </c>
    </row>
    <row r="961" spans="1:72" x14ac:dyDescent="0.15">
      <c r="A961" t="s">
        <v>72</v>
      </c>
      <c r="B961" t="s">
        <v>18354</v>
      </c>
      <c r="C961" t="s">
        <v>74</v>
      </c>
      <c r="D961" t="s">
        <v>74</v>
      </c>
      <c r="E961" t="s">
        <v>74</v>
      </c>
      <c r="F961" t="s">
        <v>18355</v>
      </c>
      <c r="G961" t="s">
        <v>74</v>
      </c>
      <c r="H961" t="s">
        <v>74</v>
      </c>
      <c r="I961" t="s">
        <v>18356</v>
      </c>
      <c r="J961" t="s">
        <v>370</v>
      </c>
      <c r="K961" t="s">
        <v>74</v>
      </c>
      <c r="L961" t="s">
        <v>74</v>
      </c>
      <c r="M961" t="s">
        <v>78</v>
      </c>
      <c r="N961" t="s">
        <v>79</v>
      </c>
      <c r="O961" t="s">
        <v>74</v>
      </c>
      <c r="P961" t="s">
        <v>74</v>
      </c>
      <c r="Q961" t="s">
        <v>74</v>
      </c>
      <c r="R961" t="s">
        <v>74</v>
      </c>
      <c r="S961" t="s">
        <v>74</v>
      </c>
      <c r="T961" t="s">
        <v>18357</v>
      </c>
      <c r="U961" t="s">
        <v>18358</v>
      </c>
      <c r="V961" t="s">
        <v>18359</v>
      </c>
      <c r="W961" t="s">
        <v>18360</v>
      </c>
      <c r="X961" t="s">
        <v>18361</v>
      </c>
      <c r="Y961" t="s">
        <v>18362</v>
      </c>
      <c r="Z961" t="s">
        <v>18363</v>
      </c>
      <c r="AA961" t="s">
        <v>18364</v>
      </c>
      <c r="AB961" t="s">
        <v>18365</v>
      </c>
      <c r="AC961" t="s">
        <v>18366</v>
      </c>
      <c r="AD961" t="s">
        <v>18367</v>
      </c>
      <c r="AE961" t="s">
        <v>18368</v>
      </c>
      <c r="AF961" t="s">
        <v>74</v>
      </c>
      <c r="AG961">
        <v>44</v>
      </c>
      <c r="AH961">
        <v>1</v>
      </c>
      <c r="AI961">
        <v>1</v>
      </c>
      <c r="AJ961">
        <v>0</v>
      </c>
      <c r="AK961">
        <v>10</v>
      </c>
      <c r="AL961" t="s">
        <v>372</v>
      </c>
      <c r="AM961" t="s">
        <v>92</v>
      </c>
      <c r="AN961" t="s">
        <v>373</v>
      </c>
      <c r="AO961" t="s">
        <v>374</v>
      </c>
      <c r="AP961" t="s">
        <v>375</v>
      </c>
      <c r="AQ961" t="s">
        <v>74</v>
      </c>
      <c r="AR961" t="s">
        <v>376</v>
      </c>
      <c r="AS961" t="s">
        <v>377</v>
      </c>
      <c r="AT961" t="s">
        <v>16620</v>
      </c>
      <c r="AU961">
        <v>2018</v>
      </c>
      <c r="AV961">
        <v>30</v>
      </c>
      <c r="AW961">
        <v>1</v>
      </c>
      <c r="AX961" t="s">
        <v>74</v>
      </c>
      <c r="AY961" t="s">
        <v>74</v>
      </c>
      <c r="AZ961" t="s">
        <v>74</v>
      </c>
      <c r="BA961" t="s">
        <v>74</v>
      </c>
      <c r="BB961">
        <v>66</v>
      </c>
      <c r="BC961">
        <v>77</v>
      </c>
      <c r="BD961" t="s">
        <v>74</v>
      </c>
      <c r="BE961" t="s">
        <v>18369</v>
      </c>
      <c r="BF961" t="str">
        <f>HYPERLINK("http://dx.doi.org/10.1017/S0954102017000402","http://dx.doi.org/10.1017/S0954102017000402")</f>
        <v>http://dx.doi.org/10.1017/S0954102017000402</v>
      </c>
      <c r="BG961" t="s">
        <v>74</v>
      </c>
      <c r="BH961" t="s">
        <v>74</v>
      </c>
      <c r="BI961">
        <v>12</v>
      </c>
      <c r="BJ961" t="s">
        <v>379</v>
      </c>
      <c r="BK961" t="s">
        <v>101</v>
      </c>
      <c r="BL961" t="s">
        <v>380</v>
      </c>
      <c r="BM961" t="s">
        <v>18286</v>
      </c>
      <c r="BN961">
        <v>32818010</v>
      </c>
      <c r="BO961" t="s">
        <v>1085</v>
      </c>
      <c r="BP961" t="s">
        <v>74</v>
      </c>
      <c r="BQ961" t="s">
        <v>74</v>
      </c>
      <c r="BR961" t="s">
        <v>105</v>
      </c>
      <c r="BS961" t="s">
        <v>18370</v>
      </c>
      <c r="BT961" t="str">
        <f>HYPERLINK("https%3A%2F%2Fwww.webofscience.com%2Fwos%2Fwoscc%2Ffull-record%2FWOS:000424037400007","View Full Record in Web of Science")</f>
        <v>View Full Record in Web of Science</v>
      </c>
    </row>
    <row r="962" spans="1:72" x14ac:dyDescent="0.15">
      <c r="A962" t="s">
        <v>72</v>
      </c>
      <c r="B962" t="s">
        <v>18371</v>
      </c>
      <c r="C962" t="s">
        <v>74</v>
      </c>
      <c r="D962" t="s">
        <v>74</v>
      </c>
      <c r="E962" t="s">
        <v>74</v>
      </c>
      <c r="F962" t="s">
        <v>18372</v>
      </c>
      <c r="G962" t="s">
        <v>74</v>
      </c>
      <c r="H962" t="s">
        <v>74</v>
      </c>
      <c r="I962" t="s">
        <v>18373</v>
      </c>
      <c r="J962" t="s">
        <v>3352</v>
      </c>
      <c r="K962" t="s">
        <v>74</v>
      </c>
      <c r="L962" t="s">
        <v>74</v>
      </c>
      <c r="M962" t="s">
        <v>78</v>
      </c>
      <c r="N962" t="s">
        <v>79</v>
      </c>
      <c r="O962" t="s">
        <v>74</v>
      </c>
      <c r="P962" t="s">
        <v>74</v>
      </c>
      <c r="Q962" t="s">
        <v>74</v>
      </c>
      <c r="R962" t="s">
        <v>74</v>
      </c>
      <c r="S962" t="s">
        <v>74</v>
      </c>
      <c r="T962" t="s">
        <v>18374</v>
      </c>
      <c r="U962" t="s">
        <v>18375</v>
      </c>
      <c r="V962" t="s">
        <v>18376</v>
      </c>
      <c r="W962" t="s">
        <v>18377</v>
      </c>
      <c r="X962" t="s">
        <v>18378</v>
      </c>
      <c r="Y962" t="s">
        <v>18379</v>
      </c>
      <c r="Z962" t="s">
        <v>18380</v>
      </c>
      <c r="AA962" t="s">
        <v>18381</v>
      </c>
      <c r="AB962" t="s">
        <v>18382</v>
      </c>
      <c r="AC962" t="s">
        <v>18383</v>
      </c>
      <c r="AD962" t="s">
        <v>18384</v>
      </c>
      <c r="AE962" t="s">
        <v>18385</v>
      </c>
      <c r="AF962" t="s">
        <v>74</v>
      </c>
      <c r="AG962">
        <v>36</v>
      </c>
      <c r="AH962">
        <v>7</v>
      </c>
      <c r="AI962">
        <v>11</v>
      </c>
      <c r="AJ962">
        <v>1</v>
      </c>
      <c r="AK962">
        <v>27</v>
      </c>
      <c r="AL962" t="s">
        <v>425</v>
      </c>
      <c r="AM962" t="s">
        <v>278</v>
      </c>
      <c r="AN962" t="s">
        <v>426</v>
      </c>
      <c r="AO962" t="s">
        <v>3365</v>
      </c>
      <c r="AP962" t="s">
        <v>3366</v>
      </c>
      <c r="AQ962" t="s">
        <v>74</v>
      </c>
      <c r="AR962" t="s">
        <v>3367</v>
      </c>
      <c r="AS962" t="s">
        <v>3368</v>
      </c>
      <c r="AT962" t="s">
        <v>16620</v>
      </c>
      <c r="AU962">
        <v>2018</v>
      </c>
      <c r="AV962">
        <v>80</v>
      </c>
      <c r="AW962" t="s">
        <v>74</v>
      </c>
      <c r="AX962" t="s">
        <v>74</v>
      </c>
      <c r="AY962" t="s">
        <v>74</v>
      </c>
      <c r="AZ962" t="s">
        <v>74</v>
      </c>
      <c r="BA962" t="s">
        <v>74</v>
      </c>
      <c r="BB962">
        <v>38</v>
      </c>
      <c r="BC962">
        <v>43</v>
      </c>
      <c r="BD962" t="s">
        <v>74</v>
      </c>
      <c r="BE962" t="s">
        <v>18386</v>
      </c>
      <c r="BF962" t="str">
        <f>HYPERLINK("http://dx.doi.org/10.1016/j.envsci.2017.11.012","http://dx.doi.org/10.1016/j.envsci.2017.11.012")</f>
        <v>http://dx.doi.org/10.1016/j.envsci.2017.11.012</v>
      </c>
      <c r="BG962" t="s">
        <v>74</v>
      </c>
      <c r="BH962" t="s">
        <v>74</v>
      </c>
      <c r="BI962">
        <v>6</v>
      </c>
      <c r="BJ962" t="s">
        <v>921</v>
      </c>
      <c r="BK962" t="s">
        <v>484</v>
      </c>
      <c r="BL962" t="s">
        <v>315</v>
      </c>
      <c r="BM962" t="s">
        <v>18387</v>
      </c>
      <c r="BN962" t="s">
        <v>74</v>
      </c>
      <c r="BO962" t="s">
        <v>74</v>
      </c>
      <c r="BP962" t="s">
        <v>74</v>
      </c>
      <c r="BQ962" t="s">
        <v>74</v>
      </c>
      <c r="BR962" t="s">
        <v>105</v>
      </c>
      <c r="BS962" t="s">
        <v>18388</v>
      </c>
      <c r="BT962" t="str">
        <f>HYPERLINK("https%3A%2F%2Fwww.webofscience.com%2Fwos%2Fwoscc%2Ffull-record%2FWOS:000423638900005","View Full Record in Web of Science")</f>
        <v>View Full Record in Web of Science</v>
      </c>
    </row>
    <row r="963" spans="1:72" x14ac:dyDescent="0.15">
      <c r="A963" t="s">
        <v>72</v>
      </c>
      <c r="B963" t="s">
        <v>18389</v>
      </c>
      <c r="C963" t="s">
        <v>74</v>
      </c>
      <c r="D963" t="s">
        <v>74</v>
      </c>
      <c r="E963" t="s">
        <v>74</v>
      </c>
      <c r="F963" t="s">
        <v>18390</v>
      </c>
      <c r="G963" t="s">
        <v>74</v>
      </c>
      <c r="H963" t="s">
        <v>74</v>
      </c>
      <c r="I963" t="s">
        <v>18391</v>
      </c>
      <c r="J963" t="s">
        <v>4571</v>
      </c>
      <c r="K963" t="s">
        <v>74</v>
      </c>
      <c r="L963" t="s">
        <v>74</v>
      </c>
      <c r="M963" t="s">
        <v>78</v>
      </c>
      <c r="N963" t="s">
        <v>79</v>
      </c>
      <c r="O963" t="s">
        <v>74</v>
      </c>
      <c r="P963" t="s">
        <v>74</v>
      </c>
      <c r="Q963" t="s">
        <v>74</v>
      </c>
      <c r="R963" t="s">
        <v>74</v>
      </c>
      <c r="S963" t="s">
        <v>74</v>
      </c>
      <c r="T963" t="s">
        <v>74</v>
      </c>
      <c r="U963" t="s">
        <v>18392</v>
      </c>
      <c r="V963" t="s">
        <v>18393</v>
      </c>
      <c r="W963" t="s">
        <v>18394</v>
      </c>
      <c r="X963" t="s">
        <v>18395</v>
      </c>
      <c r="Y963" t="s">
        <v>18396</v>
      </c>
      <c r="Z963" t="s">
        <v>18397</v>
      </c>
      <c r="AA963" t="s">
        <v>18398</v>
      </c>
      <c r="AB963" t="s">
        <v>18399</v>
      </c>
      <c r="AC963" t="s">
        <v>18400</v>
      </c>
      <c r="AD963" t="s">
        <v>18401</v>
      </c>
      <c r="AE963" t="s">
        <v>18402</v>
      </c>
      <c r="AF963" t="s">
        <v>74</v>
      </c>
      <c r="AG963">
        <v>134</v>
      </c>
      <c r="AH963">
        <v>8</v>
      </c>
      <c r="AI963">
        <v>8</v>
      </c>
      <c r="AJ963">
        <v>0</v>
      </c>
      <c r="AK963">
        <v>11</v>
      </c>
      <c r="AL963" t="s">
        <v>179</v>
      </c>
      <c r="AM963" t="s">
        <v>180</v>
      </c>
      <c r="AN963" t="s">
        <v>181</v>
      </c>
      <c r="AO963" t="s">
        <v>4582</v>
      </c>
      <c r="AP963" t="s">
        <v>4583</v>
      </c>
      <c r="AQ963" t="s">
        <v>74</v>
      </c>
      <c r="AR963" t="s">
        <v>4584</v>
      </c>
      <c r="AS963" t="s">
        <v>4585</v>
      </c>
      <c r="AT963" t="s">
        <v>16620</v>
      </c>
      <c r="AU963">
        <v>2018</v>
      </c>
      <c r="AV963">
        <v>53</v>
      </c>
      <c r="AW963">
        <v>2</v>
      </c>
      <c r="AX963" t="s">
        <v>74</v>
      </c>
      <c r="AY963" t="s">
        <v>74</v>
      </c>
      <c r="AZ963" t="s">
        <v>74</v>
      </c>
      <c r="BA963" t="s">
        <v>74</v>
      </c>
      <c r="BB963">
        <v>204</v>
      </c>
      <c r="BC963">
        <v>231</v>
      </c>
      <c r="BD963" t="s">
        <v>74</v>
      </c>
      <c r="BE963" t="s">
        <v>18403</v>
      </c>
      <c r="BF963" t="str">
        <f>HYPERLINK("http://dx.doi.org/10.1111/maps.12994","http://dx.doi.org/10.1111/maps.12994")</f>
        <v>http://dx.doi.org/10.1111/maps.12994</v>
      </c>
      <c r="BG963" t="s">
        <v>74</v>
      </c>
      <c r="BH963" t="s">
        <v>74</v>
      </c>
      <c r="BI963">
        <v>28</v>
      </c>
      <c r="BJ963" t="s">
        <v>260</v>
      </c>
      <c r="BK963" t="s">
        <v>101</v>
      </c>
      <c r="BL963" t="s">
        <v>260</v>
      </c>
      <c r="BM963" t="s">
        <v>18404</v>
      </c>
      <c r="BN963" t="s">
        <v>74</v>
      </c>
      <c r="BO963" t="s">
        <v>162</v>
      </c>
      <c r="BP963" t="s">
        <v>74</v>
      </c>
      <c r="BQ963" t="s">
        <v>74</v>
      </c>
      <c r="BR963" t="s">
        <v>105</v>
      </c>
      <c r="BS963" t="s">
        <v>18405</v>
      </c>
      <c r="BT963" t="str">
        <f>HYPERLINK("https%3A%2F%2Fwww.webofscience.com%2Fwos%2Fwoscc%2Ffull-record%2FWOS:000423852400004","View Full Record in Web of Science")</f>
        <v>View Full Record in Web of Science</v>
      </c>
    </row>
    <row r="964" spans="1:72" x14ac:dyDescent="0.15">
      <c r="A964" t="s">
        <v>72</v>
      </c>
      <c r="B964" t="s">
        <v>18406</v>
      </c>
      <c r="C964" t="s">
        <v>74</v>
      </c>
      <c r="D964" t="s">
        <v>74</v>
      </c>
      <c r="E964" t="s">
        <v>74</v>
      </c>
      <c r="F964" t="s">
        <v>18407</v>
      </c>
      <c r="G964" t="s">
        <v>74</v>
      </c>
      <c r="H964" t="s">
        <v>74</v>
      </c>
      <c r="I964" t="s">
        <v>18408</v>
      </c>
      <c r="J964" t="s">
        <v>4571</v>
      </c>
      <c r="K964" t="s">
        <v>74</v>
      </c>
      <c r="L964" t="s">
        <v>74</v>
      </c>
      <c r="M964" t="s">
        <v>78</v>
      </c>
      <c r="N964" t="s">
        <v>79</v>
      </c>
      <c r="O964" t="s">
        <v>74</v>
      </c>
      <c r="P964" t="s">
        <v>74</v>
      </c>
      <c r="Q964" t="s">
        <v>74</v>
      </c>
      <c r="R964" t="s">
        <v>74</v>
      </c>
      <c r="S964" t="s">
        <v>74</v>
      </c>
      <c r="T964" t="s">
        <v>74</v>
      </c>
      <c r="U964" t="s">
        <v>18409</v>
      </c>
      <c r="V964" t="s">
        <v>18410</v>
      </c>
      <c r="W964" t="s">
        <v>18411</v>
      </c>
      <c r="X964" t="s">
        <v>18412</v>
      </c>
      <c r="Y964" t="s">
        <v>18413</v>
      </c>
      <c r="Z964" t="s">
        <v>18414</v>
      </c>
      <c r="AA964" t="s">
        <v>74</v>
      </c>
      <c r="AB964" t="s">
        <v>74</v>
      </c>
      <c r="AC964" t="s">
        <v>18415</v>
      </c>
      <c r="AD964" t="s">
        <v>18416</v>
      </c>
      <c r="AE964" t="s">
        <v>18417</v>
      </c>
      <c r="AF964" t="s">
        <v>74</v>
      </c>
      <c r="AG964">
        <v>45</v>
      </c>
      <c r="AH964">
        <v>13</v>
      </c>
      <c r="AI964">
        <v>13</v>
      </c>
      <c r="AJ964">
        <v>0</v>
      </c>
      <c r="AK964">
        <v>2</v>
      </c>
      <c r="AL964" t="s">
        <v>179</v>
      </c>
      <c r="AM964" t="s">
        <v>180</v>
      </c>
      <c r="AN964" t="s">
        <v>181</v>
      </c>
      <c r="AO964" t="s">
        <v>4582</v>
      </c>
      <c r="AP964" t="s">
        <v>4583</v>
      </c>
      <c r="AQ964" t="s">
        <v>74</v>
      </c>
      <c r="AR964" t="s">
        <v>4584</v>
      </c>
      <c r="AS964" t="s">
        <v>4585</v>
      </c>
      <c r="AT964" t="s">
        <v>16620</v>
      </c>
      <c r="AU964">
        <v>2018</v>
      </c>
      <c r="AV964">
        <v>53</v>
      </c>
      <c r="AW964">
        <v>2</v>
      </c>
      <c r="AX964" t="s">
        <v>74</v>
      </c>
      <c r="AY964" t="s">
        <v>74</v>
      </c>
      <c r="AZ964" t="s">
        <v>74</v>
      </c>
      <c r="BA964" t="s">
        <v>74</v>
      </c>
      <c r="BB964">
        <v>232</v>
      </c>
      <c r="BC964">
        <v>248</v>
      </c>
      <c r="BD964" t="s">
        <v>74</v>
      </c>
      <c r="BE964" t="s">
        <v>18418</v>
      </c>
      <c r="BF964" t="str">
        <f>HYPERLINK("http://dx.doi.org/10.1111/maps.12996","http://dx.doi.org/10.1111/maps.12996")</f>
        <v>http://dx.doi.org/10.1111/maps.12996</v>
      </c>
      <c r="BG964" t="s">
        <v>74</v>
      </c>
      <c r="BH964" t="s">
        <v>74</v>
      </c>
      <c r="BI964">
        <v>17</v>
      </c>
      <c r="BJ964" t="s">
        <v>260</v>
      </c>
      <c r="BK964" t="s">
        <v>101</v>
      </c>
      <c r="BL964" t="s">
        <v>260</v>
      </c>
      <c r="BM964" t="s">
        <v>18404</v>
      </c>
      <c r="BN964" t="s">
        <v>74</v>
      </c>
      <c r="BO964" t="s">
        <v>162</v>
      </c>
      <c r="BP964" t="s">
        <v>74</v>
      </c>
      <c r="BQ964" t="s">
        <v>74</v>
      </c>
      <c r="BR964" t="s">
        <v>105</v>
      </c>
      <c r="BS964" t="s">
        <v>18419</v>
      </c>
      <c r="BT964" t="str">
        <f>HYPERLINK("https%3A%2F%2Fwww.webofscience.com%2Fwos%2Fwoscc%2Ffull-record%2FWOS:000423852400005","View Full Record in Web of Science")</f>
        <v>View Full Record in Web of Science</v>
      </c>
    </row>
    <row r="965" spans="1:72" x14ac:dyDescent="0.15">
      <c r="A965" t="s">
        <v>72</v>
      </c>
      <c r="B965" t="s">
        <v>18420</v>
      </c>
      <c r="C965" t="s">
        <v>74</v>
      </c>
      <c r="D965" t="s">
        <v>74</v>
      </c>
      <c r="E965" t="s">
        <v>74</v>
      </c>
      <c r="F965" t="s">
        <v>18421</v>
      </c>
      <c r="G965" t="s">
        <v>74</v>
      </c>
      <c r="H965" t="s">
        <v>74</v>
      </c>
      <c r="I965" t="s">
        <v>18422</v>
      </c>
      <c r="J965" t="s">
        <v>18423</v>
      </c>
      <c r="K965" t="s">
        <v>74</v>
      </c>
      <c r="L965" t="s">
        <v>74</v>
      </c>
      <c r="M965" t="s">
        <v>78</v>
      </c>
      <c r="N965" t="s">
        <v>4978</v>
      </c>
      <c r="O965" t="s">
        <v>74</v>
      </c>
      <c r="P965" t="s">
        <v>74</v>
      </c>
      <c r="Q965" t="s">
        <v>74</v>
      </c>
      <c r="R965" t="s">
        <v>74</v>
      </c>
      <c r="S965" t="s">
        <v>74</v>
      </c>
      <c r="T965" t="s">
        <v>74</v>
      </c>
      <c r="U965" t="s">
        <v>18424</v>
      </c>
      <c r="V965" t="s">
        <v>74</v>
      </c>
      <c r="W965" t="s">
        <v>18425</v>
      </c>
      <c r="X965" t="s">
        <v>18426</v>
      </c>
      <c r="Y965" t="s">
        <v>18427</v>
      </c>
      <c r="Z965" t="s">
        <v>9881</v>
      </c>
      <c r="AA965" t="s">
        <v>18428</v>
      </c>
      <c r="AB965" t="s">
        <v>18429</v>
      </c>
      <c r="AC965" t="s">
        <v>18430</v>
      </c>
      <c r="AD965" t="s">
        <v>14093</v>
      </c>
      <c r="AE965" t="s">
        <v>74</v>
      </c>
      <c r="AF965" t="s">
        <v>74</v>
      </c>
      <c r="AG965">
        <v>10</v>
      </c>
      <c r="AH965">
        <v>31</v>
      </c>
      <c r="AI965">
        <v>32</v>
      </c>
      <c r="AJ965">
        <v>0</v>
      </c>
      <c r="AK965">
        <v>15</v>
      </c>
      <c r="AL965" t="s">
        <v>1689</v>
      </c>
      <c r="AM965" t="s">
        <v>1540</v>
      </c>
      <c r="AN965" t="s">
        <v>1690</v>
      </c>
      <c r="AO965" t="s">
        <v>18431</v>
      </c>
      <c r="AP965" t="s">
        <v>18432</v>
      </c>
      <c r="AQ965" t="s">
        <v>74</v>
      </c>
      <c r="AR965" t="s">
        <v>18433</v>
      </c>
      <c r="AS965" t="s">
        <v>18434</v>
      </c>
      <c r="AT965" t="s">
        <v>16620</v>
      </c>
      <c r="AU965">
        <v>2018</v>
      </c>
      <c r="AV965">
        <v>14</v>
      </c>
      <c r="AW965">
        <v>2</v>
      </c>
      <c r="AX965" t="s">
        <v>74</v>
      </c>
      <c r="AY965" t="s">
        <v>74</v>
      </c>
      <c r="AZ965" t="s">
        <v>74</v>
      </c>
      <c r="BA965" t="s">
        <v>74</v>
      </c>
      <c r="BB965">
        <v>102</v>
      </c>
      <c r="BC965">
        <v>103</v>
      </c>
      <c r="BD965" t="s">
        <v>74</v>
      </c>
      <c r="BE965" t="s">
        <v>18435</v>
      </c>
      <c r="BF965" t="str">
        <f>HYPERLINK("http://dx.doi.org/10.1038/nphys4350","http://dx.doi.org/10.1038/nphys4350")</f>
        <v>http://dx.doi.org/10.1038/nphys4350</v>
      </c>
      <c r="BG965" t="s">
        <v>74</v>
      </c>
      <c r="BH965" t="s">
        <v>74</v>
      </c>
      <c r="BI965">
        <v>2</v>
      </c>
      <c r="BJ965" t="s">
        <v>18436</v>
      </c>
      <c r="BK965" t="s">
        <v>101</v>
      </c>
      <c r="BL965" t="s">
        <v>1521</v>
      </c>
      <c r="BM965" t="s">
        <v>18437</v>
      </c>
      <c r="BN965" t="s">
        <v>74</v>
      </c>
      <c r="BO965" t="s">
        <v>1421</v>
      </c>
      <c r="BP965" t="s">
        <v>74</v>
      </c>
      <c r="BQ965" t="s">
        <v>74</v>
      </c>
      <c r="BR965" t="s">
        <v>105</v>
      </c>
      <c r="BS965" t="s">
        <v>18438</v>
      </c>
      <c r="BT965" t="str">
        <f>HYPERLINK("https%3A%2F%2Fwww.webofscience.com%2Fwos%2Fwoscc%2Ffull-record%2FWOS:000423846600002","View Full Record in Web of Science")</f>
        <v>View Full Record in Web of Science</v>
      </c>
    </row>
    <row r="966" spans="1:72" x14ac:dyDescent="0.15">
      <c r="A966" t="s">
        <v>72</v>
      </c>
      <c r="B966" t="s">
        <v>18439</v>
      </c>
      <c r="C966" t="s">
        <v>74</v>
      </c>
      <c r="D966" t="s">
        <v>74</v>
      </c>
      <c r="E966" t="s">
        <v>74</v>
      </c>
      <c r="F966" t="s">
        <v>18440</v>
      </c>
      <c r="G966" t="s">
        <v>74</v>
      </c>
      <c r="H966" t="s">
        <v>74</v>
      </c>
      <c r="I966" t="s">
        <v>18441</v>
      </c>
      <c r="J966" t="s">
        <v>18442</v>
      </c>
      <c r="K966" t="s">
        <v>74</v>
      </c>
      <c r="L966" t="s">
        <v>74</v>
      </c>
      <c r="M966" t="s">
        <v>78</v>
      </c>
      <c r="N966" t="s">
        <v>79</v>
      </c>
      <c r="O966" t="s">
        <v>74</v>
      </c>
      <c r="P966" t="s">
        <v>74</v>
      </c>
      <c r="Q966" t="s">
        <v>74</v>
      </c>
      <c r="R966" t="s">
        <v>74</v>
      </c>
      <c r="S966" t="s">
        <v>74</v>
      </c>
      <c r="T966" t="s">
        <v>18443</v>
      </c>
      <c r="U966" t="s">
        <v>18444</v>
      </c>
      <c r="V966" t="s">
        <v>18445</v>
      </c>
      <c r="W966" t="s">
        <v>18446</v>
      </c>
      <c r="X966" t="s">
        <v>18447</v>
      </c>
      <c r="Y966" t="s">
        <v>18448</v>
      </c>
      <c r="Z966" t="s">
        <v>18449</v>
      </c>
      <c r="AA966" t="s">
        <v>18450</v>
      </c>
      <c r="AB966" t="s">
        <v>18451</v>
      </c>
      <c r="AC966" t="s">
        <v>18452</v>
      </c>
      <c r="AD966" t="s">
        <v>18453</v>
      </c>
      <c r="AE966" t="s">
        <v>18454</v>
      </c>
      <c r="AF966" t="s">
        <v>74</v>
      </c>
      <c r="AG966">
        <v>50</v>
      </c>
      <c r="AH966">
        <v>5</v>
      </c>
      <c r="AI966">
        <v>7</v>
      </c>
      <c r="AJ966">
        <v>0</v>
      </c>
      <c r="AK966">
        <v>16</v>
      </c>
      <c r="AL966" t="s">
        <v>18455</v>
      </c>
      <c r="AM966" t="s">
        <v>1664</v>
      </c>
      <c r="AN966" t="s">
        <v>18456</v>
      </c>
      <c r="AO966" t="s">
        <v>18457</v>
      </c>
      <c r="AP966" t="s">
        <v>18458</v>
      </c>
      <c r="AQ966" t="s">
        <v>74</v>
      </c>
      <c r="AR966" t="s">
        <v>18459</v>
      </c>
      <c r="AS966" t="s">
        <v>18460</v>
      </c>
      <c r="AT966" t="s">
        <v>16620</v>
      </c>
      <c r="AU966">
        <v>2018</v>
      </c>
      <c r="AV966">
        <v>61</v>
      </c>
      <c r="AW966">
        <v>1</v>
      </c>
      <c r="AX966" t="s">
        <v>74</v>
      </c>
      <c r="AY966" t="s">
        <v>74</v>
      </c>
      <c r="AZ966" t="s">
        <v>74</v>
      </c>
      <c r="BA966" t="s">
        <v>74</v>
      </c>
      <c r="BB966">
        <v>9</v>
      </c>
      <c r="BC966">
        <v>20</v>
      </c>
      <c r="BD966" t="s">
        <v>74</v>
      </c>
      <c r="BE966" t="s">
        <v>18461</v>
      </c>
      <c r="BF966" t="str">
        <f>HYPERLINK("http://dx.doi.org/10.1515/bot-2017-0049","http://dx.doi.org/10.1515/bot-2017-0049")</f>
        <v>http://dx.doi.org/10.1515/bot-2017-0049</v>
      </c>
      <c r="BG966" t="s">
        <v>74</v>
      </c>
      <c r="BH966" t="s">
        <v>74</v>
      </c>
      <c r="BI966">
        <v>12</v>
      </c>
      <c r="BJ966" t="s">
        <v>18064</v>
      </c>
      <c r="BK966" t="s">
        <v>101</v>
      </c>
      <c r="BL966" t="s">
        <v>18064</v>
      </c>
      <c r="BM966" t="s">
        <v>18462</v>
      </c>
      <c r="BN966" t="s">
        <v>74</v>
      </c>
      <c r="BO966" t="s">
        <v>1085</v>
      </c>
      <c r="BP966" t="s">
        <v>74</v>
      </c>
      <c r="BQ966" t="s">
        <v>74</v>
      </c>
      <c r="BR966" t="s">
        <v>105</v>
      </c>
      <c r="BS966" t="s">
        <v>18463</v>
      </c>
      <c r="BT966" t="str">
        <f>HYPERLINK("https%3A%2F%2Fwww.webofscience.com%2Fwos%2Fwoscc%2Ffull-record%2FWOS:000423679800002","View Full Record in Web of Science")</f>
        <v>View Full Record in Web of Science</v>
      </c>
    </row>
    <row r="967" spans="1:72" x14ac:dyDescent="0.15">
      <c r="A967" t="s">
        <v>72</v>
      </c>
      <c r="B967" t="s">
        <v>18464</v>
      </c>
      <c r="C967" t="s">
        <v>74</v>
      </c>
      <c r="D967" t="s">
        <v>74</v>
      </c>
      <c r="E967" t="s">
        <v>74</v>
      </c>
      <c r="F967" t="s">
        <v>18465</v>
      </c>
      <c r="G967" t="s">
        <v>74</v>
      </c>
      <c r="H967" t="s">
        <v>74</v>
      </c>
      <c r="I967" t="s">
        <v>18466</v>
      </c>
      <c r="J967" t="s">
        <v>18467</v>
      </c>
      <c r="K967" t="s">
        <v>74</v>
      </c>
      <c r="L967" t="s">
        <v>74</v>
      </c>
      <c r="M967" t="s">
        <v>78</v>
      </c>
      <c r="N967" t="s">
        <v>79</v>
      </c>
      <c r="O967" t="s">
        <v>74</v>
      </c>
      <c r="P967" t="s">
        <v>74</v>
      </c>
      <c r="Q967" t="s">
        <v>74</v>
      </c>
      <c r="R967" t="s">
        <v>74</v>
      </c>
      <c r="S967" t="s">
        <v>74</v>
      </c>
      <c r="T967" t="s">
        <v>18468</v>
      </c>
      <c r="U967" t="s">
        <v>18469</v>
      </c>
      <c r="V967" t="s">
        <v>18470</v>
      </c>
      <c r="W967" t="s">
        <v>18471</v>
      </c>
      <c r="X967" t="s">
        <v>18472</v>
      </c>
      <c r="Y967" t="s">
        <v>18473</v>
      </c>
      <c r="Z967" t="s">
        <v>18474</v>
      </c>
      <c r="AA967" t="s">
        <v>18475</v>
      </c>
      <c r="AB967" t="s">
        <v>18476</v>
      </c>
      <c r="AC967" t="s">
        <v>18477</v>
      </c>
      <c r="AD967" t="s">
        <v>18478</v>
      </c>
      <c r="AE967" t="s">
        <v>18479</v>
      </c>
      <c r="AF967" t="s">
        <v>74</v>
      </c>
      <c r="AG967">
        <v>65</v>
      </c>
      <c r="AH967">
        <v>6</v>
      </c>
      <c r="AI967">
        <v>6</v>
      </c>
      <c r="AJ967">
        <v>1</v>
      </c>
      <c r="AK967">
        <v>23</v>
      </c>
      <c r="AL967" t="s">
        <v>18480</v>
      </c>
      <c r="AM967" t="s">
        <v>628</v>
      </c>
      <c r="AN967" t="s">
        <v>18481</v>
      </c>
      <c r="AO967" t="s">
        <v>18482</v>
      </c>
      <c r="AP967" t="s">
        <v>18483</v>
      </c>
      <c r="AQ967" t="s">
        <v>74</v>
      </c>
      <c r="AR967" t="s">
        <v>18484</v>
      </c>
      <c r="AS967" t="s">
        <v>18485</v>
      </c>
      <c r="AT967" t="s">
        <v>16620</v>
      </c>
      <c r="AU967">
        <v>2018</v>
      </c>
      <c r="AV967">
        <v>65</v>
      </c>
      <c r="AW967">
        <v>1</v>
      </c>
      <c r="AX967" t="s">
        <v>74</v>
      </c>
      <c r="AY967" t="s">
        <v>74</v>
      </c>
      <c r="AZ967" t="s">
        <v>74</v>
      </c>
      <c r="BA967" t="s">
        <v>74</v>
      </c>
      <c r="BB967">
        <v>59</v>
      </c>
      <c r="BC967">
        <v>75</v>
      </c>
      <c r="BD967" t="s">
        <v>74</v>
      </c>
      <c r="BE967" t="s">
        <v>18486</v>
      </c>
      <c r="BF967" t="str">
        <f>HYPERLINK("http://dx.doi.org/10.1007/s00040-017-0588-1","http://dx.doi.org/10.1007/s00040-017-0588-1")</f>
        <v>http://dx.doi.org/10.1007/s00040-017-0588-1</v>
      </c>
      <c r="BG967" t="s">
        <v>74</v>
      </c>
      <c r="BH967" t="s">
        <v>74</v>
      </c>
      <c r="BI967">
        <v>17</v>
      </c>
      <c r="BJ967" t="s">
        <v>18487</v>
      </c>
      <c r="BK967" t="s">
        <v>101</v>
      </c>
      <c r="BL967" t="s">
        <v>18487</v>
      </c>
      <c r="BM967" t="s">
        <v>18488</v>
      </c>
      <c r="BN967" t="s">
        <v>74</v>
      </c>
      <c r="BO967" t="s">
        <v>1421</v>
      </c>
      <c r="BP967" t="s">
        <v>74</v>
      </c>
      <c r="BQ967" t="s">
        <v>74</v>
      </c>
      <c r="BR967" t="s">
        <v>105</v>
      </c>
      <c r="BS967" t="s">
        <v>18489</v>
      </c>
      <c r="BT967" t="str">
        <f>HYPERLINK("https%3A%2F%2Fwww.webofscience.com%2Fwos%2Fwoscc%2Ffull-record%2FWOS:000423831700007","View Full Record in Web of Science")</f>
        <v>View Full Record in Web of Science</v>
      </c>
    </row>
    <row r="968" spans="1:72" x14ac:dyDescent="0.15">
      <c r="A968" t="s">
        <v>72</v>
      </c>
      <c r="B968" t="s">
        <v>18490</v>
      </c>
      <c r="C968" t="s">
        <v>74</v>
      </c>
      <c r="D968" t="s">
        <v>74</v>
      </c>
      <c r="E968" t="s">
        <v>74</v>
      </c>
      <c r="F968" t="s">
        <v>18491</v>
      </c>
      <c r="G968" t="s">
        <v>74</v>
      </c>
      <c r="H968" t="s">
        <v>74</v>
      </c>
      <c r="I968" t="s">
        <v>18492</v>
      </c>
      <c r="J968" t="s">
        <v>7899</v>
      </c>
      <c r="K968" t="s">
        <v>74</v>
      </c>
      <c r="L968" t="s">
        <v>74</v>
      </c>
      <c r="M968" t="s">
        <v>78</v>
      </c>
      <c r="N968" t="s">
        <v>79</v>
      </c>
      <c r="O968" t="s">
        <v>74</v>
      </c>
      <c r="P968" t="s">
        <v>74</v>
      </c>
      <c r="Q968" t="s">
        <v>74</v>
      </c>
      <c r="R968" t="s">
        <v>74</v>
      </c>
      <c r="S968" t="s">
        <v>74</v>
      </c>
      <c r="T968" t="s">
        <v>74</v>
      </c>
      <c r="U968" t="s">
        <v>18493</v>
      </c>
      <c r="V968" t="s">
        <v>18494</v>
      </c>
      <c r="W968" t="s">
        <v>18495</v>
      </c>
      <c r="X968" t="s">
        <v>18496</v>
      </c>
      <c r="Y968" t="s">
        <v>18497</v>
      </c>
      <c r="Z968" t="s">
        <v>18498</v>
      </c>
      <c r="AA968" t="s">
        <v>74</v>
      </c>
      <c r="AB968" t="s">
        <v>18499</v>
      </c>
      <c r="AC968" t="s">
        <v>18500</v>
      </c>
      <c r="AD968" t="s">
        <v>18501</v>
      </c>
      <c r="AE968" t="s">
        <v>18502</v>
      </c>
      <c r="AF968" t="s">
        <v>74</v>
      </c>
      <c r="AG968">
        <v>72</v>
      </c>
      <c r="AH968">
        <v>7</v>
      </c>
      <c r="AI968">
        <v>8</v>
      </c>
      <c r="AJ968">
        <v>0</v>
      </c>
      <c r="AK968">
        <v>5</v>
      </c>
      <c r="AL968" t="s">
        <v>7662</v>
      </c>
      <c r="AM968" t="s">
        <v>7663</v>
      </c>
      <c r="AN968" t="s">
        <v>7664</v>
      </c>
      <c r="AO968" t="s">
        <v>7911</v>
      </c>
      <c r="AP968" t="s">
        <v>7912</v>
      </c>
      <c r="AQ968" t="s">
        <v>74</v>
      </c>
      <c r="AR968" t="s">
        <v>7913</v>
      </c>
      <c r="AS968" t="s">
        <v>7914</v>
      </c>
      <c r="AT968" t="s">
        <v>16620</v>
      </c>
      <c r="AU968">
        <v>2018</v>
      </c>
      <c r="AV968">
        <v>131</v>
      </c>
      <c r="AW968" t="s">
        <v>5373</v>
      </c>
      <c r="AX968" t="s">
        <v>74</v>
      </c>
      <c r="AY968" t="s">
        <v>74</v>
      </c>
      <c r="AZ968" t="s">
        <v>74</v>
      </c>
      <c r="BA968" t="s">
        <v>74</v>
      </c>
      <c r="BB968">
        <v>1397</v>
      </c>
      <c r="BC968">
        <v>1415</v>
      </c>
      <c r="BD968" t="s">
        <v>74</v>
      </c>
      <c r="BE968" t="s">
        <v>18503</v>
      </c>
      <c r="BF968" t="str">
        <f>HYPERLINK("http://dx.doi.org/10.1007/s00704-017-2053-5","http://dx.doi.org/10.1007/s00704-017-2053-5")</f>
        <v>http://dx.doi.org/10.1007/s00704-017-2053-5</v>
      </c>
      <c r="BG968" t="s">
        <v>74</v>
      </c>
      <c r="BH968" t="s">
        <v>74</v>
      </c>
      <c r="BI968">
        <v>19</v>
      </c>
      <c r="BJ968" t="s">
        <v>131</v>
      </c>
      <c r="BK968" t="s">
        <v>101</v>
      </c>
      <c r="BL968" t="s">
        <v>131</v>
      </c>
      <c r="BM968" t="s">
        <v>18504</v>
      </c>
      <c r="BN968" t="s">
        <v>74</v>
      </c>
      <c r="BO968" t="s">
        <v>341</v>
      </c>
      <c r="BP968" t="s">
        <v>74</v>
      </c>
      <c r="BQ968" t="s">
        <v>74</v>
      </c>
      <c r="BR968" t="s">
        <v>105</v>
      </c>
      <c r="BS968" t="s">
        <v>18505</v>
      </c>
      <c r="BT968" t="str">
        <f>HYPERLINK("https%3A%2F%2Fwww.webofscience.com%2Fwos%2Fwoscc%2Ffull-record%2FWOS:000423574800038","View Full Record in Web of Science")</f>
        <v>View Full Record in Web of Science</v>
      </c>
    </row>
    <row r="969" spans="1:72" x14ac:dyDescent="0.15">
      <c r="A969" t="s">
        <v>72</v>
      </c>
      <c r="B969" t="s">
        <v>18506</v>
      </c>
      <c r="C969" t="s">
        <v>74</v>
      </c>
      <c r="D969" t="s">
        <v>74</v>
      </c>
      <c r="E969" t="s">
        <v>74</v>
      </c>
      <c r="F969" t="s">
        <v>18507</v>
      </c>
      <c r="G969" t="s">
        <v>74</v>
      </c>
      <c r="H969" t="s">
        <v>74</v>
      </c>
      <c r="I969" t="s">
        <v>18508</v>
      </c>
      <c r="J969" t="s">
        <v>18509</v>
      </c>
      <c r="K969" t="s">
        <v>74</v>
      </c>
      <c r="L969" t="s">
        <v>74</v>
      </c>
      <c r="M969" t="s">
        <v>78</v>
      </c>
      <c r="N969" t="s">
        <v>79</v>
      </c>
      <c r="O969" t="s">
        <v>74</v>
      </c>
      <c r="P969" t="s">
        <v>74</v>
      </c>
      <c r="Q969" t="s">
        <v>74</v>
      </c>
      <c r="R969" t="s">
        <v>74</v>
      </c>
      <c r="S969" t="s">
        <v>74</v>
      </c>
      <c r="T969" t="s">
        <v>18510</v>
      </c>
      <c r="U969" t="s">
        <v>18511</v>
      </c>
      <c r="V969" t="s">
        <v>18512</v>
      </c>
      <c r="W969" t="s">
        <v>18513</v>
      </c>
      <c r="X969" t="s">
        <v>18514</v>
      </c>
      <c r="Y969" t="s">
        <v>18515</v>
      </c>
      <c r="Z969" t="s">
        <v>18516</v>
      </c>
      <c r="AA969" t="s">
        <v>18517</v>
      </c>
      <c r="AB969" t="s">
        <v>74</v>
      </c>
      <c r="AC969" t="s">
        <v>18518</v>
      </c>
      <c r="AD969" t="s">
        <v>1082</v>
      </c>
      <c r="AE969" t="s">
        <v>18519</v>
      </c>
      <c r="AF969" t="s">
        <v>74</v>
      </c>
      <c r="AG969">
        <v>120</v>
      </c>
      <c r="AH969">
        <v>6</v>
      </c>
      <c r="AI969">
        <v>6</v>
      </c>
      <c r="AJ969">
        <v>0</v>
      </c>
      <c r="AK969">
        <v>17</v>
      </c>
      <c r="AL969" t="s">
        <v>3413</v>
      </c>
      <c r="AM969" t="s">
        <v>278</v>
      </c>
      <c r="AN969" t="s">
        <v>3414</v>
      </c>
      <c r="AO969" t="s">
        <v>18520</v>
      </c>
      <c r="AP969" t="s">
        <v>18521</v>
      </c>
      <c r="AQ969" t="s">
        <v>74</v>
      </c>
      <c r="AR969" t="s">
        <v>18522</v>
      </c>
      <c r="AS969" t="s">
        <v>18523</v>
      </c>
      <c r="AT969" t="s">
        <v>16620</v>
      </c>
      <c r="AU969">
        <v>2018</v>
      </c>
      <c r="AV969">
        <v>123</v>
      </c>
      <c r="AW969">
        <v>2</v>
      </c>
      <c r="AX969" t="s">
        <v>74</v>
      </c>
      <c r="AY969" t="s">
        <v>74</v>
      </c>
      <c r="AZ969" t="s">
        <v>74</v>
      </c>
      <c r="BA969" t="s">
        <v>74</v>
      </c>
      <c r="BB969">
        <v>360</v>
      </c>
      <c r="BC969">
        <v>376</v>
      </c>
      <c r="BD969" t="s">
        <v>74</v>
      </c>
      <c r="BE969" t="s">
        <v>18524</v>
      </c>
      <c r="BF969" t="str">
        <f>HYPERLINK("http://dx.doi.org/10.1093/biolinnean/blx144","http://dx.doi.org/10.1093/biolinnean/blx144")</f>
        <v>http://dx.doi.org/10.1093/biolinnean/blx144</v>
      </c>
      <c r="BG969" t="s">
        <v>74</v>
      </c>
      <c r="BH969" t="s">
        <v>74</v>
      </c>
      <c r="BI969">
        <v>17</v>
      </c>
      <c r="BJ969" t="s">
        <v>18525</v>
      </c>
      <c r="BK969" t="s">
        <v>101</v>
      </c>
      <c r="BL969" t="s">
        <v>18525</v>
      </c>
      <c r="BM969" t="s">
        <v>18526</v>
      </c>
      <c r="BN969" t="s">
        <v>74</v>
      </c>
      <c r="BO969" t="s">
        <v>1085</v>
      </c>
      <c r="BP969" t="s">
        <v>74</v>
      </c>
      <c r="BQ969" t="s">
        <v>74</v>
      </c>
      <c r="BR969" t="s">
        <v>105</v>
      </c>
      <c r="BS969" t="s">
        <v>18527</v>
      </c>
      <c r="BT969" t="str">
        <f>HYPERLINK("https%3A%2F%2Fwww.webofscience.com%2Fwos%2Fwoscc%2Ffull-record%2FWOS:000423313000009","View Full Record in Web of Science")</f>
        <v>View Full Record in Web of Science</v>
      </c>
    </row>
    <row r="970" spans="1:72" x14ac:dyDescent="0.15">
      <c r="A970" t="s">
        <v>72</v>
      </c>
      <c r="B970" t="s">
        <v>18528</v>
      </c>
      <c r="C970" t="s">
        <v>74</v>
      </c>
      <c r="D970" t="s">
        <v>74</v>
      </c>
      <c r="E970" t="s">
        <v>74</v>
      </c>
      <c r="F970" t="s">
        <v>18529</v>
      </c>
      <c r="G970" t="s">
        <v>74</v>
      </c>
      <c r="H970" t="s">
        <v>74</v>
      </c>
      <c r="I970" t="s">
        <v>18530</v>
      </c>
      <c r="J970" t="s">
        <v>18531</v>
      </c>
      <c r="K970" t="s">
        <v>74</v>
      </c>
      <c r="L970" t="s">
        <v>74</v>
      </c>
      <c r="M970" t="s">
        <v>78</v>
      </c>
      <c r="N970" t="s">
        <v>79</v>
      </c>
      <c r="O970" t="s">
        <v>74</v>
      </c>
      <c r="P970" t="s">
        <v>74</v>
      </c>
      <c r="Q970" t="s">
        <v>74</v>
      </c>
      <c r="R970" t="s">
        <v>74</v>
      </c>
      <c r="S970" t="s">
        <v>74</v>
      </c>
      <c r="T970" t="s">
        <v>18532</v>
      </c>
      <c r="U970" t="s">
        <v>18533</v>
      </c>
      <c r="V970" t="s">
        <v>18534</v>
      </c>
      <c r="W970" t="s">
        <v>18535</v>
      </c>
      <c r="X970" t="s">
        <v>18536</v>
      </c>
      <c r="Y970" t="s">
        <v>18537</v>
      </c>
      <c r="Z970" t="s">
        <v>18538</v>
      </c>
      <c r="AA970" t="s">
        <v>18539</v>
      </c>
      <c r="AB970" t="s">
        <v>18540</v>
      </c>
      <c r="AC970" t="s">
        <v>18541</v>
      </c>
      <c r="AD970" t="s">
        <v>18542</v>
      </c>
      <c r="AE970" t="s">
        <v>18543</v>
      </c>
      <c r="AF970" t="s">
        <v>74</v>
      </c>
      <c r="AG970">
        <v>57</v>
      </c>
      <c r="AH970">
        <v>8</v>
      </c>
      <c r="AI970">
        <v>8</v>
      </c>
      <c r="AJ970">
        <v>3</v>
      </c>
      <c r="AK970">
        <v>25</v>
      </c>
      <c r="AL970" t="s">
        <v>179</v>
      </c>
      <c r="AM970" t="s">
        <v>180</v>
      </c>
      <c r="AN970" t="s">
        <v>181</v>
      </c>
      <c r="AO970" t="s">
        <v>18544</v>
      </c>
      <c r="AP970" t="s">
        <v>18545</v>
      </c>
      <c r="AQ970" t="s">
        <v>74</v>
      </c>
      <c r="AR970" t="s">
        <v>18546</v>
      </c>
      <c r="AS970" t="s">
        <v>18547</v>
      </c>
      <c r="AT970" t="s">
        <v>16620</v>
      </c>
      <c r="AU970">
        <v>2018</v>
      </c>
      <c r="AV970">
        <v>24</v>
      </c>
      <c r="AW970">
        <v>1</v>
      </c>
      <c r="AX970" t="s">
        <v>74</v>
      </c>
      <c r="AY970" t="s">
        <v>74</v>
      </c>
      <c r="AZ970" t="s">
        <v>74</v>
      </c>
      <c r="BA970" t="s">
        <v>74</v>
      </c>
      <c r="BB970">
        <v>442</v>
      </c>
      <c r="BC970">
        <v>452</v>
      </c>
      <c r="BD970" t="s">
        <v>74</v>
      </c>
      <c r="BE970" t="s">
        <v>18548</v>
      </c>
      <c r="BF970" t="str">
        <f>HYPERLINK("http://dx.doi.org/10.1111/anu.12577","http://dx.doi.org/10.1111/anu.12577")</f>
        <v>http://dx.doi.org/10.1111/anu.12577</v>
      </c>
      <c r="BG970" t="s">
        <v>74</v>
      </c>
      <c r="BH970" t="s">
        <v>74</v>
      </c>
      <c r="BI970">
        <v>11</v>
      </c>
      <c r="BJ970" t="s">
        <v>5873</v>
      </c>
      <c r="BK970" t="s">
        <v>101</v>
      </c>
      <c r="BL970" t="s">
        <v>5873</v>
      </c>
      <c r="BM970" t="s">
        <v>18549</v>
      </c>
      <c r="BN970" t="s">
        <v>74</v>
      </c>
      <c r="BO970" t="s">
        <v>133</v>
      </c>
      <c r="BP970" t="s">
        <v>74</v>
      </c>
      <c r="BQ970" t="s">
        <v>74</v>
      </c>
      <c r="BR970" t="s">
        <v>105</v>
      </c>
      <c r="BS970" t="s">
        <v>18550</v>
      </c>
      <c r="BT970" t="str">
        <f>HYPERLINK("https%3A%2F%2Fwww.webofscience.com%2Fwos%2Fwoscc%2Ffull-record%2FWOS:000422666900047","View Full Record in Web of Science")</f>
        <v>View Full Record in Web of Science</v>
      </c>
    </row>
    <row r="971" spans="1:72" x14ac:dyDescent="0.15">
      <c r="A971" t="s">
        <v>72</v>
      </c>
      <c r="B971" t="s">
        <v>18551</v>
      </c>
      <c r="C971" t="s">
        <v>74</v>
      </c>
      <c r="D971" t="s">
        <v>74</v>
      </c>
      <c r="E971" t="s">
        <v>74</v>
      </c>
      <c r="F971" t="s">
        <v>18552</v>
      </c>
      <c r="G971" t="s">
        <v>74</v>
      </c>
      <c r="H971" t="s">
        <v>74</v>
      </c>
      <c r="I971" t="s">
        <v>18553</v>
      </c>
      <c r="J971" t="s">
        <v>18554</v>
      </c>
      <c r="K971" t="s">
        <v>74</v>
      </c>
      <c r="L971" t="s">
        <v>74</v>
      </c>
      <c r="M971" t="s">
        <v>78</v>
      </c>
      <c r="N971" t="s">
        <v>79</v>
      </c>
      <c r="O971" t="s">
        <v>74</v>
      </c>
      <c r="P971" t="s">
        <v>74</v>
      </c>
      <c r="Q971" t="s">
        <v>74</v>
      </c>
      <c r="R971" t="s">
        <v>74</v>
      </c>
      <c r="S971" t="s">
        <v>74</v>
      </c>
      <c r="T971" t="s">
        <v>18555</v>
      </c>
      <c r="U971" t="s">
        <v>74</v>
      </c>
      <c r="V971" t="s">
        <v>18556</v>
      </c>
      <c r="W971" t="s">
        <v>18557</v>
      </c>
      <c r="X971" t="s">
        <v>18558</v>
      </c>
      <c r="Y971" t="s">
        <v>18559</v>
      </c>
      <c r="Z971" t="s">
        <v>18560</v>
      </c>
      <c r="AA971" t="s">
        <v>74</v>
      </c>
      <c r="AB971" t="s">
        <v>74</v>
      </c>
      <c r="AC971" t="s">
        <v>18561</v>
      </c>
      <c r="AD971" t="s">
        <v>16585</v>
      </c>
      <c r="AE971" t="s">
        <v>74</v>
      </c>
      <c r="AF971" t="s">
        <v>74</v>
      </c>
      <c r="AG971">
        <v>29</v>
      </c>
      <c r="AH971">
        <v>0</v>
      </c>
      <c r="AI971">
        <v>0</v>
      </c>
      <c r="AJ971">
        <v>0</v>
      </c>
      <c r="AK971">
        <v>1</v>
      </c>
      <c r="AL971" t="s">
        <v>18562</v>
      </c>
      <c r="AM971" t="s">
        <v>18563</v>
      </c>
      <c r="AN971" t="s">
        <v>18564</v>
      </c>
      <c r="AO971" t="s">
        <v>18565</v>
      </c>
      <c r="AP971" t="s">
        <v>18566</v>
      </c>
      <c r="AQ971" t="s">
        <v>74</v>
      </c>
      <c r="AR971" t="s">
        <v>18567</v>
      </c>
      <c r="AS971" t="s">
        <v>18568</v>
      </c>
      <c r="AT971" t="s">
        <v>16620</v>
      </c>
      <c r="AU971">
        <v>2018</v>
      </c>
      <c r="AV971">
        <v>26</v>
      </c>
      <c r="AW971">
        <v>1</v>
      </c>
      <c r="AX971" t="s">
        <v>74</v>
      </c>
      <c r="AY971" t="s">
        <v>74</v>
      </c>
      <c r="AZ971" t="s">
        <v>74</v>
      </c>
      <c r="BA971" t="s">
        <v>74</v>
      </c>
      <c r="BB971">
        <v>43</v>
      </c>
      <c r="BC971">
        <v>48</v>
      </c>
      <c r="BD971" t="s">
        <v>74</v>
      </c>
      <c r="BE971" t="s">
        <v>18569</v>
      </c>
      <c r="BF971" t="str">
        <f>HYPERLINK("http://dx.doi.org/10.1177/0967772015622877","http://dx.doi.org/10.1177/0967772015622877")</f>
        <v>http://dx.doi.org/10.1177/0967772015622877</v>
      </c>
      <c r="BG971" t="s">
        <v>74</v>
      </c>
      <c r="BH971" t="s">
        <v>74</v>
      </c>
      <c r="BI971">
        <v>6</v>
      </c>
      <c r="BJ971" t="s">
        <v>9263</v>
      </c>
      <c r="BK971" t="s">
        <v>18570</v>
      </c>
      <c r="BL971" t="s">
        <v>9265</v>
      </c>
      <c r="BM971" t="s">
        <v>18571</v>
      </c>
      <c r="BN971">
        <v>26691430</v>
      </c>
      <c r="BO971" t="s">
        <v>74</v>
      </c>
      <c r="BP971" t="s">
        <v>74</v>
      </c>
      <c r="BQ971" t="s">
        <v>74</v>
      </c>
      <c r="BR971" t="s">
        <v>105</v>
      </c>
      <c r="BS971" t="s">
        <v>18572</v>
      </c>
      <c r="BT971" t="str">
        <f>HYPERLINK("https%3A%2F%2Fwww.webofscience.com%2Fwos%2Fwoscc%2Ffull-record%2FWOS:000423308300008","View Full Record in Web of Science")</f>
        <v>View Full Record in Web of Science</v>
      </c>
    </row>
    <row r="972" spans="1:72" x14ac:dyDescent="0.15">
      <c r="A972" t="s">
        <v>72</v>
      </c>
      <c r="B972" t="s">
        <v>18573</v>
      </c>
      <c r="C972" t="s">
        <v>74</v>
      </c>
      <c r="D972" t="s">
        <v>74</v>
      </c>
      <c r="E972" t="s">
        <v>74</v>
      </c>
      <c r="F972" t="s">
        <v>18574</v>
      </c>
      <c r="G972" t="s">
        <v>74</v>
      </c>
      <c r="H972" t="s">
        <v>74</v>
      </c>
      <c r="I972" t="s">
        <v>18575</v>
      </c>
      <c r="J972" t="s">
        <v>852</v>
      </c>
      <c r="K972" t="s">
        <v>74</v>
      </c>
      <c r="L972" t="s">
        <v>74</v>
      </c>
      <c r="M972" t="s">
        <v>78</v>
      </c>
      <c r="N972" t="s">
        <v>79</v>
      </c>
      <c r="O972" t="s">
        <v>74</v>
      </c>
      <c r="P972" t="s">
        <v>74</v>
      </c>
      <c r="Q972" t="s">
        <v>74</v>
      </c>
      <c r="R972" t="s">
        <v>74</v>
      </c>
      <c r="S972" t="s">
        <v>74</v>
      </c>
      <c r="T972" t="s">
        <v>18576</v>
      </c>
      <c r="U972" t="s">
        <v>18577</v>
      </c>
      <c r="V972" t="s">
        <v>18578</v>
      </c>
      <c r="W972" t="s">
        <v>18579</v>
      </c>
      <c r="X972" t="s">
        <v>18580</v>
      </c>
      <c r="Y972" t="s">
        <v>18581</v>
      </c>
      <c r="Z972" t="s">
        <v>18582</v>
      </c>
      <c r="AA972" t="s">
        <v>18583</v>
      </c>
      <c r="AB972" t="s">
        <v>18584</v>
      </c>
      <c r="AC972" t="s">
        <v>18585</v>
      </c>
      <c r="AD972" t="s">
        <v>18586</v>
      </c>
      <c r="AE972" t="s">
        <v>18587</v>
      </c>
      <c r="AF972" t="s">
        <v>74</v>
      </c>
      <c r="AG972">
        <v>65</v>
      </c>
      <c r="AH972">
        <v>35</v>
      </c>
      <c r="AI972">
        <v>37</v>
      </c>
      <c r="AJ972">
        <v>1</v>
      </c>
      <c r="AK972">
        <v>19</v>
      </c>
      <c r="AL972" t="s">
        <v>865</v>
      </c>
      <c r="AM972" t="s">
        <v>92</v>
      </c>
      <c r="AN972" t="s">
        <v>3907</v>
      </c>
      <c r="AO972" t="s">
        <v>867</v>
      </c>
      <c r="AP972" t="s">
        <v>868</v>
      </c>
      <c r="AQ972" t="s">
        <v>74</v>
      </c>
      <c r="AR972" t="s">
        <v>869</v>
      </c>
      <c r="AS972" t="s">
        <v>870</v>
      </c>
      <c r="AT972" t="s">
        <v>16620</v>
      </c>
      <c r="AU972">
        <v>2018</v>
      </c>
      <c r="AV972">
        <v>205</v>
      </c>
      <c r="AW972" t="s">
        <v>74</v>
      </c>
      <c r="AX972" t="s">
        <v>74</v>
      </c>
      <c r="AY972" t="s">
        <v>74</v>
      </c>
      <c r="AZ972" t="s">
        <v>74</v>
      </c>
      <c r="BA972" t="s">
        <v>74</v>
      </c>
      <c r="BB972">
        <v>18</v>
      </c>
      <c r="BC972">
        <v>31</v>
      </c>
      <c r="BD972" t="s">
        <v>74</v>
      </c>
      <c r="BE972" t="s">
        <v>18588</v>
      </c>
      <c r="BF972" t="str">
        <f>HYPERLINK("http://dx.doi.org/10.1016/j.rse.2017.10.042","http://dx.doi.org/10.1016/j.rse.2017.10.042")</f>
        <v>http://dx.doi.org/10.1016/j.rse.2017.10.042</v>
      </c>
      <c r="BG972" t="s">
        <v>74</v>
      </c>
      <c r="BH972" t="s">
        <v>74</v>
      </c>
      <c r="BI972">
        <v>14</v>
      </c>
      <c r="BJ972" t="s">
        <v>872</v>
      </c>
      <c r="BK972" t="s">
        <v>101</v>
      </c>
      <c r="BL972" t="s">
        <v>873</v>
      </c>
      <c r="BM972" t="s">
        <v>18589</v>
      </c>
      <c r="BN972" t="s">
        <v>74</v>
      </c>
      <c r="BO972" t="s">
        <v>3371</v>
      </c>
      <c r="BP972" t="s">
        <v>74</v>
      </c>
      <c r="BQ972" t="s">
        <v>74</v>
      </c>
      <c r="BR972" t="s">
        <v>105</v>
      </c>
      <c r="BS972" t="s">
        <v>18590</v>
      </c>
      <c r="BT972" t="str">
        <f>HYPERLINK("https%3A%2F%2Fwww.webofscience.com%2Fwos%2Fwoscc%2Ffull-record%2FWOS:000423007700002","View Full Record in Web of Science")</f>
        <v>View Full Record in Web of Science</v>
      </c>
    </row>
    <row r="973" spans="1:72" x14ac:dyDescent="0.15">
      <c r="A973" t="s">
        <v>72</v>
      </c>
      <c r="B973" t="s">
        <v>18591</v>
      </c>
      <c r="C973" t="s">
        <v>74</v>
      </c>
      <c r="D973" t="s">
        <v>74</v>
      </c>
      <c r="E973" t="s">
        <v>74</v>
      </c>
      <c r="F973" t="s">
        <v>18592</v>
      </c>
      <c r="G973" t="s">
        <v>74</v>
      </c>
      <c r="H973" t="s">
        <v>74</v>
      </c>
      <c r="I973" t="s">
        <v>18593</v>
      </c>
      <c r="J973" t="s">
        <v>370</v>
      </c>
      <c r="K973" t="s">
        <v>74</v>
      </c>
      <c r="L973" t="s">
        <v>74</v>
      </c>
      <c r="M973" t="s">
        <v>78</v>
      </c>
      <c r="N973" t="s">
        <v>371</v>
      </c>
      <c r="O973" t="s">
        <v>74</v>
      </c>
      <c r="P973" t="s">
        <v>74</v>
      </c>
      <c r="Q973" t="s">
        <v>74</v>
      </c>
      <c r="R973" t="s">
        <v>74</v>
      </c>
      <c r="S973" t="s">
        <v>74</v>
      </c>
      <c r="T973" t="s">
        <v>74</v>
      </c>
      <c r="U973" t="s">
        <v>74</v>
      </c>
      <c r="V973" t="s">
        <v>74</v>
      </c>
      <c r="W973" t="s">
        <v>74</v>
      </c>
      <c r="X973" t="s">
        <v>74</v>
      </c>
      <c r="Y973" t="s">
        <v>74</v>
      </c>
      <c r="Z973" t="s">
        <v>74</v>
      </c>
      <c r="AA973" t="s">
        <v>18594</v>
      </c>
      <c r="AB973" t="s">
        <v>18595</v>
      </c>
      <c r="AC973" t="s">
        <v>13814</v>
      </c>
      <c r="AD973" t="s">
        <v>9617</v>
      </c>
      <c r="AE973" t="s">
        <v>74</v>
      </c>
      <c r="AF973" t="s">
        <v>74</v>
      </c>
      <c r="AG973">
        <v>0</v>
      </c>
      <c r="AH973">
        <v>0</v>
      </c>
      <c r="AI973">
        <v>1</v>
      </c>
      <c r="AJ973">
        <v>0</v>
      </c>
      <c r="AK973">
        <v>2</v>
      </c>
      <c r="AL973" t="s">
        <v>372</v>
      </c>
      <c r="AM973" t="s">
        <v>92</v>
      </c>
      <c r="AN973" t="s">
        <v>373</v>
      </c>
      <c r="AO973" t="s">
        <v>374</v>
      </c>
      <c r="AP973" t="s">
        <v>375</v>
      </c>
      <c r="AQ973" t="s">
        <v>74</v>
      </c>
      <c r="AR973" t="s">
        <v>376</v>
      </c>
      <c r="AS973" t="s">
        <v>377</v>
      </c>
      <c r="AT973" t="s">
        <v>16620</v>
      </c>
      <c r="AU973">
        <v>2018</v>
      </c>
      <c r="AV973">
        <v>30</v>
      </c>
      <c r="AW973">
        <v>1</v>
      </c>
      <c r="AX973" t="s">
        <v>74</v>
      </c>
      <c r="AY973" t="s">
        <v>74</v>
      </c>
      <c r="AZ973" t="s">
        <v>74</v>
      </c>
      <c r="BA973" t="s">
        <v>74</v>
      </c>
      <c r="BB973">
        <v>1</v>
      </c>
      <c r="BC973">
        <v>1</v>
      </c>
      <c r="BD973" t="s">
        <v>74</v>
      </c>
      <c r="BE973" t="s">
        <v>18596</v>
      </c>
      <c r="BF973" t="str">
        <f>HYPERLINK("http://dx.doi.org/10.1017/S0954102017000517","http://dx.doi.org/10.1017/S0954102017000517")</f>
        <v>http://dx.doi.org/10.1017/S0954102017000517</v>
      </c>
      <c r="BG973" t="s">
        <v>74</v>
      </c>
      <c r="BH973" t="s">
        <v>74</v>
      </c>
      <c r="BI973">
        <v>1</v>
      </c>
      <c r="BJ973" t="s">
        <v>379</v>
      </c>
      <c r="BK973" t="s">
        <v>101</v>
      </c>
      <c r="BL973" t="s">
        <v>380</v>
      </c>
      <c r="BM973" t="s">
        <v>18286</v>
      </c>
      <c r="BN973" t="s">
        <v>74</v>
      </c>
      <c r="BO973" t="s">
        <v>162</v>
      </c>
      <c r="BP973" t="s">
        <v>74</v>
      </c>
      <c r="BQ973" t="s">
        <v>74</v>
      </c>
      <c r="BR973" t="s">
        <v>105</v>
      </c>
      <c r="BS973" t="s">
        <v>18597</v>
      </c>
      <c r="BT973" t="str">
        <f>HYPERLINK("https%3A%2F%2Fwww.webofscience.com%2Fwos%2Fwoscc%2Ffull-record%2FWOS:000424037400001","View Full Record in Web of Science")</f>
        <v>View Full Record in Web of Science</v>
      </c>
    </row>
    <row r="974" spans="1:72" x14ac:dyDescent="0.15">
      <c r="A974" t="s">
        <v>72</v>
      </c>
      <c r="B974" t="s">
        <v>18598</v>
      </c>
      <c r="C974" t="s">
        <v>74</v>
      </c>
      <c r="D974" t="s">
        <v>74</v>
      </c>
      <c r="E974" t="s">
        <v>74</v>
      </c>
      <c r="F974" t="s">
        <v>18599</v>
      </c>
      <c r="G974" t="s">
        <v>74</v>
      </c>
      <c r="H974" t="s">
        <v>74</v>
      </c>
      <c r="I974" t="s">
        <v>18600</v>
      </c>
      <c r="J974" t="s">
        <v>18601</v>
      </c>
      <c r="K974" t="s">
        <v>74</v>
      </c>
      <c r="L974" t="s">
        <v>74</v>
      </c>
      <c r="M974" t="s">
        <v>78</v>
      </c>
      <c r="N974" t="s">
        <v>466</v>
      </c>
      <c r="O974" t="s">
        <v>74</v>
      </c>
      <c r="P974" t="s">
        <v>74</v>
      </c>
      <c r="Q974" t="s">
        <v>74</v>
      </c>
      <c r="R974" t="s">
        <v>74</v>
      </c>
      <c r="S974" t="s">
        <v>74</v>
      </c>
      <c r="T974" t="s">
        <v>18602</v>
      </c>
      <c r="U974" t="s">
        <v>18603</v>
      </c>
      <c r="V974" t="s">
        <v>18604</v>
      </c>
      <c r="W974" t="s">
        <v>18605</v>
      </c>
      <c r="X974" t="s">
        <v>18606</v>
      </c>
      <c r="Y974" t="s">
        <v>18607</v>
      </c>
      <c r="Z974" t="s">
        <v>18608</v>
      </c>
      <c r="AA974" t="s">
        <v>18609</v>
      </c>
      <c r="AB974" t="s">
        <v>18610</v>
      </c>
      <c r="AC974" t="s">
        <v>18611</v>
      </c>
      <c r="AD974" t="s">
        <v>18612</v>
      </c>
      <c r="AE974" t="s">
        <v>18613</v>
      </c>
      <c r="AF974" t="s">
        <v>74</v>
      </c>
      <c r="AG974">
        <v>271</v>
      </c>
      <c r="AH974">
        <v>143</v>
      </c>
      <c r="AI974">
        <v>156</v>
      </c>
      <c r="AJ974">
        <v>13</v>
      </c>
      <c r="AK974">
        <v>246</v>
      </c>
      <c r="AL974" t="s">
        <v>179</v>
      </c>
      <c r="AM974" t="s">
        <v>180</v>
      </c>
      <c r="AN974" t="s">
        <v>181</v>
      </c>
      <c r="AO974" t="s">
        <v>18614</v>
      </c>
      <c r="AP974" t="s">
        <v>18615</v>
      </c>
      <c r="AQ974" t="s">
        <v>74</v>
      </c>
      <c r="AR974" t="s">
        <v>18616</v>
      </c>
      <c r="AS974" t="s">
        <v>18617</v>
      </c>
      <c r="AT974" t="s">
        <v>16620</v>
      </c>
      <c r="AU974">
        <v>2018</v>
      </c>
      <c r="AV974">
        <v>93</v>
      </c>
      <c r="AW974">
        <v>1</v>
      </c>
      <c r="AX974" t="s">
        <v>74</v>
      </c>
      <c r="AY974" t="s">
        <v>74</v>
      </c>
      <c r="AZ974" t="s">
        <v>74</v>
      </c>
      <c r="BA974" t="s">
        <v>74</v>
      </c>
      <c r="BB974">
        <v>284</v>
      </c>
      <c r="BC974">
        <v>305</v>
      </c>
      <c r="BD974" t="s">
        <v>74</v>
      </c>
      <c r="BE974" t="s">
        <v>18618</v>
      </c>
      <c r="BF974" t="str">
        <f>HYPERLINK("http://dx.doi.org/10.1111/brv.12344","http://dx.doi.org/10.1111/brv.12344")</f>
        <v>http://dx.doi.org/10.1111/brv.12344</v>
      </c>
      <c r="BG974" t="s">
        <v>74</v>
      </c>
      <c r="BH974" t="s">
        <v>74</v>
      </c>
      <c r="BI974">
        <v>22</v>
      </c>
      <c r="BJ974" t="s">
        <v>4108</v>
      </c>
      <c r="BK974" t="s">
        <v>484</v>
      </c>
      <c r="BL974" t="s">
        <v>4109</v>
      </c>
      <c r="BM974" t="s">
        <v>18619</v>
      </c>
      <c r="BN974">
        <v>28568902</v>
      </c>
      <c r="BO974" t="s">
        <v>10717</v>
      </c>
      <c r="BP974" t="s">
        <v>74</v>
      </c>
      <c r="BQ974" t="s">
        <v>74</v>
      </c>
      <c r="BR974" t="s">
        <v>105</v>
      </c>
      <c r="BS974" t="s">
        <v>18620</v>
      </c>
      <c r="BT974" t="str">
        <f>HYPERLINK("https%3A%2F%2Fwww.webofscience.com%2Fwos%2Fwoscc%2Ffull-record%2FWOS:000419965700015","View Full Record in Web of Science")</f>
        <v>View Full Record in Web of Science</v>
      </c>
    </row>
    <row r="975" spans="1:72" x14ac:dyDescent="0.15">
      <c r="A975" t="s">
        <v>72</v>
      </c>
      <c r="B975" t="s">
        <v>18621</v>
      </c>
      <c r="C975" t="s">
        <v>74</v>
      </c>
      <c r="D975" t="s">
        <v>74</v>
      </c>
      <c r="E975" t="s">
        <v>74</v>
      </c>
      <c r="F975" t="s">
        <v>18622</v>
      </c>
      <c r="G975" t="s">
        <v>74</v>
      </c>
      <c r="H975" t="s">
        <v>74</v>
      </c>
      <c r="I975" t="s">
        <v>18623</v>
      </c>
      <c r="J975" t="s">
        <v>12002</v>
      </c>
      <c r="K975" t="s">
        <v>74</v>
      </c>
      <c r="L975" t="s">
        <v>74</v>
      </c>
      <c r="M975" t="s">
        <v>78</v>
      </c>
      <c r="N975" t="s">
        <v>79</v>
      </c>
      <c r="O975" t="s">
        <v>74</v>
      </c>
      <c r="P975" t="s">
        <v>74</v>
      </c>
      <c r="Q975" t="s">
        <v>74</v>
      </c>
      <c r="R975" t="s">
        <v>74</v>
      </c>
      <c r="S975" t="s">
        <v>74</v>
      </c>
      <c r="T975" t="s">
        <v>18624</v>
      </c>
      <c r="U975" t="s">
        <v>18625</v>
      </c>
      <c r="V975" t="s">
        <v>18626</v>
      </c>
      <c r="W975" t="s">
        <v>18627</v>
      </c>
      <c r="X975" t="s">
        <v>18628</v>
      </c>
      <c r="Y975" t="s">
        <v>18629</v>
      </c>
      <c r="Z975" t="s">
        <v>18630</v>
      </c>
      <c r="AA975" t="s">
        <v>18631</v>
      </c>
      <c r="AB975" t="s">
        <v>18632</v>
      </c>
      <c r="AC975" t="s">
        <v>18633</v>
      </c>
      <c r="AD975" t="s">
        <v>18634</v>
      </c>
      <c r="AE975" t="s">
        <v>18635</v>
      </c>
      <c r="AF975" t="s">
        <v>74</v>
      </c>
      <c r="AG975">
        <v>44</v>
      </c>
      <c r="AH975">
        <v>20</v>
      </c>
      <c r="AI975">
        <v>20</v>
      </c>
      <c r="AJ975">
        <v>0</v>
      </c>
      <c r="AK975">
        <v>19</v>
      </c>
      <c r="AL975" t="s">
        <v>277</v>
      </c>
      <c r="AM975" t="s">
        <v>278</v>
      </c>
      <c r="AN975" t="s">
        <v>279</v>
      </c>
      <c r="AO975" t="s">
        <v>12015</v>
      </c>
      <c r="AP975" t="s">
        <v>12016</v>
      </c>
      <c r="AQ975" t="s">
        <v>74</v>
      </c>
      <c r="AR975" t="s">
        <v>12017</v>
      </c>
      <c r="AS975" t="s">
        <v>12018</v>
      </c>
      <c r="AT975" t="s">
        <v>16620</v>
      </c>
      <c r="AU975">
        <v>2018</v>
      </c>
      <c r="AV975">
        <v>148</v>
      </c>
      <c r="AW975" t="s">
        <v>74</v>
      </c>
      <c r="AX975" t="s">
        <v>74</v>
      </c>
      <c r="AY975" t="s">
        <v>74</v>
      </c>
      <c r="AZ975" t="s">
        <v>508</v>
      </c>
      <c r="BA975" t="s">
        <v>74</v>
      </c>
      <c r="BB975">
        <v>35</v>
      </c>
      <c r="BC975">
        <v>44</v>
      </c>
      <c r="BD975" t="s">
        <v>74</v>
      </c>
      <c r="BE975" t="s">
        <v>18636</v>
      </c>
      <c r="BF975" t="str">
        <f>HYPERLINK("http://dx.doi.org/10.1016/j.dsr2.2017.07.014","http://dx.doi.org/10.1016/j.dsr2.2017.07.014")</f>
        <v>http://dx.doi.org/10.1016/j.dsr2.2017.07.014</v>
      </c>
      <c r="BG975" t="s">
        <v>74</v>
      </c>
      <c r="BH975" t="s">
        <v>74</v>
      </c>
      <c r="BI975">
        <v>10</v>
      </c>
      <c r="BJ975" t="s">
        <v>364</v>
      </c>
      <c r="BK975" t="s">
        <v>101</v>
      </c>
      <c r="BL975" t="s">
        <v>364</v>
      </c>
      <c r="BM975" t="s">
        <v>17169</v>
      </c>
      <c r="BN975" t="s">
        <v>74</v>
      </c>
      <c r="BO975" t="s">
        <v>1085</v>
      </c>
      <c r="BP975" t="s">
        <v>74</v>
      </c>
      <c r="BQ975" t="s">
        <v>74</v>
      </c>
      <c r="BR975" t="s">
        <v>105</v>
      </c>
      <c r="BS975" t="s">
        <v>18637</v>
      </c>
      <c r="BT975" t="str">
        <f>HYPERLINK("https%3A%2F%2Fwww.webofscience.com%2Fwos%2Fwoscc%2Ffull-record%2FWOS:000432762700004","View Full Record in Web of Science")</f>
        <v>View Full Record in Web of Science</v>
      </c>
    </row>
    <row r="976" spans="1:72" x14ac:dyDescent="0.15">
      <c r="A976" t="s">
        <v>72</v>
      </c>
      <c r="B976" t="s">
        <v>18638</v>
      </c>
      <c r="C976" t="s">
        <v>74</v>
      </c>
      <c r="D976" t="s">
        <v>74</v>
      </c>
      <c r="E976" t="s">
        <v>74</v>
      </c>
      <c r="F976" t="s">
        <v>18639</v>
      </c>
      <c r="G976" t="s">
        <v>74</v>
      </c>
      <c r="H976" t="s">
        <v>74</v>
      </c>
      <c r="I976" t="s">
        <v>18640</v>
      </c>
      <c r="J976" t="s">
        <v>12002</v>
      </c>
      <c r="K976" t="s">
        <v>74</v>
      </c>
      <c r="L976" t="s">
        <v>74</v>
      </c>
      <c r="M976" t="s">
        <v>78</v>
      </c>
      <c r="N976" t="s">
        <v>79</v>
      </c>
      <c r="O976" t="s">
        <v>74</v>
      </c>
      <c r="P976" t="s">
        <v>74</v>
      </c>
      <c r="Q976" t="s">
        <v>74</v>
      </c>
      <c r="R976" t="s">
        <v>74</v>
      </c>
      <c r="S976" t="s">
        <v>74</v>
      </c>
      <c r="T976" t="s">
        <v>18641</v>
      </c>
      <c r="U976" t="s">
        <v>18642</v>
      </c>
      <c r="V976" t="s">
        <v>18643</v>
      </c>
      <c r="W976" t="s">
        <v>18644</v>
      </c>
      <c r="X976" t="s">
        <v>4948</v>
      </c>
      <c r="Y976" t="s">
        <v>18645</v>
      </c>
      <c r="Z976" t="s">
        <v>18646</v>
      </c>
      <c r="AA976" t="s">
        <v>74</v>
      </c>
      <c r="AB976" t="s">
        <v>74</v>
      </c>
      <c r="AC976" t="s">
        <v>18647</v>
      </c>
      <c r="AD976" t="s">
        <v>18648</v>
      </c>
      <c r="AE976" t="s">
        <v>18649</v>
      </c>
      <c r="AF976" t="s">
        <v>74</v>
      </c>
      <c r="AG976">
        <v>60</v>
      </c>
      <c r="AH976">
        <v>8</v>
      </c>
      <c r="AI976">
        <v>8</v>
      </c>
      <c r="AJ976">
        <v>2</v>
      </c>
      <c r="AK976">
        <v>18</v>
      </c>
      <c r="AL976" t="s">
        <v>277</v>
      </c>
      <c r="AM976" t="s">
        <v>278</v>
      </c>
      <c r="AN976" t="s">
        <v>279</v>
      </c>
      <c r="AO976" t="s">
        <v>12015</v>
      </c>
      <c r="AP976" t="s">
        <v>12016</v>
      </c>
      <c r="AQ976" t="s">
        <v>74</v>
      </c>
      <c r="AR976" t="s">
        <v>12017</v>
      </c>
      <c r="AS976" t="s">
        <v>12018</v>
      </c>
      <c r="AT976" t="s">
        <v>16620</v>
      </c>
      <c r="AU976">
        <v>2018</v>
      </c>
      <c r="AV976">
        <v>148</v>
      </c>
      <c r="AW976" t="s">
        <v>74</v>
      </c>
      <c r="AX976" t="s">
        <v>74</v>
      </c>
      <c r="AY976" t="s">
        <v>74</v>
      </c>
      <c r="AZ976" t="s">
        <v>508</v>
      </c>
      <c r="BA976" t="s">
        <v>74</v>
      </c>
      <c r="BB976">
        <v>45</v>
      </c>
      <c r="BC976">
        <v>53</v>
      </c>
      <c r="BD976" t="s">
        <v>74</v>
      </c>
      <c r="BE976" t="s">
        <v>18650</v>
      </c>
      <c r="BF976" t="str">
        <f>HYPERLINK("http://dx.doi.org/10.1016/j.dsr2.2017.02.001","http://dx.doi.org/10.1016/j.dsr2.2017.02.001")</f>
        <v>http://dx.doi.org/10.1016/j.dsr2.2017.02.001</v>
      </c>
      <c r="BG976" t="s">
        <v>74</v>
      </c>
      <c r="BH976" t="s">
        <v>74</v>
      </c>
      <c r="BI976">
        <v>9</v>
      </c>
      <c r="BJ976" t="s">
        <v>364</v>
      </c>
      <c r="BK976" t="s">
        <v>101</v>
      </c>
      <c r="BL976" t="s">
        <v>364</v>
      </c>
      <c r="BM976" t="s">
        <v>17169</v>
      </c>
      <c r="BN976" t="s">
        <v>74</v>
      </c>
      <c r="BO976" t="s">
        <v>1085</v>
      </c>
      <c r="BP976" t="s">
        <v>74</v>
      </c>
      <c r="BQ976" t="s">
        <v>74</v>
      </c>
      <c r="BR976" t="s">
        <v>105</v>
      </c>
      <c r="BS976" t="s">
        <v>18651</v>
      </c>
      <c r="BT976" t="str">
        <f>HYPERLINK("https%3A%2F%2Fwww.webofscience.com%2Fwos%2Fwoscc%2Ffull-record%2FWOS:000432762700005","View Full Record in Web of Science")</f>
        <v>View Full Record in Web of Science</v>
      </c>
    </row>
    <row r="977" spans="1:72" x14ac:dyDescent="0.15">
      <c r="A977" t="s">
        <v>72</v>
      </c>
      <c r="B977" t="s">
        <v>18652</v>
      </c>
      <c r="C977" t="s">
        <v>74</v>
      </c>
      <c r="D977" t="s">
        <v>74</v>
      </c>
      <c r="E977" t="s">
        <v>74</v>
      </c>
      <c r="F977" t="s">
        <v>18653</v>
      </c>
      <c r="G977" t="s">
        <v>74</v>
      </c>
      <c r="H977" t="s">
        <v>74</v>
      </c>
      <c r="I977" t="s">
        <v>18654</v>
      </c>
      <c r="J977" t="s">
        <v>14206</v>
      </c>
      <c r="K977" t="s">
        <v>74</v>
      </c>
      <c r="L977" t="s">
        <v>74</v>
      </c>
      <c r="M977" t="s">
        <v>78</v>
      </c>
      <c r="N977" t="s">
        <v>79</v>
      </c>
      <c r="O977" t="s">
        <v>74</v>
      </c>
      <c r="P977" t="s">
        <v>74</v>
      </c>
      <c r="Q977" t="s">
        <v>74</v>
      </c>
      <c r="R977" t="s">
        <v>74</v>
      </c>
      <c r="S977" t="s">
        <v>74</v>
      </c>
      <c r="T977" t="s">
        <v>18655</v>
      </c>
      <c r="U977" t="s">
        <v>18656</v>
      </c>
      <c r="V977" t="s">
        <v>18657</v>
      </c>
      <c r="W977" t="s">
        <v>18658</v>
      </c>
      <c r="X977" t="s">
        <v>18659</v>
      </c>
      <c r="Y977" t="s">
        <v>18660</v>
      </c>
      <c r="Z977" t="s">
        <v>18661</v>
      </c>
      <c r="AA977" t="s">
        <v>18662</v>
      </c>
      <c r="AB977" t="s">
        <v>18663</v>
      </c>
      <c r="AC977" t="s">
        <v>18664</v>
      </c>
      <c r="AD977" t="s">
        <v>4355</v>
      </c>
      <c r="AE977" t="s">
        <v>18665</v>
      </c>
      <c r="AF977" t="s">
        <v>74</v>
      </c>
      <c r="AG977">
        <v>56</v>
      </c>
      <c r="AH977">
        <v>43</v>
      </c>
      <c r="AI977">
        <v>48</v>
      </c>
      <c r="AJ977">
        <v>5</v>
      </c>
      <c r="AK977">
        <v>92</v>
      </c>
      <c r="AL977" t="s">
        <v>179</v>
      </c>
      <c r="AM977" t="s">
        <v>180</v>
      </c>
      <c r="AN977" t="s">
        <v>181</v>
      </c>
      <c r="AO977" t="s">
        <v>14219</v>
      </c>
      <c r="AP977" t="s">
        <v>14220</v>
      </c>
      <c r="AQ977" t="s">
        <v>74</v>
      </c>
      <c r="AR977" t="s">
        <v>14206</v>
      </c>
      <c r="AS977" t="s">
        <v>314</v>
      </c>
      <c r="AT977" t="s">
        <v>16620</v>
      </c>
      <c r="AU977">
        <v>2018</v>
      </c>
      <c r="AV977">
        <v>99</v>
      </c>
      <c r="AW977">
        <v>2</v>
      </c>
      <c r="AX977" t="s">
        <v>74</v>
      </c>
      <c r="AY977" t="s">
        <v>74</v>
      </c>
      <c r="AZ977" t="s">
        <v>74</v>
      </c>
      <c r="BA977" t="s">
        <v>74</v>
      </c>
      <c r="BB977">
        <v>312</v>
      </c>
      <c r="BC977">
        <v>321</v>
      </c>
      <c r="BD977" t="s">
        <v>74</v>
      </c>
      <c r="BE977" t="s">
        <v>18666</v>
      </c>
      <c r="BF977" t="str">
        <f>HYPERLINK("http://dx.doi.org/10.1002/ecy.2090","http://dx.doi.org/10.1002/ecy.2090")</f>
        <v>http://dx.doi.org/10.1002/ecy.2090</v>
      </c>
      <c r="BG977" t="s">
        <v>74</v>
      </c>
      <c r="BH977" t="s">
        <v>74</v>
      </c>
      <c r="BI977">
        <v>10</v>
      </c>
      <c r="BJ977" t="s">
        <v>314</v>
      </c>
      <c r="BK977" t="s">
        <v>101</v>
      </c>
      <c r="BL977" t="s">
        <v>315</v>
      </c>
      <c r="BM977" t="s">
        <v>18237</v>
      </c>
      <c r="BN977">
        <v>29315515</v>
      </c>
      <c r="BO977" t="s">
        <v>74</v>
      </c>
      <c r="BP977" t="s">
        <v>74</v>
      </c>
      <c r="BQ977" t="s">
        <v>74</v>
      </c>
      <c r="BR977" t="s">
        <v>105</v>
      </c>
      <c r="BS977" t="s">
        <v>18667</v>
      </c>
      <c r="BT977" t="str">
        <f>HYPERLINK("https%3A%2F%2Fwww.webofscience.com%2Fwos%2Fwoscc%2Ffull-record%2FWOS:000424165200006","View Full Record in Web of Science")</f>
        <v>View Full Record in Web of Science</v>
      </c>
    </row>
    <row r="978" spans="1:72" x14ac:dyDescent="0.15">
      <c r="A978" t="s">
        <v>72</v>
      </c>
      <c r="B978" t="s">
        <v>18668</v>
      </c>
      <c r="C978" t="s">
        <v>74</v>
      </c>
      <c r="D978" t="s">
        <v>74</v>
      </c>
      <c r="E978" t="s">
        <v>74</v>
      </c>
      <c r="F978" t="s">
        <v>18669</v>
      </c>
      <c r="G978" t="s">
        <v>74</v>
      </c>
      <c r="H978" t="s">
        <v>74</v>
      </c>
      <c r="I978" t="s">
        <v>18670</v>
      </c>
      <c r="J978" t="s">
        <v>4065</v>
      </c>
      <c r="K978" t="s">
        <v>74</v>
      </c>
      <c r="L978" t="s">
        <v>74</v>
      </c>
      <c r="M978" t="s">
        <v>78</v>
      </c>
      <c r="N978" t="s">
        <v>79</v>
      </c>
      <c r="O978" t="s">
        <v>74</v>
      </c>
      <c r="P978" t="s">
        <v>74</v>
      </c>
      <c r="Q978" t="s">
        <v>74</v>
      </c>
      <c r="R978" t="s">
        <v>74</v>
      </c>
      <c r="S978" t="s">
        <v>74</v>
      </c>
      <c r="T978" t="s">
        <v>74</v>
      </c>
      <c r="U978" t="s">
        <v>18671</v>
      </c>
      <c r="V978" t="s">
        <v>18672</v>
      </c>
      <c r="W978" t="s">
        <v>18673</v>
      </c>
      <c r="X978" t="s">
        <v>18674</v>
      </c>
      <c r="Y978" t="s">
        <v>18675</v>
      </c>
      <c r="Z978" t="s">
        <v>18676</v>
      </c>
      <c r="AA978" t="s">
        <v>18677</v>
      </c>
      <c r="AB978" t="s">
        <v>18678</v>
      </c>
      <c r="AC978" t="s">
        <v>18679</v>
      </c>
      <c r="AD978" t="s">
        <v>18680</v>
      </c>
      <c r="AE978" t="s">
        <v>18681</v>
      </c>
      <c r="AF978" t="s">
        <v>74</v>
      </c>
      <c r="AG978">
        <v>107</v>
      </c>
      <c r="AH978">
        <v>30</v>
      </c>
      <c r="AI978">
        <v>33</v>
      </c>
      <c r="AJ978">
        <v>2</v>
      </c>
      <c r="AK978">
        <v>42</v>
      </c>
      <c r="AL978" t="s">
        <v>574</v>
      </c>
      <c r="AM978" t="s">
        <v>575</v>
      </c>
      <c r="AN978" t="s">
        <v>576</v>
      </c>
      <c r="AO978" t="s">
        <v>4078</v>
      </c>
      <c r="AP978" t="s">
        <v>4079</v>
      </c>
      <c r="AQ978" t="s">
        <v>74</v>
      </c>
      <c r="AR978" t="s">
        <v>4080</v>
      </c>
      <c r="AS978" t="s">
        <v>4081</v>
      </c>
      <c r="AT978" t="s">
        <v>16620</v>
      </c>
      <c r="AU978">
        <v>2018</v>
      </c>
      <c r="AV978">
        <v>32</v>
      </c>
      <c r="AW978">
        <v>2</v>
      </c>
      <c r="AX978" t="s">
        <v>74</v>
      </c>
      <c r="AY978" t="s">
        <v>74</v>
      </c>
      <c r="AZ978" t="s">
        <v>74</v>
      </c>
      <c r="BA978" t="s">
        <v>74</v>
      </c>
      <c r="BB978">
        <v>187</v>
      </c>
      <c r="BC978">
        <v>207</v>
      </c>
      <c r="BD978" t="s">
        <v>74</v>
      </c>
      <c r="BE978" t="s">
        <v>18682</v>
      </c>
      <c r="BF978" t="str">
        <f>HYPERLINK("http://dx.doi.org/10.1002/2017GB005736","http://dx.doi.org/10.1002/2017GB005736")</f>
        <v>http://dx.doi.org/10.1002/2017GB005736</v>
      </c>
      <c r="BG978" t="s">
        <v>74</v>
      </c>
      <c r="BH978" t="s">
        <v>74</v>
      </c>
      <c r="BI978">
        <v>21</v>
      </c>
      <c r="BJ978" t="s">
        <v>4083</v>
      </c>
      <c r="BK978" t="s">
        <v>101</v>
      </c>
      <c r="BL978" t="s">
        <v>4084</v>
      </c>
      <c r="BM978" t="s">
        <v>18683</v>
      </c>
      <c r="BN978" t="s">
        <v>74</v>
      </c>
      <c r="BO978" t="s">
        <v>5821</v>
      </c>
      <c r="BP978" t="s">
        <v>74</v>
      </c>
      <c r="BQ978" t="s">
        <v>74</v>
      </c>
      <c r="BR978" t="s">
        <v>105</v>
      </c>
      <c r="BS978" t="s">
        <v>18684</v>
      </c>
      <c r="BT978" t="str">
        <f>HYPERLINK("https%3A%2F%2Fwww.webofscience.com%2Fwos%2Fwoscc%2Ffull-record%2FWOS:000426773600003","View Full Record in Web of Science")</f>
        <v>View Full Record in Web of Science</v>
      </c>
    </row>
    <row r="979" spans="1:72" x14ac:dyDescent="0.15">
      <c r="A979" t="s">
        <v>72</v>
      </c>
      <c r="B979" t="s">
        <v>18685</v>
      </c>
      <c r="C979" t="s">
        <v>74</v>
      </c>
      <c r="D979" t="s">
        <v>74</v>
      </c>
      <c r="E979" t="s">
        <v>74</v>
      </c>
      <c r="F979" t="s">
        <v>18686</v>
      </c>
      <c r="G979" t="s">
        <v>74</v>
      </c>
      <c r="H979" t="s">
        <v>74</v>
      </c>
      <c r="I979" t="s">
        <v>18687</v>
      </c>
      <c r="J979" t="s">
        <v>516</v>
      </c>
      <c r="K979" t="s">
        <v>74</v>
      </c>
      <c r="L979" t="s">
        <v>74</v>
      </c>
      <c r="M979" t="s">
        <v>78</v>
      </c>
      <c r="N979" t="s">
        <v>79</v>
      </c>
      <c r="O979" t="s">
        <v>74</v>
      </c>
      <c r="P979" t="s">
        <v>74</v>
      </c>
      <c r="Q979" t="s">
        <v>74</v>
      </c>
      <c r="R979" t="s">
        <v>74</v>
      </c>
      <c r="S979" t="s">
        <v>74</v>
      </c>
      <c r="T979" t="s">
        <v>18688</v>
      </c>
      <c r="U979" t="s">
        <v>18689</v>
      </c>
      <c r="V979" t="s">
        <v>18690</v>
      </c>
      <c r="W979" t="s">
        <v>18691</v>
      </c>
      <c r="X979" t="s">
        <v>18692</v>
      </c>
      <c r="Y979" t="s">
        <v>14290</v>
      </c>
      <c r="Z979" t="s">
        <v>14291</v>
      </c>
      <c r="AA979" t="s">
        <v>74</v>
      </c>
      <c r="AB979" t="s">
        <v>18693</v>
      </c>
      <c r="AC979" t="s">
        <v>18694</v>
      </c>
      <c r="AD979" t="s">
        <v>18695</v>
      </c>
      <c r="AE979" t="s">
        <v>18696</v>
      </c>
      <c r="AF979" t="s">
        <v>74</v>
      </c>
      <c r="AG979">
        <v>102</v>
      </c>
      <c r="AH979">
        <v>27</v>
      </c>
      <c r="AI979">
        <v>28</v>
      </c>
      <c r="AJ979">
        <v>2</v>
      </c>
      <c r="AK979">
        <v>48</v>
      </c>
      <c r="AL979" t="s">
        <v>179</v>
      </c>
      <c r="AM979" t="s">
        <v>180</v>
      </c>
      <c r="AN979" t="s">
        <v>181</v>
      </c>
      <c r="AO979" t="s">
        <v>529</v>
      </c>
      <c r="AP979" t="s">
        <v>530</v>
      </c>
      <c r="AQ979" t="s">
        <v>74</v>
      </c>
      <c r="AR979" t="s">
        <v>531</v>
      </c>
      <c r="AS979" t="s">
        <v>532</v>
      </c>
      <c r="AT979" t="s">
        <v>16620</v>
      </c>
      <c r="AU979">
        <v>2018</v>
      </c>
      <c r="AV979">
        <v>24</v>
      </c>
      <c r="AW979">
        <v>2</v>
      </c>
      <c r="AX979" t="s">
        <v>74</v>
      </c>
      <c r="AY979" t="s">
        <v>74</v>
      </c>
      <c r="AZ979" t="s">
        <v>74</v>
      </c>
      <c r="BA979" t="s">
        <v>74</v>
      </c>
      <c r="BB979" t="s">
        <v>18697</v>
      </c>
      <c r="BC979" t="s">
        <v>18698</v>
      </c>
      <c r="BD979" t="s">
        <v>74</v>
      </c>
      <c r="BE979" t="s">
        <v>18699</v>
      </c>
      <c r="BF979" t="str">
        <f>HYPERLINK("http://dx.doi.org/10.1111/gcb.13987","http://dx.doi.org/10.1111/gcb.13987")</f>
        <v>http://dx.doi.org/10.1111/gcb.13987</v>
      </c>
      <c r="BG979" t="s">
        <v>74</v>
      </c>
      <c r="BH979" t="s">
        <v>74</v>
      </c>
      <c r="BI979">
        <v>16</v>
      </c>
      <c r="BJ979" t="s">
        <v>534</v>
      </c>
      <c r="BK979" t="s">
        <v>101</v>
      </c>
      <c r="BL979" t="s">
        <v>102</v>
      </c>
      <c r="BM979" t="s">
        <v>16727</v>
      </c>
      <c r="BN979">
        <v>29155460</v>
      </c>
      <c r="BO979" t="s">
        <v>74</v>
      </c>
      <c r="BP979" t="s">
        <v>74</v>
      </c>
      <c r="BQ979" t="s">
        <v>74</v>
      </c>
      <c r="BR979" t="s">
        <v>105</v>
      </c>
      <c r="BS979" t="s">
        <v>18700</v>
      </c>
      <c r="BT979" t="str">
        <f>HYPERLINK("https%3A%2F%2Fwww.webofscience.com%2Fwos%2Fwoscc%2Ffull-record%2FWOS:000423994700023","View Full Record in Web of Science")</f>
        <v>View Full Record in Web of Science</v>
      </c>
    </row>
    <row r="980" spans="1:72" x14ac:dyDescent="0.15">
      <c r="A980" t="s">
        <v>72</v>
      </c>
      <c r="B980" t="s">
        <v>18701</v>
      </c>
      <c r="C980" t="s">
        <v>74</v>
      </c>
      <c r="D980" t="s">
        <v>74</v>
      </c>
      <c r="E980" t="s">
        <v>74</v>
      </c>
      <c r="F980" t="s">
        <v>18702</v>
      </c>
      <c r="G980" t="s">
        <v>74</v>
      </c>
      <c r="H980" t="s">
        <v>74</v>
      </c>
      <c r="I980" t="s">
        <v>18703</v>
      </c>
      <c r="J980" t="s">
        <v>3520</v>
      </c>
      <c r="K980" t="s">
        <v>74</v>
      </c>
      <c r="L980" t="s">
        <v>74</v>
      </c>
      <c r="M980" t="s">
        <v>78</v>
      </c>
      <c r="N980" t="s">
        <v>79</v>
      </c>
      <c r="O980" t="s">
        <v>74</v>
      </c>
      <c r="P980" t="s">
        <v>74</v>
      </c>
      <c r="Q980" t="s">
        <v>74</v>
      </c>
      <c r="R980" t="s">
        <v>74</v>
      </c>
      <c r="S980" t="s">
        <v>74</v>
      </c>
      <c r="T980" t="s">
        <v>74</v>
      </c>
      <c r="U980" t="s">
        <v>18704</v>
      </c>
      <c r="V980" t="s">
        <v>18705</v>
      </c>
      <c r="W980" t="s">
        <v>18706</v>
      </c>
      <c r="X980" t="s">
        <v>18707</v>
      </c>
      <c r="Y980" t="s">
        <v>18708</v>
      </c>
      <c r="Z980" t="s">
        <v>18709</v>
      </c>
      <c r="AA980" t="s">
        <v>18710</v>
      </c>
      <c r="AB980" t="s">
        <v>18711</v>
      </c>
      <c r="AC980" t="s">
        <v>18712</v>
      </c>
      <c r="AD980" t="s">
        <v>18713</v>
      </c>
      <c r="AE980" t="s">
        <v>18714</v>
      </c>
      <c r="AF980" t="s">
        <v>74</v>
      </c>
      <c r="AG980">
        <v>93</v>
      </c>
      <c r="AH980">
        <v>54</v>
      </c>
      <c r="AI980">
        <v>59</v>
      </c>
      <c r="AJ980">
        <v>9</v>
      </c>
      <c r="AK980">
        <v>56</v>
      </c>
      <c r="AL980" t="s">
        <v>1689</v>
      </c>
      <c r="AM980" t="s">
        <v>1540</v>
      </c>
      <c r="AN980" t="s">
        <v>1690</v>
      </c>
      <c r="AO980" t="s">
        <v>3532</v>
      </c>
      <c r="AP980" t="s">
        <v>3533</v>
      </c>
      <c r="AQ980" t="s">
        <v>74</v>
      </c>
      <c r="AR980" t="s">
        <v>3534</v>
      </c>
      <c r="AS980" t="s">
        <v>3535</v>
      </c>
      <c r="AT980" t="s">
        <v>16620</v>
      </c>
      <c r="AU980">
        <v>2018</v>
      </c>
      <c r="AV980">
        <v>12</v>
      </c>
      <c r="AW980">
        <v>2</v>
      </c>
      <c r="AX980" t="s">
        <v>74</v>
      </c>
      <c r="AY980" t="s">
        <v>74</v>
      </c>
      <c r="AZ980" t="s">
        <v>74</v>
      </c>
      <c r="BA980" t="s">
        <v>74</v>
      </c>
      <c r="BB980">
        <v>330</v>
      </c>
      <c r="BC980">
        <v>342</v>
      </c>
      <c r="BD980" t="s">
        <v>74</v>
      </c>
      <c r="BE980" t="s">
        <v>18715</v>
      </c>
      <c r="BF980" t="str">
        <f>HYPERLINK("http://dx.doi.org/10.1038/ismej.2017.150","http://dx.doi.org/10.1038/ismej.2017.150")</f>
        <v>http://dx.doi.org/10.1038/ismej.2017.150</v>
      </c>
      <c r="BG980" t="s">
        <v>74</v>
      </c>
      <c r="BH980" t="s">
        <v>74</v>
      </c>
      <c r="BI980">
        <v>13</v>
      </c>
      <c r="BJ980" t="s">
        <v>3537</v>
      </c>
      <c r="BK980" t="s">
        <v>101</v>
      </c>
      <c r="BL980" t="s">
        <v>187</v>
      </c>
      <c r="BM980" t="s">
        <v>18716</v>
      </c>
      <c r="BN980">
        <v>29039843</v>
      </c>
      <c r="BO980" t="s">
        <v>1802</v>
      </c>
      <c r="BP980" t="s">
        <v>74</v>
      </c>
      <c r="BQ980" t="s">
        <v>74</v>
      </c>
      <c r="BR980" t="s">
        <v>105</v>
      </c>
      <c r="BS980" t="s">
        <v>18717</v>
      </c>
      <c r="BT980" t="str">
        <f>HYPERLINK("https%3A%2F%2Fwww.webofscience.com%2Fwos%2Fwoscc%2Ffull-record%2FWOS:000422779100004","View Full Record in Web of Science")</f>
        <v>View Full Record in Web of Science</v>
      </c>
    </row>
    <row r="981" spans="1:72" x14ac:dyDescent="0.15">
      <c r="A981" t="s">
        <v>72</v>
      </c>
      <c r="B981" t="s">
        <v>18718</v>
      </c>
      <c r="C981" t="s">
        <v>74</v>
      </c>
      <c r="D981" t="s">
        <v>74</v>
      </c>
      <c r="E981" t="s">
        <v>74</v>
      </c>
      <c r="F981" t="s">
        <v>18719</v>
      </c>
      <c r="G981" t="s">
        <v>74</v>
      </c>
      <c r="H981" t="s">
        <v>74</v>
      </c>
      <c r="I981" t="s">
        <v>18720</v>
      </c>
      <c r="J981" t="s">
        <v>18721</v>
      </c>
      <c r="K981" t="s">
        <v>74</v>
      </c>
      <c r="L981" t="s">
        <v>74</v>
      </c>
      <c r="M981" t="s">
        <v>78</v>
      </c>
      <c r="N981" t="s">
        <v>79</v>
      </c>
      <c r="O981" t="s">
        <v>74</v>
      </c>
      <c r="P981" t="s">
        <v>74</v>
      </c>
      <c r="Q981" t="s">
        <v>74</v>
      </c>
      <c r="R981" t="s">
        <v>74</v>
      </c>
      <c r="S981" t="s">
        <v>74</v>
      </c>
      <c r="T981" t="s">
        <v>18722</v>
      </c>
      <c r="U981" t="s">
        <v>18723</v>
      </c>
      <c r="V981" t="s">
        <v>18724</v>
      </c>
      <c r="W981" t="s">
        <v>18725</v>
      </c>
      <c r="X981" t="s">
        <v>18726</v>
      </c>
      <c r="Y981" t="s">
        <v>18727</v>
      </c>
      <c r="Z981" t="s">
        <v>18728</v>
      </c>
      <c r="AA981" t="s">
        <v>18729</v>
      </c>
      <c r="AB981" t="s">
        <v>18730</v>
      </c>
      <c r="AC981" t="s">
        <v>18731</v>
      </c>
      <c r="AD981" t="s">
        <v>18732</v>
      </c>
      <c r="AE981" t="s">
        <v>18733</v>
      </c>
      <c r="AF981" t="s">
        <v>74</v>
      </c>
      <c r="AG981">
        <v>18</v>
      </c>
      <c r="AH981">
        <v>3</v>
      </c>
      <c r="AI981">
        <v>4</v>
      </c>
      <c r="AJ981">
        <v>3</v>
      </c>
      <c r="AK981">
        <v>49</v>
      </c>
      <c r="AL981" t="s">
        <v>15190</v>
      </c>
      <c r="AM981" t="s">
        <v>15191</v>
      </c>
      <c r="AN981" t="s">
        <v>15192</v>
      </c>
      <c r="AO981" t="s">
        <v>18734</v>
      </c>
      <c r="AP981" t="s">
        <v>18735</v>
      </c>
      <c r="AQ981" t="s">
        <v>74</v>
      </c>
      <c r="AR981" t="s">
        <v>18736</v>
      </c>
      <c r="AS981" t="s">
        <v>18737</v>
      </c>
      <c r="AT981" t="s">
        <v>16620</v>
      </c>
      <c r="AU981">
        <v>2018</v>
      </c>
      <c r="AV981">
        <v>144</v>
      </c>
      <c r="AW981">
        <v>1</v>
      </c>
      <c r="AX981" t="s">
        <v>74</v>
      </c>
      <c r="AY981" t="s">
        <v>74</v>
      </c>
      <c r="AZ981" t="s">
        <v>74</v>
      </c>
      <c r="BA981" t="s">
        <v>74</v>
      </c>
      <c r="BB981" t="s">
        <v>74</v>
      </c>
      <c r="BC981" t="s">
        <v>74</v>
      </c>
      <c r="BD981">
        <v>5017004</v>
      </c>
      <c r="BE981" t="s">
        <v>18738</v>
      </c>
      <c r="BF981" t="str">
        <f>HYPERLINK("http://dx.doi.org/10.1061/(ASCE)EY.1943-7897.0000507","http://dx.doi.org/10.1061/(ASCE)EY.1943-7897.0000507")</f>
        <v>http://dx.doi.org/10.1061/(ASCE)EY.1943-7897.0000507</v>
      </c>
      <c r="BG981" t="s">
        <v>74</v>
      </c>
      <c r="BH981" t="s">
        <v>74</v>
      </c>
      <c r="BI981">
        <v>10</v>
      </c>
      <c r="BJ981" t="s">
        <v>18739</v>
      </c>
      <c r="BK981" t="s">
        <v>101</v>
      </c>
      <c r="BL981" t="s">
        <v>406</v>
      </c>
      <c r="BM981" t="s">
        <v>18740</v>
      </c>
      <c r="BN981" t="s">
        <v>74</v>
      </c>
      <c r="BO981" t="s">
        <v>74</v>
      </c>
      <c r="BP981" t="s">
        <v>74</v>
      </c>
      <c r="BQ981" t="s">
        <v>74</v>
      </c>
      <c r="BR981" t="s">
        <v>105</v>
      </c>
      <c r="BS981" t="s">
        <v>18741</v>
      </c>
      <c r="BT981" t="str">
        <f>HYPERLINK("https%3A%2F%2Fwww.webofscience.com%2Fwos%2Fwoscc%2Ffull-record%2FWOS:000418401900008","View Full Record in Web of Science")</f>
        <v>View Full Record in Web of Science</v>
      </c>
    </row>
    <row r="982" spans="1:72" x14ac:dyDescent="0.15">
      <c r="A982" t="s">
        <v>72</v>
      </c>
      <c r="B982" t="s">
        <v>18742</v>
      </c>
      <c r="C982" t="s">
        <v>74</v>
      </c>
      <c r="D982" t="s">
        <v>74</v>
      </c>
      <c r="E982" t="s">
        <v>74</v>
      </c>
      <c r="F982" t="s">
        <v>18743</v>
      </c>
      <c r="G982" t="s">
        <v>74</v>
      </c>
      <c r="H982" t="s">
        <v>74</v>
      </c>
      <c r="I982" t="s">
        <v>18744</v>
      </c>
      <c r="J982" t="s">
        <v>4090</v>
      </c>
      <c r="K982" t="s">
        <v>74</v>
      </c>
      <c r="L982" t="s">
        <v>74</v>
      </c>
      <c r="M982" t="s">
        <v>78</v>
      </c>
      <c r="N982" t="s">
        <v>79</v>
      </c>
      <c r="O982" t="s">
        <v>74</v>
      </c>
      <c r="P982" t="s">
        <v>74</v>
      </c>
      <c r="Q982" t="s">
        <v>74</v>
      </c>
      <c r="R982" t="s">
        <v>74</v>
      </c>
      <c r="S982" t="s">
        <v>74</v>
      </c>
      <c r="T982" t="s">
        <v>18745</v>
      </c>
      <c r="U982" t="s">
        <v>18746</v>
      </c>
      <c r="V982" t="s">
        <v>18747</v>
      </c>
      <c r="W982" t="s">
        <v>18748</v>
      </c>
      <c r="X982" t="s">
        <v>18749</v>
      </c>
      <c r="Y982" t="s">
        <v>18750</v>
      </c>
      <c r="Z982" t="s">
        <v>18751</v>
      </c>
      <c r="AA982" t="s">
        <v>18752</v>
      </c>
      <c r="AB982" t="s">
        <v>18753</v>
      </c>
      <c r="AC982" t="s">
        <v>18754</v>
      </c>
      <c r="AD982" t="s">
        <v>18755</v>
      </c>
      <c r="AE982" t="s">
        <v>18756</v>
      </c>
      <c r="AF982" t="s">
        <v>74</v>
      </c>
      <c r="AG982">
        <v>57</v>
      </c>
      <c r="AH982">
        <v>19</v>
      </c>
      <c r="AI982">
        <v>19</v>
      </c>
      <c r="AJ982">
        <v>1</v>
      </c>
      <c r="AK982">
        <v>23</v>
      </c>
      <c r="AL982" t="s">
        <v>4099</v>
      </c>
      <c r="AM982" t="s">
        <v>4100</v>
      </c>
      <c r="AN982" t="s">
        <v>4101</v>
      </c>
      <c r="AO982" t="s">
        <v>4102</v>
      </c>
      <c r="AP982" t="s">
        <v>4103</v>
      </c>
      <c r="AQ982" t="s">
        <v>74</v>
      </c>
      <c r="AR982" t="s">
        <v>4104</v>
      </c>
      <c r="AS982" t="s">
        <v>4105</v>
      </c>
      <c r="AT982" t="s">
        <v>16620</v>
      </c>
      <c r="AU982">
        <v>2018</v>
      </c>
      <c r="AV982">
        <v>221</v>
      </c>
      <c r="AW982">
        <v>4</v>
      </c>
      <c r="AX982" t="s">
        <v>74</v>
      </c>
      <c r="AY982" t="s">
        <v>74</v>
      </c>
      <c r="AZ982" t="s">
        <v>74</v>
      </c>
      <c r="BA982" t="s">
        <v>74</v>
      </c>
      <c r="BB982" t="s">
        <v>74</v>
      </c>
      <c r="BC982" t="s">
        <v>74</v>
      </c>
      <c r="BD982" t="s">
        <v>18757</v>
      </c>
      <c r="BE982" t="s">
        <v>18758</v>
      </c>
      <c r="BF982" t="str">
        <f>HYPERLINK("http://dx.doi.org/10.1242/jeb.160622","http://dx.doi.org/10.1242/jeb.160622")</f>
        <v>http://dx.doi.org/10.1242/jeb.160622</v>
      </c>
      <c r="BG982" t="s">
        <v>74</v>
      </c>
      <c r="BH982" t="s">
        <v>74</v>
      </c>
      <c r="BI982">
        <v>11</v>
      </c>
      <c r="BJ982" t="s">
        <v>4108</v>
      </c>
      <c r="BK982" t="s">
        <v>101</v>
      </c>
      <c r="BL982" t="s">
        <v>4109</v>
      </c>
      <c r="BM982" t="s">
        <v>18759</v>
      </c>
      <c r="BN982">
        <v>29242185</v>
      </c>
      <c r="BO982" t="s">
        <v>2416</v>
      </c>
      <c r="BP982" t="s">
        <v>74</v>
      </c>
      <c r="BQ982" t="s">
        <v>74</v>
      </c>
      <c r="BR982" t="s">
        <v>105</v>
      </c>
      <c r="BS982" t="s">
        <v>18760</v>
      </c>
      <c r="BT982" t="str">
        <f>HYPERLINK("https%3A%2F%2Fwww.webofscience.com%2Fwos%2Fwoscc%2Ffull-record%2FWOS:000426356800026","View Full Record in Web of Science")</f>
        <v>View Full Record in Web of Science</v>
      </c>
    </row>
    <row r="983" spans="1:72" x14ac:dyDescent="0.15">
      <c r="A983" t="s">
        <v>72</v>
      </c>
      <c r="B983" t="s">
        <v>9778</v>
      </c>
      <c r="C983" t="s">
        <v>74</v>
      </c>
      <c r="D983" t="s">
        <v>74</v>
      </c>
      <c r="E983" t="s">
        <v>74</v>
      </c>
      <c r="F983" t="s">
        <v>9779</v>
      </c>
      <c r="G983" t="s">
        <v>74</v>
      </c>
      <c r="H983" t="s">
        <v>74</v>
      </c>
      <c r="I983" t="s">
        <v>18761</v>
      </c>
      <c r="J983" t="s">
        <v>4090</v>
      </c>
      <c r="K983" t="s">
        <v>74</v>
      </c>
      <c r="L983" t="s">
        <v>74</v>
      </c>
      <c r="M983" t="s">
        <v>78</v>
      </c>
      <c r="N983" t="s">
        <v>371</v>
      </c>
      <c r="O983" t="s">
        <v>74</v>
      </c>
      <c r="P983" t="s">
        <v>74</v>
      </c>
      <c r="Q983" t="s">
        <v>74</v>
      </c>
      <c r="R983" t="s">
        <v>74</v>
      </c>
      <c r="S983" t="s">
        <v>74</v>
      </c>
      <c r="T983" t="s">
        <v>74</v>
      </c>
      <c r="U983" t="s">
        <v>74</v>
      </c>
      <c r="V983" t="s">
        <v>74</v>
      </c>
      <c r="W983" t="s">
        <v>74</v>
      </c>
      <c r="X983" t="s">
        <v>74</v>
      </c>
      <c r="Y983" t="s">
        <v>74</v>
      </c>
      <c r="Z983" t="s">
        <v>9781</v>
      </c>
      <c r="AA983" t="s">
        <v>74</v>
      </c>
      <c r="AB983" t="s">
        <v>74</v>
      </c>
      <c r="AC983" t="s">
        <v>74</v>
      </c>
      <c r="AD983" t="s">
        <v>74</v>
      </c>
      <c r="AE983" t="s">
        <v>74</v>
      </c>
      <c r="AF983" t="s">
        <v>74</v>
      </c>
      <c r="AG983">
        <v>0</v>
      </c>
      <c r="AH983">
        <v>0</v>
      </c>
      <c r="AI983">
        <v>0</v>
      </c>
      <c r="AJ983">
        <v>0</v>
      </c>
      <c r="AK983">
        <v>2</v>
      </c>
      <c r="AL983" t="s">
        <v>4099</v>
      </c>
      <c r="AM983" t="s">
        <v>4100</v>
      </c>
      <c r="AN983" t="s">
        <v>4101</v>
      </c>
      <c r="AO983" t="s">
        <v>4102</v>
      </c>
      <c r="AP983" t="s">
        <v>4103</v>
      </c>
      <c r="AQ983" t="s">
        <v>74</v>
      </c>
      <c r="AR983" t="s">
        <v>4104</v>
      </c>
      <c r="AS983" t="s">
        <v>4105</v>
      </c>
      <c r="AT983" t="s">
        <v>16620</v>
      </c>
      <c r="AU983">
        <v>2018</v>
      </c>
      <c r="AV983">
        <v>221</v>
      </c>
      <c r="AW983">
        <v>4</v>
      </c>
      <c r="AX983" t="s">
        <v>74</v>
      </c>
      <c r="AY983" t="s">
        <v>74</v>
      </c>
      <c r="AZ983" t="s">
        <v>74</v>
      </c>
      <c r="BA983" t="s">
        <v>74</v>
      </c>
      <c r="BB983" t="s">
        <v>74</v>
      </c>
      <c r="BC983" t="s">
        <v>74</v>
      </c>
      <c r="BD983" t="s">
        <v>18762</v>
      </c>
      <c r="BE983" t="s">
        <v>18763</v>
      </c>
      <c r="BF983" t="str">
        <f>HYPERLINK("http://dx.doi.org/10.1242/jeb.177105","http://dx.doi.org/10.1242/jeb.177105")</f>
        <v>http://dx.doi.org/10.1242/jeb.177105</v>
      </c>
      <c r="BG983" t="s">
        <v>74</v>
      </c>
      <c r="BH983" t="s">
        <v>74</v>
      </c>
      <c r="BI983">
        <v>1</v>
      </c>
      <c r="BJ983" t="s">
        <v>4108</v>
      </c>
      <c r="BK983" t="s">
        <v>101</v>
      </c>
      <c r="BL983" t="s">
        <v>4109</v>
      </c>
      <c r="BM983" t="s">
        <v>18759</v>
      </c>
      <c r="BN983" t="s">
        <v>74</v>
      </c>
      <c r="BO983" t="s">
        <v>162</v>
      </c>
      <c r="BP983" t="s">
        <v>74</v>
      </c>
      <c r="BQ983" t="s">
        <v>74</v>
      </c>
      <c r="BR983" t="s">
        <v>105</v>
      </c>
      <c r="BS983" t="s">
        <v>18764</v>
      </c>
      <c r="BT983" t="str">
        <f>HYPERLINK("https%3A%2F%2Fwww.webofscience.com%2Fwos%2Fwoscc%2Ffull-record%2FWOS:000426356800003","View Full Record in Web of Science")</f>
        <v>View Full Record in Web of Science</v>
      </c>
    </row>
    <row r="984" spans="1:72" x14ac:dyDescent="0.15">
      <c r="A984" t="s">
        <v>72</v>
      </c>
      <c r="B984" t="s">
        <v>18765</v>
      </c>
      <c r="C984" t="s">
        <v>74</v>
      </c>
      <c r="D984" t="s">
        <v>74</v>
      </c>
      <c r="E984" t="s">
        <v>74</v>
      </c>
      <c r="F984" t="s">
        <v>18766</v>
      </c>
      <c r="G984" t="s">
        <v>74</v>
      </c>
      <c r="H984" t="s">
        <v>74</v>
      </c>
      <c r="I984" t="s">
        <v>18767</v>
      </c>
      <c r="J984" t="s">
        <v>3656</v>
      </c>
      <c r="K984" t="s">
        <v>74</v>
      </c>
      <c r="L984" t="s">
        <v>74</v>
      </c>
      <c r="M984" t="s">
        <v>78</v>
      </c>
      <c r="N984" t="s">
        <v>79</v>
      </c>
      <c r="O984" t="s">
        <v>74</v>
      </c>
      <c r="P984" t="s">
        <v>74</v>
      </c>
      <c r="Q984" t="s">
        <v>74</v>
      </c>
      <c r="R984" t="s">
        <v>74</v>
      </c>
      <c r="S984" t="s">
        <v>74</v>
      </c>
      <c r="T984" t="s">
        <v>74</v>
      </c>
      <c r="U984" t="s">
        <v>18768</v>
      </c>
      <c r="V984" t="s">
        <v>18769</v>
      </c>
      <c r="W984" t="s">
        <v>18770</v>
      </c>
      <c r="X984" t="s">
        <v>18771</v>
      </c>
      <c r="Y984" t="s">
        <v>18772</v>
      </c>
      <c r="Z984" t="s">
        <v>18773</v>
      </c>
      <c r="AA984" t="s">
        <v>18774</v>
      </c>
      <c r="AB984" t="s">
        <v>18775</v>
      </c>
      <c r="AC984" t="s">
        <v>18776</v>
      </c>
      <c r="AD984" t="s">
        <v>18777</v>
      </c>
      <c r="AE984" t="s">
        <v>18778</v>
      </c>
      <c r="AF984" t="s">
        <v>74</v>
      </c>
      <c r="AG984">
        <v>63</v>
      </c>
      <c r="AH984">
        <v>110</v>
      </c>
      <c r="AI984">
        <v>121</v>
      </c>
      <c r="AJ984">
        <v>13</v>
      </c>
      <c r="AK984">
        <v>62</v>
      </c>
      <c r="AL984" t="s">
        <v>574</v>
      </c>
      <c r="AM984" t="s">
        <v>575</v>
      </c>
      <c r="AN984" t="s">
        <v>576</v>
      </c>
      <c r="AO984" t="s">
        <v>3669</v>
      </c>
      <c r="AP984" t="s">
        <v>3670</v>
      </c>
      <c r="AQ984" t="s">
        <v>74</v>
      </c>
      <c r="AR984" t="s">
        <v>3671</v>
      </c>
      <c r="AS984" t="s">
        <v>3672</v>
      </c>
      <c r="AT984" t="s">
        <v>16620</v>
      </c>
      <c r="AU984">
        <v>2018</v>
      </c>
      <c r="AV984">
        <v>123</v>
      </c>
      <c r="AW984">
        <v>2</v>
      </c>
      <c r="AX984" t="s">
        <v>74</v>
      </c>
      <c r="AY984" t="s">
        <v>74</v>
      </c>
      <c r="AZ984" t="s">
        <v>74</v>
      </c>
      <c r="BA984" t="s">
        <v>74</v>
      </c>
      <c r="BB984">
        <v>1301</v>
      </c>
      <c r="BC984">
        <v>1326</v>
      </c>
      <c r="BD984" t="s">
        <v>74</v>
      </c>
      <c r="BE984" t="s">
        <v>18779</v>
      </c>
      <c r="BF984" t="str">
        <f>HYPERLINK("http://dx.doi.org/10.1002/2017JC013326","http://dx.doi.org/10.1002/2017JC013326")</f>
        <v>http://dx.doi.org/10.1002/2017JC013326</v>
      </c>
      <c r="BG984" t="s">
        <v>74</v>
      </c>
      <c r="BH984" t="s">
        <v>74</v>
      </c>
      <c r="BI984">
        <v>26</v>
      </c>
      <c r="BJ984" t="s">
        <v>364</v>
      </c>
      <c r="BK984" t="s">
        <v>101</v>
      </c>
      <c r="BL984" t="s">
        <v>364</v>
      </c>
      <c r="BM984" t="s">
        <v>16871</v>
      </c>
      <c r="BN984" t="s">
        <v>74</v>
      </c>
      <c r="BO984" t="s">
        <v>1881</v>
      </c>
      <c r="BP984" t="s">
        <v>74</v>
      </c>
      <c r="BQ984" t="s">
        <v>74</v>
      </c>
      <c r="BR984" t="s">
        <v>105</v>
      </c>
      <c r="BS984" t="s">
        <v>18780</v>
      </c>
      <c r="BT984" t="str">
        <f>HYPERLINK("https%3A%2F%2Fwww.webofscience.com%2Fwos%2Fwoscc%2Ffull-record%2FWOS:000427970400034","View Full Record in Web of Science")</f>
        <v>View Full Record in Web of Science</v>
      </c>
    </row>
    <row r="985" spans="1:72" x14ac:dyDescent="0.15">
      <c r="A985" t="s">
        <v>72</v>
      </c>
      <c r="B985" t="s">
        <v>18781</v>
      </c>
      <c r="C985" t="s">
        <v>74</v>
      </c>
      <c r="D985" t="s">
        <v>74</v>
      </c>
      <c r="E985" t="s">
        <v>74</v>
      </c>
      <c r="F985" t="s">
        <v>18782</v>
      </c>
      <c r="G985" t="s">
        <v>74</v>
      </c>
      <c r="H985" t="s">
        <v>74</v>
      </c>
      <c r="I985" t="s">
        <v>18783</v>
      </c>
      <c r="J985" t="s">
        <v>17220</v>
      </c>
      <c r="K985" t="s">
        <v>74</v>
      </c>
      <c r="L985" t="s">
        <v>74</v>
      </c>
      <c r="M985" t="s">
        <v>78</v>
      </c>
      <c r="N985" t="s">
        <v>466</v>
      </c>
      <c r="O985" t="s">
        <v>74</v>
      </c>
      <c r="P985" t="s">
        <v>74</v>
      </c>
      <c r="Q985" t="s">
        <v>74</v>
      </c>
      <c r="R985" t="s">
        <v>74</v>
      </c>
      <c r="S985" t="s">
        <v>74</v>
      </c>
      <c r="T985" t="s">
        <v>18784</v>
      </c>
      <c r="U985" t="s">
        <v>18785</v>
      </c>
      <c r="V985" t="s">
        <v>18786</v>
      </c>
      <c r="W985" t="s">
        <v>18787</v>
      </c>
      <c r="X985" t="s">
        <v>18788</v>
      </c>
      <c r="Y985" t="s">
        <v>18789</v>
      </c>
      <c r="Z985" t="s">
        <v>18790</v>
      </c>
      <c r="AA985" t="s">
        <v>18791</v>
      </c>
      <c r="AB985" t="s">
        <v>18792</v>
      </c>
      <c r="AC985" t="s">
        <v>18793</v>
      </c>
      <c r="AD985" t="s">
        <v>18794</v>
      </c>
      <c r="AE985" t="s">
        <v>18795</v>
      </c>
      <c r="AF985" t="s">
        <v>74</v>
      </c>
      <c r="AG985">
        <v>148</v>
      </c>
      <c r="AH985">
        <v>34</v>
      </c>
      <c r="AI985">
        <v>34</v>
      </c>
      <c r="AJ985">
        <v>3</v>
      </c>
      <c r="AK985">
        <v>49</v>
      </c>
      <c r="AL985" t="s">
        <v>451</v>
      </c>
      <c r="AM985" t="s">
        <v>452</v>
      </c>
      <c r="AN985" t="s">
        <v>453</v>
      </c>
      <c r="AO985" t="s">
        <v>17233</v>
      </c>
      <c r="AP985" t="s">
        <v>17234</v>
      </c>
      <c r="AQ985" t="s">
        <v>74</v>
      </c>
      <c r="AR985" t="s">
        <v>17235</v>
      </c>
      <c r="AS985" t="s">
        <v>17236</v>
      </c>
      <c r="AT985" t="s">
        <v>16620</v>
      </c>
      <c r="AU985">
        <v>2018</v>
      </c>
      <c r="AV985">
        <v>37</v>
      </c>
      <c r="AW985" t="s">
        <v>74</v>
      </c>
      <c r="AX985" t="s">
        <v>74</v>
      </c>
      <c r="AY985" t="s">
        <v>74</v>
      </c>
      <c r="AZ985" t="s">
        <v>74</v>
      </c>
      <c r="BA985" t="s">
        <v>74</v>
      </c>
      <c r="BB985">
        <v>1</v>
      </c>
      <c r="BC985">
        <v>17</v>
      </c>
      <c r="BD985" t="s">
        <v>74</v>
      </c>
      <c r="BE985" t="s">
        <v>18796</v>
      </c>
      <c r="BF985" t="str">
        <f>HYPERLINK("http://dx.doi.org/10.1016/j.margen.2017.09.006","http://dx.doi.org/10.1016/j.margen.2017.09.006")</f>
        <v>http://dx.doi.org/10.1016/j.margen.2017.09.006</v>
      </c>
      <c r="BG985" t="s">
        <v>74</v>
      </c>
      <c r="BH985" t="s">
        <v>74</v>
      </c>
      <c r="BI985">
        <v>17</v>
      </c>
      <c r="BJ985" t="s">
        <v>17238</v>
      </c>
      <c r="BK985" t="s">
        <v>101</v>
      </c>
      <c r="BL985" t="s">
        <v>17238</v>
      </c>
      <c r="BM985" t="s">
        <v>17239</v>
      </c>
      <c r="BN985">
        <v>28970064</v>
      </c>
      <c r="BO985" t="s">
        <v>1316</v>
      </c>
      <c r="BP985" t="s">
        <v>74</v>
      </c>
      <c r="BQ985" t="s">
        <v>74</v>
      </c>
      <c r="BR985" t="s">
        <v>105</v>
      </c>
      <c r="BS985" t="s">
        <v>18797</v>
      </c>
      <c r="BT985" t="str">
        <f>HYPERLINK("https%3A%2F%2Fwww.webofscience.com%2Fwos%2Fwoscc%2Ffull-record%2FWOS:000428974700001","View Full Record in Web of Science")</f>
        <v>View Full Record in Web of Science</v>
      </c>
    </row>
    <row r="986" spans="1:72" x14ac:dyDescent="0.15">
      <c r="A986" t="s">
        <v>72</v>
      </c>
      <c r="B986" t="s">
        <v>18798</v>
      </c>
      <c r="C986" t="s">
        <v>74</v>
      </c>
      <c r="D986" t="s">
        <v>74</v>
      </c>
      <c r="E986" t="s">
        <v>74</v>
      </c>
      <c r="F986" t="s">
        <v>18799</v>
      </c>
      <c r="G986" t="s">
        <v>74</v>
      </c>
      <c r="H986" t="s">
        <v>74</v>
      </c>
      <c r="I986" t="s">
        <v>18800</v>
      </c>
      <c r="J986" t="s">
        <v>17220</v>
      </c>
      <c r="K986" t="s">
        <v>74</v>
      </c>
      <c r="L986" t="s">
        <v>74</v>
      </c>
      <c r="M986" t="s">
        <v>78</v>
      </c>
      <c r="N986" t="s">
        <v>79</v>
      </c>
      <c r="O986" t="s">
        <v>74</v>
      </c>
      <c r="P986" t="s">
        <v>74</v>
      </c>
      <c r="Q986" t="s">
        <v>74</v>
      </c>
      <c r="R986" t="s">
        <v>74</v>
      </c>
      <c r="S986" t="s">
        <v>74</v>
      </c>
      <c r="T986" t="s">
        <v>18801</v>
      </c>
      <c r="U986" t="s">
        <v>18802</v>
      </c>
      <c r="V986" t="s">
        <v>18803</v>
      </c>
      <c r="W986" t="s">
        <v>18804</v>
      </c>
      <c r="X986" t="s">
        <v>3501</v>
      </c>
      <c r="Y986" t="s">
        <v>18805</v>
      </c>
      <c r="Z986" t="s">
        <v>3503</v>
      </c>
      <c r="AA986" t="s">
        <v>18806</v>
      </c>
      <c r="AB986" t="s">
        <v>18807</v>
      </c>
      <c r="AC986" t="s">
        <v>18808</v>
      </c>
      <c r="AD986" t="s">
        <v>18809</v>
      </c>
      <c r="AE986" t="s">
        <v>18810</v>
      </c>
      <c r="AF986" t="s">
        <v>74</v>
      </c>
      <c r="AG986">
        <v>39</v>
      </c>
      <c r="AH986">
        <v>21</v>
      </c>
      <c r="AI986">
        <v>23</v>
      </c>
      <c r="AJ986">
        <v>0</v>
      </c>
      <c r="AK986">
        <v>14</v>
      </c>
      <c r="AL986" t="s">
        <v>914</v>
      </c>
      <c r="AM986" t="s">
        <v>452</v>
      </c>
      <c r="AN986" t="s">
        <v>915</v>
      </c>
      <c r="AO986" t="s">
        <v>17233</v>
      </c>
      <c r="AP986" t="s">
        <v>17234</v>
      </c>
      <c r="AQ986" t="s">
        <v>74</v>
      </c>
      <c r="AR986" t="s">
        <v>17235</v>
      </c>
      <c r="AS986" t="s">
        <v>17236</v>
      </c>
      <c r="AT986" t="s">
        <v>16620</v>
      </c>
      <c r="AU986">
        <v>2018</v>
      </c>
      <c r="AV986">
        <v>37</v>
      </c>
      <c r="AW986" t="s">
        <v>74</v>
      </c>
      <c r="AX986" t="s">
        <v>74</v>
      </c>
      <c r="AY986" t="s">
        <v>74</v>
      </c>
      <c r="AZ986" t="s">
        <v>74</v>
      </c>
      <c r="BA986" t="s">
        <v>74</v>
      </c>
      <c r="BB986">
        <v>176</v>
      </c>
      <c r="BC986">
        <v>181</v>
      </c>
      <c r="BD986" t="s">
        <v>74</v>
      </c>
      <c r="BE986" t="s">
        <v>18811</v>
      </c>
      <c r="BF986" t="str">
        <f>HYPERLINK("http://dx.doi.org/10.1016/j.margen.2017.11.005","http://dx.doi.org/10.1016/j.margen.2017.11.005")</f>
        <v>http://dx.doi.org/10.1016/j.margen.2017.11.005</v>
      </c>
      <c r="BG986" t="s">
        <v>74</v>
      </c>
      <c r="BH986" t="s">
        <v>74</v>
      </c>
      <c r="BI986">
        <v>6</v>
      </c>
      <c r="BJ986" t="s">
        <v>17238</v>
      </c>
      <c r="BK986" t="s">
        <v>101</v>
      </c>
      <c r="BL986" t="s">
        <v>17238</v>
      </c>
      <c r="BM986" t="s">
        <v>17239</v>
      </c>
      <c r="BN986">
        <v>29175002</v>
      </c>
      <c r="BO986" t="s">
        <v>74</v>
      </c>
      <c r="BP986" t="s">
        <v>74</v>
      </c>
      <c r="BQ986" t="s">
        <v>74</v>
      </c>
      <c r="BR986" t="s">
        <v>105</v>
      </c>
      <c r="BS986" t="s">
        <v>18812</v>
      </c>
      <c r="BT986" t="str">
        <f>HYPERLINK("https%3A%2F%2Fwww.webofscience.com%2Fwos%2Fwoscc%2Ffull-record%2FWOS:000428974700024","View Full Record in Web of Science")</f>
        <v>View Full Record in Web of Science</v>
      </c>
    </row>
    <row r="987" spans="1:72" x14ac:dyDescent="0.15">
      <c r="A987" t="s">
        <v>72</v>
      </c>
      <c r="B987" t="s">
        <v>18813</v>
      </c>
      <c r="C987" t="s">
        <v>74</v>
      </c>
      <c r="D987" t="s">
        <v>74</v>
      </c>
      <c r="E987" t="s">
        <v>74</v>
      </c>
      <c r="F987" t="s">
        <v>18814</v>
      </c>
      <c r="G987" t="s">
        <v>74</v>
      </c>
      <c r="H987" t="s">
        <v>74</v>
      </c>
      <c r="I987" t="s">
        <v>18815</v>
      </c>
      <c r="J987" t="s">
        <v>4571</v>
      </c>
      <c r="K987" t="s">
        <v>74</v>
      </c>
      <c r="L987" t="s">
        <v>74</v>
      </c>
      <c r="M987" t="s">
        <v>78</v>
      </c>
      <c r="N987" t="s">
        <v>371</v>
      </c>
      <c r="O987" t="s">
        <v>74</v>
      </c>
      <c r="P987" t="s">
        <v>74</v>
      </c>
      <c r="Q987" t="s">
        <v>74</v>
      </c>
      <c r="R987" t="s">
        <v>74</v>
      </c>
      <c r="S987" t="s">
        <v>74</v>
      </c>
      <c r="T987" t="s">
        <v>74</v>
      </c>
      <c r="U987" t="s">
        <v>18816</v>
      </c>
      <c r="V987" t="s">
        <v>74</v>
      </c>
      <c r="W987" t="s">
        <v>18817</v>
      </c>
      <c r="X987" t="s">
        <v>18818</v>
      </c>
      <c r="Y987" t="s">
        <v>18819</v>
      </c>
      <c r="Z987" t="s">
        <v>18820</v>
      </c>
      <c r="AA987" t="s">
        <v>5833</v>
      </c>
      <c r="AB987" t="s">
        <v>18821</v>
      </c>
      <c r="AC987" t="s">
        <v>18822</v>
      </c>
      <c r="AD987" t="s">
        <v>18823</v>
      </c>
      <c r="AE987" t="s">
        <v>18824</v>
      </c>
      <c r="AF987" t="s">
        <v>74</v>
      </c>
      <c r="AG987">
        <v>34</v>
      </c>
      <c r="AH987">
        <v>1</v>
      </c>
      <c r="AI987">
        <v>1</v>
      </c>
      <c r="AJ987">
        <v>0</v>
      </c>
      <c r="AK987">
        <v>3</v>
      </c>
      <c r="AL987" t="s">
        <v>179</v>
      </c>
      <c r="AM987" t="s">
        <v>180</v>
      </c>
      <c r="AN987" t="s">
        <v>181</v>
      </c>
      <c r="AO987" t="s">
        <v>4582</v>
      </c>
      <c r="AP987" t="s">
        <v>4583</v>
      </c>
      <c r="AQ987" t="s">
        <v>74</v>
      </c>
      <c r="AR987" t="s">
        <v>4584</v>
      </c>
      <c r="AS987" t="s">
        <v>4585</v>
      </c>
      <c r="AT987" t="s">
        <v>16620</v>
      </c>
      <c r="AU987">
        <v>2018</v>
      </c>
      <c r="AV987">
        <v>53</v>
      </c>
      <c r="AW987">
        <v>2</v>
      </c>
      <c r="AX987" t="s">
        <v>74</v>
      </c>
      <c r="AY987" t="s">
        <v>74</v>
      </c>
      <c r="AZ987" t="s">
        <v>74</v>
      </c>
      <c r="BA987" t="s">
        <v>74</v>
      </c>
      <c r="BB987">
        <v>326</v>
      </c>
      <c r="BC987">
        <v>332</v>
      </c>
      <c r="BD987" t="s">
        <v>74</v>
      </c>
      <c r="BE987" t="s">
        <v>18825</v>
      </c>
      <c r="BF987" t="str">
        <f>HYPERLINK("http://dx.doi.org/10.1111/maps.13013","http://dx.doi.org/10.1111/maps.13013")</f>
        <v>http://dx.doi.org/10.1111/maps.13013</v>
      </c>
      <c r="BG987" t="s">
        <v>74</v>
      </c>
      <c r="BH987" t="s">
        <v>74</v>
      </c>
      <c r="BI987">
        <v>7</v>
      </c>
      <c r="BJ987" t="s">
        <v>260</v>
      </c>
      <c r="BK987" t="s">
        <v>101</v>
      </c>
      <c r="BL987" t="s">
        <v>260</v>
      </c>
      <c r="BM987" t="s">
        <v>18404</v>
      </c>
      <c r="BN987" t="s">
        <v>74</v>
      </c>
      <c r="BO987" t="s">
        <v>2416</v>
      </c>
      <c r="BP987" t="s">
        <v>74</v>
      </c>
      <c r="BQ987" t="s">
        <v>74</v>
      </c>
      <c r="BR987" t="s">
        <v>105</v>
      </c>
      <c r="BS987" t="s">
        <v>18826</v>
      </c>
      <c r="BT987" t="str">
        <f>HYPERLINK("https%3A%2F%2Fwww.webofscience.com%2Fwos%2Fwoscc%2Ffull-record%2FWOS:000423852400010","View Full Record in Web of Science")</f>
        <v>View Full Record in Web of Science</v>
      </c>
    </row>
    <row r="988" spans="1:72" x14ac:dyDescent="0.15">
      <c r="A988" t="s">
        <v>72</v>
      </c>
      <c r="B988" t="s">
        <v>18827</v>
      </c>
      <c r="C988" t="s">
        <v>74</v>
      </c>
      <c r="D988" t="s">
        <v>74</v>
      </c>
      <c r="E988" t="s">
        <v>74</v>
      </c>
      <c r="F988" t="s">
        <v>18828</v>
      </c>
      <c r="G988" t="s">
        <v>74</v>
      </c>
      <c r="H988" t="s">
        <v>74</v>
      </c>
      <c r="I988" t="s">
        <v>18829</v>
      </c>
      <c r="J988" t="s">
        <v>4571</v>
      </c>
      <c r="K988" t="s">
        <v>74</v>
      </c>
      <c r="L988" t="s">
        <v>74</v>
      </c>
      <c r="M988" t="s">
        <v>78</v>
      </c>
      <c r="N988" t="s">
        <v>371</v>
      </c>
      <c r="O988" t="s">
        <v>74</v>
      </c>
      <c r="P988" t="s">
        <v>74</v>
      </c>
      <c r="Q988" t="s">
        <v>74</v>
      </c>
      <c r="R988" t="s">
        <v>74</v>
      </c>
      <c r="S988" t="s">
        <v>74</v>
      </c>
      <c r="T988" t="s">
        <v>74</v>
      </c>
      <c r="U988" t="s">
        <v>18830</v>
      </c>
      <c r="V988" t="s">
        <v>74</v>
      </c>
      <c r="W988" t="s">
        <v>18831</v>
      </c>
      <c r="X988" t="s">
        <v>18832</v>
      </c>
      <c r="Y988" t="s">
        <v>18833</v>
      </c>
      <c r="Z988" t="s">
        <v>18834</v>
      </c>
      <c r="AA988" t="s">
        <v>74</v>
      </c>
      <c r="AB988" t="s">
        <v>18835</v>
      </c>
      <c r="AC988" t="s">
        <v>74</v>
      </c>
      <c r="AD988" t="s">
        <v>74</v>
      </c>
      <c r="AE988" t="s">
        <v>74</v>
      </c>
      <c r="AF988" t="s">
        <v>74</v>
      </c>
      <c r="AG988">
        <v>32</v>
      </c>
      <c r="AH988">
        <v>1</v>
      </c>
      <c r="AI988">
        <v>1</v>
      </c>
      <c r="AJ988">
        <v>0</v>
      </c>
      <c r="AK988">
        <v>4</v>
      </c>
      <c r="AL988" t="s">
        <v>179</v>
      </c>
      <c r="AM988" t="s">
        <v>180</v>
      </c>
      <c r="AN988" t="s">
        <v>181</v>
      </c>
      <c r="AO988" t="s">
        <v>4582</v>
      </c>
      <c r="AP988" t="s">
        <v>4583</v>
      </c>
      <c r="AQ988" t="s">
        <v>74</v>
      </c>
      <c r="AR988" t="s">
        <v>4584</v>
      </c>
      <c r="AS988" t="s">
        <v>4585</v>
      </c>
      <c r="AT988" t="s">
        <v>16620</v>
      </c>
      <c r="AU988">
        <v>2018</v>
      </c>
      <c r="AV988">
        <v>53</v>
      </c>
      <c r="AW988">
        <v>2</v>
      </c>
      <c r="AX988" t="s">
        <v>74</v>
      </c>
      <c r="AY988" t="s">
        <v>74</v>
      </c>
      <c r="AZ988" t="s">
        <v>74</v>
      </c>
      <c r="BA988" t="s">
        <v>74</v>
      </c>
      <c r="BB988">
        <v>333</v>
      </c>
      <c r="BC988">
        <v>340</v>
      </c>
      <c r="BD988" t="s">
        <v>74</v>
      </c>
      <c r="BE988" t="s">
        <v>18836</v>
      </c>
      <c r="BF988" t="str">
        <f>HYPERLINK("http://dx.doi.org/10.1111/maps.13010","http://dx.doi.org/10.1111/maps.13010")</f>
        <v>http://dx.doi.org/10.1111/maps.13010</v>
      </c>
      <c r="BG988" t="s">
        <v>74</v>
      </c>
      <c r="BH988" t="s">
        <v>74</v>
      </c>
      <c r="BI988">
        <v>8</v>
      </c>
      <c r="BJ988" t="s">
        <v>260</v>
      </c>
      <c r="BK988" t="s">
        <v>101</v>
      </c>
      <c r="BL988" t="s">
        <v>260</v>
      </c>
      <c r="BM988" t="s">
        <v>18404</v>
      </c>
      <c r="BN988" t="s">
        <v>74</v>
      </c>
      <c r="BO988" t="s">
        <v>162</v>
      </c>
      <c r="BP988" t="s">
        <v>74</v>
      </c>
      <c r="BQ988" t="s">
        <v>74</v>
      </c>
      <c r="BR988" t="s">
        <v>105</v>
      </c>
      <c r="BS988" t="s">
        <v>18837</v>
      </c>
      <c r="BT988" t="str">
        <f>HYPERLINK("https%3A%2F%2Fwww.webofscience.com%2Fwos%2Fwoscc%2Ffull-record%2FWOS:000423852400011","View Full Record in Web of Science")</f>
        <v>View Full Record in Web of Science</v>
      </c>
    </row>
    <row r="989" spans="1:72" x14ac:dyDescent="0.15">
      <c r="A989" t="s">
        <v>72</v>
      </c>
      <c r="B989" t="s">
        <v>8487</v>
      </c>
      <c r="C989" t="s">
        <v>74</v>
      </c>
      <c r="D989" t="s">
        <v>74</v>
      </c>
      <c r="E989" t="s">
        <v>74</v>
      </c>
      <c r="F989" t="s">
        <v>8487</v>
      </c>
      <c r="G989" t="s">
        <v>74</v>
      </c>
      <c r="H989" t="s">
        <v>74</v>
      </c>
      <c r="I989" t="s">
        <v>18838</v>
      </c>
      <c r="J989" t="s">
        <v>7724</v>
      </c>
      <c r="K989" t="s">
        <v>74</v>
      </c>
      <c r="L989" t="s">
        <v>74</v>
      </c>
      <c r="M989" t="s">
        <v>78</v>
      </c>
      <c r="N989" t="s">
        <v>371</v>
      </c>
      <c r="O989" t="s">
        <v>74</v>
      </c>
      <c r="P989" t="s">
        <v>74</v>
      </c>
      <c r="Q989" t="s">
        <v>74</v>
      </c>
      <c r="R989" t="s">
        <v>74</v>
      </c>
      <c r="S989" t="s">
        <v>74</v>
      </c>
      <c r="T989" t="s">
        <v>74</v>
      </c>
      <c r="U989" t="s">
        <v>18839</v>
      </c>
      <c r="V989" t="s">
        <v>74</v>
      </c>
      <c r="W989" t="s">
        <v>74</v>
      </c>
      <c r="X989" t="s">
        <v>74</v>
      </c>
      <c r="Y989" t="s">
        <v>74</v>
      </c>
      <c r="Z989" t="s">
        <v>74</v>
      </c>
      <c r="AA989" t="s">
        <v>74</v>
      </c>
      <c r="AB989" t="s">
        <v>74</v>
      </c>
      <c r="AC989" t="s">
        <v>74</v>
      </c>
      <c r="AD989" t="s">
        <v>74</v>
      </c>
      <c r="AE989" t="s">
        <v>74</v>
      </c>
      <c r="AF989" t="s">
        <v>74</v>
      </c>
      <c r="AG989">
        <v>11</v>
      </c>
      <c r="AH989">
        <v>0</v>
      </c>
      <c r="AI989">
        <v>0</v>
      </c>
      <c r="AJ989">
        <v>0</v>
      </c>
      <c r="AK989">
        <v>8</v>
      </c>
      <c r="AL989" t="s">
        <v>1689</v>
      </c>
      <c r="AM989" t="s">
        <v>92</v>
      </c>
      <c r="AN989" t="s">
        <v>7736</v>
      </c>
      <c r="AO989" t="s">
        <v>7737</v>
      </c>
      <c r="AP989" t="s">
        <v>7738</v>
      </c>
      <c r="AQ989" t="s">
        <v>74</v>
      </c>
      <c r="AR989" t="s">
        <v>7739</v>
      </c>
      <c r="AS989" t="s">
        <v>7740</v>
      </c>
      <c r="AT989" t="s">
        <v>16620</v>
      </c>
      <c r="AU989">
        <v>2018</v>
      </c>
      <c r="AV989">
        <v>11</v>
      </c>
      <c r="AW989">
        <v>2</v>
      </c>
      <c r="AX989" t="s">
        <v>74</v>
      </c>
      <c r="AY989" t="s">
        <v>74</v>
      </c>
      <c r="AZ989" t="s">
        <v>74</v>
      </c>
      <c r="BA989" t="s">
        <v>74</v>
      </c>
      <c r="BB989">
        <v>83</v>
      </c>
      <c r="BC989">
        <v>83</v>
      </c>
      <c r="BD989" t="s">
        <v>74</v>
      </c>
      <c r="BE989" t="s">
        <v>18840</v>
      </c>
      <c r="BF989" t="str">
        <f>HYPERLINK("http://dx.doi.org/10.1038/s41561-018-0068-x","http://dx.doi.org/10.1038/s41561-018-0068-x")</f>
        <v>http://dx.doi.org/10.1038/s41561-018-0068-x</v>
      </c>
      <c r="BG989" t="s">
        <v>74</v>
      </c>
      <c r="BH989" t="s">
        <v>74</v>
      </c>
      <c r="BI989">
        <v>1</v>
      </c>
      <c r="BJ989" t="s">
        <v>1243</v>
      </c>
      <c r="BK989" t="s">
        <v>101</v>
      </c>
      <c r="BL989" t="s">
        <v>1181</v>
      </c>
      <c r="BM989" t="s">
        <v>18841</v>
      </c>
      <c r="BN989" t="s">
        <v>74</v>
      </c>
      <c r="BO989" t="s">
        <v>162</v>
      </c>
      <c r="BP989" t="s">
        <v>74</v>
      </c>
      <c r="BQ989" t="s">
        <v>74</v>
      </c>
      <c r="BR989" t="s">
        <v>105</v>
      </c>
      <c r="BS989" t="s">
        <v>18842</v>
      </c>
      <c r="BT989" t="str">
        <f>HYPERLINK("https%3A%2F%2Fwww.webofscience.com%2Fwos%2Fwoscc%2Ffull-record%2FWOS:000423843600001","View Full Record in Web of Science")</f>
        <v>View Full Record in Web of Science</v>
      </c>
    </row>
    <row r="990" spans="1:72" x14ac:dyDescent="0.15">
      <c r="A990" t="s">
        <v>72</v>
      </c>
      <c r="B990" t="s">
        <v>18843</v>
      </c>
      <c r="C990" t="s">
        <v>74</v>
      </c>
      <c r="D990" t="s">
        <v>74</v>
      </c>
      <c r="E990" t="s">
        <v>74</v>
      </c>
      <c r="F990" t="s">
        <v>18844</v>
      </c>
      <c r="G990" t="s">
        <v>74</v>
      </c>
      <c r="H990" t="s">
        <v>74</v>
      </c>
      <c r="I990" t="s">
        <v>18845</v>
      </c>
      <c r="J990" t="s">
        <v>7724</v>
      </c>
      <c r="K990" t="s">
        <v>74</v>
      </c>
      <c r="L990" t="s">
        <v>74</v>
      </c>
      <c r="M990" t="s">
        <v>78</v>
      </c>
      <c r="N990" t="s">
        <v>79</v>
      </c>
      <c r="O990" t="s">
        <v>74</v>
      </c>
      <c r="P990" t="s">
        <v>74</v>
      </c>
      <c r="Q990" t="s">
        <v>74</v>
      </c>
      <c r="R990" t="s">
        <v>74</v>
      </c>
      <c r="S990" t="s">
        <v>74</v>
      </c>
      <c r="T990" t="s">
        <v>74</v>
      </c>
      <c r="U990" t="s">
        <v>18846</v>
      </c>
      <c r="V990" t="s">
        <v>18847</v>
      </c>
      <c r="W990" t="s">
        <v>18848</v>
      </c>
      <c r="X990" t="s">
        <v>18849</v>
      </c>
      <c r="Y990" t="s">
        <v>18850</v>
      </c>
      <c r="Z990" t="s">
        <v>18851</v>
      </c>
      <c r="AA990" t="s">
        <v>18852</v>
      </c>
      <c r="AB990" t="s">
        <v>18853</v>
      </c>
      <c r="AC990" t="s">
        <v>18854</v>
      </c>
      <c r="AD990" t="s">
        <v>18855</v>
      </c>
      <c r="AE990" t="s">
        <v>18856</v>
      </c>
      <c r="AF990" t="s">
        <v>74</v>
      </c>
      <c r="AG990">
        <v>94</v>
      </c>
      <c r="AH990">
        <v>71</v>
      </c>
      <c r="AI990">
        <v>74</v>
      </c>
      <c r="AJ990">
        <v>8</v>
      </c>
      <c r="AK990">
        <v>73</v>
      </c>
      <c r="AL990" t="s">
        <v>1663</v>
      </c>
      <c r="AM990" t="s">
        <v>1664</v>
      </c>
      <c r="AN990" t="s">
        <v>1665</v>
      </c>
      <c r="AO990" t="s">
        <v>7737</v>
      </c>
      <c r="AP990" t="s">
        <v>7738</v>
      </c>
      <c r="AQ990" t="s">
        <v>74</v>
      </c>
      <c r="AR990" t="s">
        <v>7739</v>
      </c>
      <c r="AS990" t="s">
        <v>7740</v>
      </c>
      <c r="AT990" t="s">
        <v>16620</v>
      </c>
      <c r="AU990">
        <v>2018</v>
      </c>
      <c r="AV990">
        <v>11</v>
      </c>
      <c r="AW990">
        <v>2</v>
      </c>
      <c r="AX990" t="s">
        <v>74</v>
      </c>
      <c r="AY990" t="s">
        <v>74</v>
      </c>
      <c r="AZ990" t="s">
        <v>74</v>
      </c>
      <c r="BA990" t="s">
        <v>74</v>
      </c>
      <c r="BB990">
        <v>88</v>
      </c>
      <c r="BC990" t="s">
        <v>7716</v>
      </c>
      <c r="BD990" t="s">
        <v>74</v>
      </c>
      <c r="BE990" t="s">
        <v>18857</v>
      </c>
      <c r="BF990" t="str">
        <f>HYPERLINK("http://dx.doi.org/10.1038/s41561-017-0057-5","http://dx.doi.org/10.1038/s41561-017-0057-5")</f>
        <v>http://dx.doi.org/10.1038/s41561-017-0057-5</v>
      </c>
      <c r="BG990" t="s">
        <v>74</v>
      </c>
      <c r="BH990" t="s">
        <v>74</v>
      </c>
      <c r="BI990">
        <v>10</v>
      </c>
      <c r="BJ990" t="s">
        <v>1243</v>
      </c>
      <c r="BK990" t="s">
        <v>101</v>
      </c>
      <c r="BL990" t="s">
        <v>1181</v>
      </c>
      <c r="BM990" t="s">
        <v>18841</v>
      </c>
      <c r="BN990" t="s">
        <v>74</v>
      </c>
      <c r="BO990" t="s">
        <v>74</v>
      </c>
      <c r="BP990" t="s">
        <v>74</v>
      </c>
      <c r="BQ990" t="s">
        <v>74</v>
      </c>
      <c r="BR990" t="s">
        <v>105</v>
      </c>
      <c r="BS990" t="s">
        <v>18858</v>
      </c>
      <c r="BT990" t="str">
        <f>HYPERLINK("https%3A%2F%2Fwww.webofscience.com%2Fwos%2Fwoscc%2Ffull-record%2FWOS:000423843600005","View Full Record in Web of Science")</f>
        <v>View Full Record in Web of Science</v>
      </c>
    </row>
    <row r="991" spans="1:72" x14ac:dyDescent="0.15">
      <c r="A991" t="s">
        <v>72</v>
      </c>
      <c r="B991" t="s">
        <v>14374</v>
      </c>
      <c r="C991" t="s">
        <v>74</v>
      </c>
      <c r="D991" t="s">
        <v>74</v>
      </c>
      <c r="E991" t="s">
        <v>74</v>
      </c>
      <c r="F991" t="s">
        <v>14375</v>
      </c>
      <c r="G991" t="s">
        <v>74</v>
      </c>
      <c r="H991" t="s">
        <v>74</v>
      </c>
      <c r="I991" t="s">
        <v>18859</v>
      </c>
      <c r="J991" t="s">
        <v>7724</v>
      </c>
      <c r="K991" t="s">
        <v>74</v>
      </c>
      <c r="L991" t="s">
        <v>74</v>
      </c>
      <c r="M991" t="s">
        <v>78</v>
      </c>
      <c r="N991" t="s">
        <v>79</v>
      </c>
      <c r="O991" t="s">
        <v>74</v>
      </c>
      <c r="P991" t="s">
        <v>74</v>
      </c>
      <c r="Q991" t="s">
        <v>74</v>
      </c>
      <c r="R991" t="s">
        <v>74</v>
      </c>
      <c r="S991" t="s">
        <v>74</v>
      </c>
      <c r="T991" t="s">
        <v>74</v>
      </c>
      <c r="U991" t="s">
        <v>18860</v>
      </c>
      <c r="V991" t="s">
        <v>18861</v>
      </c>
      <c r="W991" t="s">
        <v>18862</v>
      </c>
      <c r="X991" t="s">
        <v>18863</v>
      </c>
      <c r="Y991" t="s">
        <v>18864</v>
      </c>
      <c r="Z991" t="s">
        <v>18865</v>
      </c>
      <c r="AA991" t="s">
        <v>18866</v>
      </c>
      <c r="AB991" t="s">
        <v>18867</v>
      </c>
      <c r="AC991" t="s">
        <v>18868</v>
      </c>
      <c r="AD991" t="s">
        <v>3905</v>
      </c>
      <c r="AE991" t="s">
        <v>18869</v>
      </c>
      <c r="AF991" t="s">
        <v>74</v>
      </c>
      <c r="AG991">
        <v>69</v>
      </c>
      <c r="AH991">
        <v>102</v>
      </c>
      <c r="AI991">
        <v>109</v>
      </c>
      <c r="AJ991">
        <v>6</v>
      </c>
      <c r="AK991">
        <v>73</v>
      </c>
      <c r="AL991" t="s">
        <v>1689</v>
      </c>
      <c r="AM991" t="s">
        <v>92</v>
      </c>
      <c r="AN991" t="s">
        <v>7736</v>
      </c>
      <c r="AO991" t="s">
        <v>7737</v>
      </c>
      <c r="AP991" t="s">
        <v>7738</v>
      </c>
      <c r="AQ991" t="s">
        <v>74</v>
      </c>
      <c r="AR991" t="s">
        <v>7739</v>
      </c>
      <c r="AS991" t="s">
        <v>7740</v>
      </c>
      <c r="AT991" t="s">
        <v>16620</v>
      </c>
      <c r="AU991">
        <v>2018</v>
      </c>
      <c r="AV991">
        <v>11</v>
      </c>
      <c r="AW991">
        <v>2</v>
      </c>
      <c r="AX991" t="s">
        <v>74</v>
      </c>
      <c r="AY991" t="s">
        <v>74</v>
      </c>
      <c r="AZ991" t="s">
        <v>74</v>
      </c>
      <c r="BA991" t="s">
        <v>74</v>
      </c>
      <c r="BB991">
        <v>121</v>
      </c>
      <c r="BC991" t="s">
        <v>7716</v>
      </c>
      <c r="BD991" t="s">
        <v>74</v>
      </c>
      <c r="BE991" t="s">
        <v>18870</v>
      </c>
      <c r="BF991" t="str">
        <f>HYPERLINK("http://dx.doi.org/10.1038/s41561-017-0033-0","http://dx.doi.org/10.1038/s41561-017-0033-0")</f>
        <v>http://dx.doi.org/10.1038/s41561-017-0033-0</v>
      </c>
      <c r="BG991" t="s">
        <v>74</v>
      </c>
      <c r="BH991" t="s">
        <v>74</v>
      </c>
      <c r="BI991">
        <v>9</v>
      </c>
      <c r="BJ991" t="s">
        <v>1243</v>
      </c>
      <c r="BK991" t="s">
        <v>101</v>
      </c>
      <c r="BL991" t="s">
        <v>1181</v>
      </c>
      <c r="BM991" t="s">
        <v>18841</v>
      </c>
      <c r="BN991">
        <v>29333198</v>
      </c>
      <c r="BO991" t="s">
        <v>8310</v>
      </c>
      <c r="BP991" t="s">
        <v>74</v>
      </c>
      <c r="BQ991" t="s">
        <v>74</v>
      </c>
      <c r="BR991" t="s">
        <v>105</v>
      </c>
      <c r="BS991" t="s">
        <v>18871</v>
      </c>
      <c r="BT991" t="str">
        <f>HYPERLINK("https%3A%2F%2Fwww.webofscience.com%2Fwos%2Fwoscc%2Ffull-record%2FWOS:000423843600010","View Full Record in Web of Science")</f>
        <v>View Full Record in Web of Science</v>
      </c>
    </row>
    <row r="992" spans="1:72" x14ac:dyDescent="0.15">
      <c r="A992" t="s">
        <v>72</v>
      </c>
      <c r="B992" t="s">
        <v>18872</v>
      </c>
      <c r="C992" t="s">
        <v>74</v>
      </c>
      <c r="D992" t="s">
        <v>74</v>
      </c>
      <c r="E992" t="s">
        <v>74</v>
      </c>
      <c r="F992" t="s">
        <v>18873</v>
      </c>
      <c r="G992" t="s">
        <v>74</v>
      </c>
      <c r="H992" t="s">
        <v>74</v>
      </c>
      <c r="I992" t="s">
        <v>18874</v>
      </c>
      <c r="J992" t="s">
        <v>18875</v>
      </c>
      <c r="K992" t="s">
        <v>74</v>
      </c>
      <c r="L992" t="s">
        <v>74</v>
      </c>
      <c r="M992" t="s">
        <v>78</v>
      </c>
      <c r="N992" t="s">
        <v>371</v>
      </c>
      <c r="O992" t="s">
        <v>74</v>
      </c>
      <c r="P992" t="s">
        <v>74</v>
      </c>
      <c r="Q992" t="s">
        <v>74</v>
      </c>
      <c r="R992" t="s">
        <v>74</v>
      </c>
      <c r="S992" t="s">
        <v>74</v>
      </c>
      <c r="T992" t="s">
        <v>74</v>
      </c>
      <c r="U992" t="s">
        <v>74</v>
      </c>
      <c r="V992" t="s">
        <v>18876</v>
      </c>
      <c r="W992" t="s">
        <v>18877</v>
      </c>
      <c r="X992" t="s">
        <v>18878</v>
      </c>
      <c r="Y992" t="s">
        <v>18879</v>
      </c>
      <c r="Z992" t="s">
        <v>18880</v>
      </c>
      <c r="AA992" t="s">
        <v>18881</v>
      </c>
      <c r="AB992" t="s">
        <v>18882</v>
      </c>
      <c r="AC992" t="s">
        <v>18883</v>
      </c>
      <c r="AD992" t="s">
        <v>18884</v>
      </c>
      <c r="AE992" t="s">
        <v>18885</v>
      </c>
      <c r="AF992" t="s">
        <v>74</v>
      </c>
      <c r="AG992">
        <v>5</v>
      </c>
      <c r="AH992">
        <v>25</v>
      </c>
      <c r="AI992">
        <v>28</v>
      </c>
      <c r="AJ992">
        <v>0</v>
      </c>
      <c r="AK992">
        <v>31</v>
      </c>
      <c r="AL992" t="s">
        <v>1689</v>
      </c>
      <c r="AM992" t="s">
        <v>1540</v>
      </c>
      <c r="AN992" t="s">
        <v>1690</v>
      </c>
      <c r="AO992" t="s">
        <v>18886</v>
      </c>
      <c r="AP992" t="s">
        <v>18887</v>
      </c>
      <c r="AQ992" t="s">
        <v>74</v>
      </c>
      <c r="AR992" t="s">
        <v>18888</v>
      </c>
      <c r="AS992" t="s">
        <v>18889</v>
      </c>
      <c r="AT992" t="s">
        <v>16620</v>
      </c>
      <c r="AU992">
        <v>2018</v>
      </c>
      <c r="AV992">
        <v>16</v>
      </c>
      <c r="AW992">
        <v>2</v>
      </c>
      <c r="AX992" t="s">
        <v>74</v>
      </c>
      <c r="AY992" t="s">
        <v>74</v>
      </c>
      <c r="AZ992" t="s">
        <v>74</v>
      </c>
      <c r="BA992" t="s">
        <v>74</v>
      </c>
      <c r="BB992">
        <v>61</v>
      </c>
      <c r="BC992">
        <v>62</v>
      </c>
      <c r="BD992" t="s">
        <v>74</v>
      </c>
      <c r="BE992" t="s">
        <v>18890</v>
      </c>
      <c r="BF992" t="str">
        <f>HYPERLINK("http://dx.doi.org/10.1038/nrmicro.2017.174","http://dx.doi.org/10.1038/nrmicro.2017.174")</f>
        <v>http://dx.doi.org/10.1038/nrmicro.2017.174</v>
      </c>
      <c r="BG992" t="s">
        <v>74</v>
      </c>
      <c r="BH992" t="s">
        <v>74</v>
      </c>
      <c r="BI992">
        <v>2</v>
      </c>
      <c r="BJ992" t="s">
        <v>510</v>
      </c>
      <c r="BK992" t="s">
        <v>101</v>
      </c>
      <c r="BL992" t="s">
        <v>510</v>
      </c>
      <c r="BM992" t="s">
        <v>18891</v>
      </c>
      <c r="BN992">
        <v>29332942</v>
      </c>
      <c r="BO992" t="s">
        <v>4341</v>
      </c>
      <c r="BP992" t="s">
        <v>74</v>
      </c>
      <c r="BQ992" t="s">
        <v>74</v>
      </c>
      <c r="BR992" t="s">
        <v>105</v>
      </c>
      <c r="BS992" t="s">
        <v>18892</v>
      </c>
      <c r="BT992" t="str">
        <f>HYPERLINK("https%3A%2F%2Fwww.webofscience.com%2Fwos%2Fwoscc%2Ffull-record%2FWOS:000422624500001","View Full Record in Web of Science")</f>
        <v>View Full Record in Web of Science</v>
      </c>
    </row>
    <row r="993" spans="1:72" x14ac:dyDescent="0.15">
      <c r="A993" t="s">
        <v>72</v>
      </c>
      <c r="B993" t="s">
        <v>18893</v>
      </c>
      <c r="C993" t="s">
        <v>74</v>
      </c>
      <c r="D993" t="s">
        <v>74</v>
      </c>
      <c r="E993" t="s">
        <v>74</v>
      </c>
      <c r="F993" t="s">
        <v>18894</v>
      </c>
      <c r="G993" t="s">
        <v>74</v>
      </c>
      <c r="H993" t="s">
        <v>74</v>
      </c>
      <c r="I993" t="s">
        <v>18895</v>
      </c>
      <c r="J993" t="s">
        <v>77</v>
      </c>
      <c r="K993" t="s">
        <v>74</v>
      </c>
      <c r="L993" t="s">
        <v>74</v>
      </c>
      <c r="M993" t="s">
        <v>78</v>
      </c>
      <c r="N993" t="s">
        <v>79</v>
      </c>
      <c r="O993" t="s">
        <v>74</v>
      </c>
      <c r="P993" t="s">
        <v>74</v>
      </c>
      <c r="Q993" t="s">
        <v>74</v>
      </c>
      <c r="R993" t="s">
        <v>74</v>
      </c>
      <c r="S993" t="s">
        <v>74</v>
      </c>
      <c r="T993" t="s">
        <v>18896</v>
      </c>
      <c r="U993" t="s">
        <v>18897</v>
      </c>
      <c r="V993" t="s">
        <v>18898</v>
      </c>
      <c r="W993" t="s">
        <v>18899</v>
      </c>
      <c r="X993" t="s">
        <v>18900</v>
      </c>
      <c r="Y993" t="s">
        <v>18901</v>
      </c>
      <c r="Z993" t="s">
        <v>18902</v>
      </c>
      <c r="AA993" t="s">
        <v>18903</v>
      </c>
      <c r="AB993" t="s">
        <v>18904</v>
      </c>
      <c r="AC993" t="s">
        <v>18905</v>
      </c>
      <c r="AD993" t="s">
        <v>18906</v>
      </c>
      <c r="AE993" t="s">
        <v>18907</v>
      </c>
      <c r="AF993" t="s">
        <v>74</v>
      </c>
      <c r="AG993">
        <v>23</v>
      </c>
      <c r="AH993">
        <v>88</v>
      </c>
      <c r="AI993">
        <v>97</v>
      </c>
      <c r="AJ993">
        <v>2</v>
      </c>
      <c r="AK993">
        <v>78</v>
      </c>
      <c r="AL993" t="s">
        <v>91</v>
      </c>
      <c r="AM993" t="s">
        <v>92</v>
      </c>
      <c r="AN993" t="s">
        <v>93</v>
      </c>
      <c r="AO993" t="s">
        <v>94</v>
      </c>
      <c r="AP993" t="s">
        <v>95</v>
      </c>
      <c r="AQ993" t="s">
        <v>74</v>
      </c>
      <c r="AR993" t="s">
        <v>96</v>
      </c>
      <c r="AS993" t="s">
        <v>97</v>
      </c>
      <c r="AT993" t="s">
        <v>16620</v>
      </c>
      <c r="AU993">
        <v>2018</v>
      </c>
      <c r="AV993">
        <v>41</v>
      </c>
      <c r="AW993">
        <v>2</v>
      </c>
      <c r="AX993" t="s">
        <v>74</v>
      </c>
      <c r="AY993" t="s">
        <v>74</v>
      </c>
      <c r="AZ993" t="s">
        <v>74</v>
      </c>
      <c r="BA993" t="s">
        <v>74</v>
      </c>
      <c r="BB993">
        <v>259</v>
      </c>
      <c r="BC993">
        <v>266</v>
      </c>
      <c r="BD993" t="s">
        <v>74</v>
      </c>
      <c r="BE993" t="s">
        <v>18908</v>
      </c>
      <c r="BF993" t="str">
        <f>HYPERLINK("http://dx.doi.org/10.1007/s00300-017-2187-z","http://dx.doi.org/10.1007/s00300-017-2187-z")</f>
        <v>http://dx.doi.org/10.1007/s00300-017-2187-z</v>
      </c>
      <c r="BG993" t="s">
        <v>74</v>
      </c>
      <c r="BH993" t="s">
        <v>74</v>
      </c>
      <c r="BI993">
        <v>8</v>
      </c>
      <c r="BJ993" t="s">
        <v>100</v>
      </c>
      <c r="BK993" t="s">
        <v>101</v>
      </c>
      <c r="BL993" t="s">
        <v>102</v>
      </c>
      <c r="BM993" t="s">
        <v>17008</v>
      </c>
      <c r="BN993" t="s">
        <v>74</v>
      </c>
      <c r="BO993" t="s">
        <v>74</v>
      </c>
      <c r="BP993" t="s">
        <v>74</v>
      </c>
      <c r="BQ993" t="s">
        <v>74</v>
      </c>
      <c r="BR993" t="s">
        <v>105</v>
      </c>
      <c r="BS993" t="s">
        <v>18909</v>
      </c>
      <c r="BT993" t="str">
        <f>HYPERLINK("https%3A%2F%2Fwww.webofscience.com%2Fwos%2Fwoscc%2Ffull-record%2FWOS:000424276400005","View Full Record in Web of Science")</f>
        <v>View Full Record in Web of Science</v>
      </c>
    </row>
    <row r="994" spans="1:72" x14ac:dyDescent="0.15">
      <c r="A994" t="s">
        <v>72</v>
      </c>
      <c r="B994" t="s">
        <v>18910</v>
      </c>
      <c r="C994" t="s">
        <v>74</v>
      </c>
      <c r="D994" t="s">
        <v>74</v>
      </c>
      <c r="E994" t="s">
        <v>74</v>
      </c>
      <c r="F994" t="s">
        <v>18911</v>
      </c>
      <c r="G994" t="s">
        <v>74</v>
      </c>
      <c r="H994" t="s">
        <v>74</v>
      </c>
      <c r="I994" t="s">
        <v>18912</v>
      </c>
      <c r="J994" t="s">
        <v>18913</v>
      </c>
      <c r="K994" t="s">
        <v>74</v>
      </c>
      <c r="L994" t="s">
        <v>74</v>
      </c>
      <c r="M994" t="s">
        <v>78</v>
      </c>
      <c r="N994" t="s">
        <v>79</v>
      </c>
      <c r="O994" t="s">
        <v>74</v>
      </c>
      <c r="P994" t="s">
        <v>74</v>
      </c>
      <c r="Q994" t="s">
        <v>74</v>
      </c>
      <c r="R994" t="s">
        <v>74</v>
      </c>
      <c r="S994" t="s">
        <v>74</v>
      </c>
      <c r="T994" t="s">
        <v>18914</v>
      </c>
      <c r="U994" t="s">
        <v>18915</v>
      </c>
      <c r="V994" t="s">
        <v>18916</v>
      </c>
      <c r="W994" t="s">
        <v>18917</v>
      </c>
      <c r="X994" t="s">
        <v>18918</v>
      </c>
      <c r="Y994" t="s">
        <v>18919</v>
      </c>
      <c r="Z994" t="s">
        <v>18920</v>
      </c>
      <c r="AA994" t="s">
        <v>18921</v>
      </c>
      <c r="AB994" t="s">
        <v>18922</v>
      </c>
      <c r="AC994" t="s">
        <v>18923</v>
      </c>
      <c r="AD994" t="s">
        <v>18923</v>
      </c>
      <c r="AE994" t="s">
        <v>18924</v>
      </c>
      <c r="AF994" t="s">
        <v>74</v>
      </c>
      <c r="AG994">
        <v>114</v>
      </c>
      <c r="AH994">
        <v>10</v>
      </c>
      <c r="AI994">
        <v>10</v>
      </c>
      <c r="AJ994">
        <v>0</v>
      </c>
      <c r="AK994">
        <v>15</v>
      </c>
      <c r="AL994" t="s">
        <v>91</v>
      </c>
      <c r="AM994" t="s">
        <v>1468</v>
      </c>
      <c r="AN994" t="s">
        <v>1469</v>
      </c>
      <c r="AO994" t="s">
        <v>18925</v>
      </c>
      <c r="AP994" t="s">
        <v>18926</v>
      </c>
      <c r="AQ994" t="s">
        <v>74</v>
      </c>
      <c r="AR994" t="s">
        <v>18927</v>
      </c>
      <c r="AS994" t="s">
        <v>18928</v>
      </c>
      <c r="AT994" t="s">
        <v>16620</v>
      </c>
      <c r="AU994">
        <v>2018</v>
      </c>
      <c r="AV994">
        <v>19</v>
      </c>
      <c r="AW994">
        <v>1</v>
      </c>
      <c r="AX994" t="s">
        <v>74</v>
      </c>
      <c r="AY994" t="s">
        <v>74</v>
      </c>
      <c r="AZ994" t="s">
        <v>74</v>
      </c>
      <c r="BA994" t="s">
        <v>74</v>
      </c>
      <c r="BB994">
        <v>27</v>
      </c>
      <c r="BC994">
        <v>41</v>
      </c>
      <c r="BD994" t="s">
        <v>74</v>
      </c>
      <c r="BE994" t="s">
        <v>18929</v>
      </c>
      <c r="BF994" t="str">
        <f>HYPERLINK("http://dx.doi.org/10.1007/s10592-017-0994-y","http://dx.doi.org/10.1007/s10592-017-0994-y")</f>
        <v>http://dx.doi.org/10.1007/s10592-017-0994-y</v>
      </c>
      <c r="BG994" t="s">
        <v>74</v>
      </c>
      <c r="BH994" t="s">
        <v>74</v>
      </c>
      <c r="BI994">
        <v>15</v>
      </c>
      <c r="BJ994" t="s">
        <v>18930</v>
      </c>
      <c r="BK994" t="s">
        <v>101</v>
      </c>
      <c r="BL994" t="s">
        <v>18931</v>
      </c>
      <c r="BM994" t="s">
        <v>18932</v>
      </c>
      <c r="BN994" t="s">
        <v>74</v>
      </c>
      <c r="BO994" t="s">
        <v>74</v>
      </c>
      <c r="BP994" t="s">
        <v>74</v>
      </c>
      <c r="BQ994" t="s">
        <v>74</v>
      </c>
      <c r="BR994" t="s">
        <v>105</v>
      </c>
      <c r="BS994" t="s">
        <v>18933</v>
      </c>
      <c r="BT994" t="str">
        <f>HYPERLINK("https%3A%2F%2Fwww.webofscience.com%2Fwos%2Fwoscc%2Ffull-record%2FWOS:000422938300003","View Full Record in Web of Science")</f>
        <v>View Full Record in Web of Science</v>
      </c>
    </row>
    <row r="995" spans="1:72" x14ac:dyDescent="0.15">
      <c r="A995" t="s">
        <v>72</v>
      </c>
      <c r="B995" t="s">
        <v>18934</v>
      </c>
      <c r="C995" t="s">
        <v>74</v>
      </c>
      <c r="D995" t="s">
        <v>74</v>
      </c>
      <c r="E995" t="s">
        <v>74</v>
      </c>
      <c r="F995" t="s">
        <v>18935</v>
      </c>
      <c r="G995" t="s">
        <v>74</v>
      </c>
      <c r="H995" t="s">
        <v>74</v>
      </c>
      <c r="I995" t="s">
        <v>18936</v>
      </c>
      <c r="J995" t="s">
        <v>18601</v>
      </c>
      <c r="K995" t="s">
        <v>74</v>
      </c>
      <c r="L995" t="s">
        <v>74</v>
      </c>
      <c r="M995" t="s">
        <v>78</v>
      </c>
      <c r="N995" t="s">
        <v>466</v>
      </c>
      <c r="O995" t="s">
        <v>74</v>
      </c>
      <c r="P995" t="s">
        <v>74</v>
      </c>
      <c r="Q995" t="s">
        <v>74</v>
      </c>
      <c r="R995" t="s">
        <v>74</v>
      </c>
      <c r="S995" t="s">
        <v>74</v>
      </c>
      <c r="T995" t="s">
        <v>18937</v>
      </c>
      <c r="U995" t="s">
        <v>18938</v>
      </c>
      <c r="V995" t="s">
        <v>18939</v>
      </c>
      <c r="W995" t="s">
        <v>18940</v>
      </c>
      <c r="X995" t="s">
        <v>18941</v>
      </c>
      <c r="Y995" t="s">
        <v>18942</v>
      </c>
      <c r="Z995" t="s">
        <v>18943</v>
      </c>
      <c r="AA995" t="s">
        <v>18944</v>
      </c>
      <c r="AB995" t="s">
        <v>18945</v>
      </c>
      <c r="AC995" t="s">
        <v>18946</v>
      </c>
      <c r="AD995" t="s">
        <v>18947</v>
      </c>
      <c r="AE995" t="s">
        <v>18948</v>
      </c>
      <c r="AF995" t="s">
        <v>74</v>
      </c>
      <c r="AG995">
        <v>166</v>
      </c>
      <c r="AH995">
        <v>21</v>
      </c>
      <c r="AI995">
        <v>21</v>
      </c>
      <c r="AJ995">
        <v>0</v>
      </c>
      <c r="AK995">
        <v>39</v>
      </c>
      <c r="AL995" t="s">
        <v>179</v>
      </c>
      <c r="AM995" t="s">
        <v>180</v>
      </c>
      <c r="AN995" t="s">
        <v>181</v>
      </c>
      <c r="AO995" t="s">
        <v>18614</v>
      </c>
      <c r="AP995" t="s">
        <v>18615</v>
      </c>
      <c r="AQ995" t="s">
        <v>74</v>
      </c>
      <c r="AR995" t="s">
        <v>18616</v>
      </c>
      <c r="AS995" t="s">
        <v>18617</v>
      </c>
      <c r="AT995" t="s">
        <v>16620</v>
      </c>
      <c r="AU995">
        <v>2018</v>
      </c>
      <c r="AV995">
        <v>93</v>
      </c>
      <c r="AW995">
        <v>1</v>
      </c>
      <c r="AX995" t="s">
        <v>74</v>
      </c>
      <c r="AY995" t="s">
        <v>74</v>
      </c>
      <c r="AZ995" t="s">
        <v>74</v>
      </c>
      <c r="BA995" t="s">
        <v>74</v>
      </c>
      <c r="BB995">
        <v>481</v>
      </c>
      <c r="BC995">
        <v>504</v>
      </c>
      <c r="BD995" t="s">
        <v>74</v>
      </c>
      <c r="BE995" t="s">
        <v>18949</v>
      </c>
      <c r="BF995" t="str">
        <f>HYPERLINK("http://dx.doi.org/10.1111/brv.12354","http://dx.doi.org/10.1111/brv.12354")</f>
        <v>http://dx.doi.org/10.1111/brv.12354</v>
      </c>
      <c r="BG995" t="s">
        <v>74</v>
      </c>
      <c r="BH995" t="s">
        <v>74</v>
      </c>
      <c r="BI995">
        <v>24</v>
      </c>
      <c r="BJ995" t="s">
        <v>4108</v>
      </c>
      <c r="BK995" t="s">
        <v>101</v>
      </c>
      <c r="BL995" t="s">
        <v>4109</v>
      </c>
      <c r="BM995" t="s">
        <v>18619</v>
      </c>
      <c r="BN995">
        <v>28799256</v>
      </c>
      <c r="BO995" t="s">
        <v>14474</v>
      </c>
      <c r="BP995" t="s">
        <v>74</v>
      </c>
      <c r="BQ995" t="s">
        <v>74</v>
      </c>
      <c r="BR995" t="s">
        <v>105</v>
      </c>
      <c r="BS995" t="s">
        <v>18950</v>
      </c>
      <c r="BT995" t="str">
        <f>HYPERLINK("https%3A%2F%2Fwww.webofscience.com%2Fwos%2Fwoscc%2Ffull-record%2FWOS:000419965700025","View Full Record in Web of Science")</f>
        <v>View Full Record in Web of Science</v>
      </c>
    </row>
    <row r="996" spans="1:72" x14ac:dyDescent="0.15">
      <c r="A996" t="s">
        <v>72</v>
      </c>
      <c r="B996" t="s">
        <v>18951</v>
      </c>
      <c r="C996" t="s">
        <v>74</v>
      </c>
      <c r="D996" t="s">
        <v>74</v>
      </c>
      <c r="E996" t="s">
        <v>74</v>
      </c>
      <c r="F996" t="s">
        <v>18952</v>
      </c>
      <c r="G996" t="s">
        <v>74</v>
      </c>
      <c r="H996" t="s">
        <v>74</v>
      </c>
      <c r="I996" t="s">
        <v>18953</v>
      </c>
      <c r="J996" t="s">
        <v>3853</v>
      </c>
      <c r="K996" t="s">
        <v>74</v>
      </c>
      <c r="L996" t="s">
        <v>74</v>
      </c>
      <c r="M996" t="s">
        <v>78</v>
      </c>
      <c r="N996" t="s">
        <v>79</v>
      </c>
      <c r="O996" t="s">
        <v>74</v>
      </c>
      <c r="P996" t="s">
        <v>74</v>
      </c>
      <c r="Q996" t="s">
        <v>74</v>
      </c>
      <c r="R996" t="s">
        <v>74</v>
      </c>
      <c r="S996" t="s">
        <v>74</v>
      </c>
      <c r="T996" t="s">
        <v>18954</v>
      </c>
      <c r="U996" t="s">
        <v>18955</v>
      </c>
      <c r="V996" t="s">
        <v>18956</v>
      </c>
      <c r="W996" t="s">
        <v>18957</v>
      </c>
      <c r="X996" t="s">
        <v>18958</v>
      </c>
      <c r="Y996" t="s">
        <v>18959</v>
      </c>
      <c r="Z996" t="s">
        <v>18960</v>
      </c>
      <c r="AA996" t="s">
        <v>18961</v>
      </c>
      <c r="AB996" t="s">
        <v>18962</v>
      </c>
      <c r="AC996" t="s">
        <v>18963</v>
      </c>
      <c r="AD996" t="s">
        <v>18964</v>
      </c>
      <c r="AE996" t="s">
        <v>18965</v>
      </c>
      <c r="AF996" t="s">
        <v>74</v>
      </c>
      <c r="AG996">
        <v>33</v>
      </c>
      <c r="AH996">
        <v>4</v>
      </c>
      <c r="AI996">
        <v>4</v>
      </c>
      <c r="AJ996">
        <v>1</v>
      </c>
      <c r="AK996">
        <v>8</v>
      </c>
      <c r="AL996" t="s">
        <v>425</v>
      </c>
      <c r="AM996" t="s">
        <v>278</v>
      </c>
      <c r="AN996" t="s">
        <v>426</v>
      </c>
      <c r="AO996" t="s">
        <v>3866</v>
      </c>
      <c r="AP996" t="s">
        <v>3867</v>
      </c>
      <c r="AQ996" t="s">
        <v>74</v>
      </c>
      <c r="AR996" t="s">
        <v>3868</v>
      </c>
      <c r="AS996" t="s">
        <v>3869</v>
      </c>
      <c r="AT996" t="s">
        <v>16620</v>
      </c>
      <c r="AU996">
        <v>2018</v>
      </c>
      <c r="AV996">
        <v>122</v>
      </c>
      <c r="AW996" t="s">
        <v>74</v>
      </c>
      <c r="AX996" t="s">
        <v>74</v>
      </c>
      <c r="AY996" t="s">
        <v>74</v>
      </c>
      <c r="AZ996" t="s">
        <v>74</v>
      </c>
      <c r="BA996" t="s">
        <v>74</v>
      </c>
      <c r="BB996">
        <v>26</v>
      </c>
      <c r="BC996">
        <v>35</v>
      </c>
      <c r="BD996" t="s">
        <v>74</v>
      </c>
      <c r="BE996" t="s">
        <v>18966</v>
      </c>
      <c r="BF996" t="str">
        <f>HYPERLINK("http://dx.doi.org/10.1016/j.ocemod.2017.12.005","http://dx.doi.org/10.1016/j.ocemod.2017.12.005")</f>
        <v>http://dx.doi.org/10.1016/j.ocemod.2017.12.005</v>
      </c>
      <c r="BG996" t="s">
        <v>74</v>
      </c>
      <c r="BH996" t="s">
        <v>74</v>
      </c>
      <c r="BI996">
        <v>10</v>
      </c>
      <c r="BJ996" t="s">
        <v>3871</v>
      </c>
      <c r="BK996" t="s">
        <v>101</v>
      </c>
      <c r="BL996" t="s">
        <v>3871</v>
      </c>
      <c r="BM996" t="s">
        <v>18967</v>
      </c>
      <c r="BN996" t="s">
        <v>74</v>
      </c>
      <c r="BO996" t="s">
        <v>1785</v>
      </c>
      <c r="BP996" t="s">
        <v>74</v>
      </c>
      <c r="BQ996" t="s">
        <v>74</v>
      </c>
      <c r="BR996" t="s">
        <v>105</v>
      </c>
      <c r="BS996" t="s">
        <v>18968</v>
      </c>
      <c r="BT996" t="str">
        <f>HYPERLINK("https%3A%2F%2Fwww.webofscience.com%2Fwos%2Fwoscc%2Ffull-record%2FWOS:000422769900003","View Full Record in Web of Science")</f>
        <v>View Full Record in Web of Science</v>
      </c>
    </row>
    <row r="997" spans="1:72" x14ac:dyDescent="0.15">
      <c r="A997" t="s">
        <v>72</v>
      </c>
      <c r="B997" t="s">
        <v>18969</v>
      </c>
      <c r="C997" t="s">
        <v>74</v>
      </c>
      <c r="D997" t="s">
        <v>74</v>
      </c>
      <c r="E997" t="s">
        <v>74</v>
      </c>
      <c r="F997" t="s">
        <v>18970</v>
      </c>
      <c r="G997" t="s">
        <v>74</v>
      </c>
      <c r="H997" t="s">
        <v>74</v>
      </c>
      <c r="I997" t="s">
        <v>18971</v>
      </c>
      <c r="J997" t="s">
        <v>18972</v>
      </c>
      <c r="K997" t="s">
        <v>74</v>
      </c>
      <c r="L997" t="s">
        <v>74</v>
      </c>
      <c r="M997" t="s">
        <v>78</v>
      </c>
      <c r="N997" t="s">
        <v>79</v>
      </c>
      <c r="O997" t="s">
        <v>74</v>
      </c>
      <c r="P997" t="s">
        <v>74</v>
      </c>
      <c r="Q997" t="s">
        <v>74</v>
      </c>
      <c r="R997" t="s">
        <v>74</v>
      </c>
      <c r="S997" t="s">
        <v>74</v>
      </c>
      <c r="T997" t="s">
        <v>18973</v>
      </c>
      <c r="U997" t="s">
        <v>18974</v>
      </c>
      <c r="V997" t="s">
        <v>18975</v>
      </c>
      <c r="W997" t="s">
        <v>18976</v>
      </c>
      <c r="X997" t="s">
        <v>18977</v>
      </c>
      <c r="Y997" t="s">
        <v>18978</v>
      </c>
      <c r="Z997" t="s">
        <v>18979</v>
      </c>
      <c r="AA997" t="s">
        <v>18980</v>
      </c>
      <c r="AB997" t="s">
        <v>18981</v>
      </c>
      <c r="AC997" t="s">
        <v>18982</v>
      </c>
      <c r="AD997" t="s">
        <v>18982</v>
      </c>
      <c r="AE997" t="s">
        <v>18983</v>
      </c>
      <c r="AF997" t="s">
        <v>74</v>
      </c>
      <c r="AG997">
        <v>114</v>
      </c>
      <c r="AH997">
        <v>12</v>
      </c>
      <c r="AI997">
        <v>13</v>
      </c>
      <c r="AJ997">
        <v>0</v>
      </c>
      <c r="AK997">
        <v>47</v>
      </c>
      <c r="AL997" t="s">
        <v>3413</v>
      </c>
      <c r="AM997" t="s">
        <v>278</v>
      </c>
      <c r="AN997" t="s">
        <v>3414</v>
      </c>
      <c r="AO997" t="s">
        <v>18984</v>
      </c>
      <c r="AP997" t="s">
        <v>18985</v>
      </c>
      <c r="AQ997" t="s">
        <v>74</v>
      </c>
      <c r="AR997" t="s">
        <v>18986</v>
      </c>
      <c r="AS997" t="s">
        <v>18987</v>
      </c>
      <c r="AT997" t="s">
        <v>16620</v>
      </c>
      <c r="AU997">
        <v>2018</v>
      </c>
      <c r="AV997">
        <v>212</v>
      </c>
      <c r="AW997">
        <v>2</v>
      </c>
      <c r="AX997" t="s">
        <v>74</v>
      </c>
      <c r="AY997" t="s">
        <v>74</v>
      </c>
      <c r="AZ997" t="s">
        <v>74</v>
      </c>
      <c r="BA997" t="s">
        <v>74</v>
      </c>
      <c r="BB997">
        <v>900</v>
      </c>
      <c r="BC997">
        <v>915</v>
      </c>
      <c r="BD997" t="s">
        <v>74</v>
      </c>
      <c r="BE997" t="s">
        <v>18988</v>
      </c>
      <c r="BF997" t="str">
        <f>HYPERLINK("http://dx.doi.org/10.1093/gji/ggx439","http://dx.doi.org/10.1093/gji/ggx439")</f>
        <v>http://dx.doi.org/10.1093/gji/ggx439</v>
      </c>
      <c r="BG997" t="s">
        <v>74</v>
      </c>
      <c r="BH997" t="s">
        <v>74</v>
      </c>
      <c r="BI997">
        <v>16</v>
      </c>
      <c r="BJ997" t="s">
        <v>260</v>
      </c>
      <c r="BK997" t="s">
        <v>101</v>
      </c>
      <c r="BL997" t="s">
        <v>260</v>
      </c>
      <c r="BM997" t="s">
        <v>18989</v>
      </c>
      <c r="BN997" t="s">
        <v>74</v>
      </c>
      <c r="BO997" t="s">
        <v>584</v>
      </c>
      <c r="BP997" t="s">
        <v>74</v>
      </c>
      <c r="BQ997" t="s">
        <v>74</v>
      </c>
      <c r="BR997" t="s">
        <v>105</v>
      </c>
      <c r="BS997" t="s">
        <v>18990</v>
      </c>
      <c r="BT997" t="str">
        <f>HYPERLINK("https%3A%2F%2Fwww.webofscience.com%2Fwos%2Fwoscc%2Ffull-record%2FWOS:000418703900012","View Full Record in Web of Science")</f>
        <v>View Full Record in Web of Science</v>
      </c>
    </row>
    <row r="998" spans="1:72" x14ac:dyDescent="0.15">
      <c r="A998" t="s">
        <v>72</v>
      </c>
      <c r="B998" t="s">
        <v>18991</v>
      </c>
      <c r="C998" t="s">
        <v>74</v>
      </c>
      <c r="D998" t="s">
        <v>74</v>
      </c>
      <c r="E998" t="s">
        <v>74</v>
      </c>
      <c r="F998" t="s">
        <v>18992</v>
      </c>
      <c r="G998" t="s">
        <v>74</v>
      </c>
      <c r="H998" t="s">
        <v>74</v>
      </c>
      <c r="I998" t="s">
        <v>18993</v>
      </c>
      <c r="J998" t="s">
        <v>18994</v>
      </c>
      <c r="K998" t="s">
        <v>74</v>
      </c>
      <c r="L998" t="s">
        <v>74</v>
      </c>
      <c r="M998" t="s">
        <v>78</v>
      </c>
      <c r="N998" t="s">
        <v>79</v>
      </c>
      <c r="O998" t="s">
        <v>74</v>
      </c>
      <c r="P998" t="s">
        <v>74</v>
      </c>
      <c r="Q998" t="s">
        <v>74</v>
      </c>
      <c r="R998" t="s">
        <v>74</v>
      </c>
      <c r="S998" t="s">
        <v>74</v>
      </c>
      <c r="T998" t="s">
        <v>18995</v>
      </c>
      <c r="U998" t="s">
        <v>18996</v>
      </c>
      <c r="V998" t="s">
        <v>18997</v>
      </c>
      <c r="W998" t="s">
        <v>18998</v>
      </c>
      <c r="X998" t="s">
        <v>18999</v>
      </c>
      <c r="Y998" t="s">
        <v>19000</v>
      </c>
      <c r="Z998" t="s">
        <v>19001</v>
      </c>
      <c r="AA998" t="s">
        <v>74</v>
      </c>
      <c r="AB998" t="s">
        <v>74</v>
      </c>
      <c r="AC998" t="s">
        <v>19002</v>
      </c>
      <c r="AD998" t="s">
        <v>19003</v>
      </c>
      <c r="AE998" t="s">
        <v>19004</v>
      </c>
      <c r="AF998" t="s">
        <v>74</v>
      </c>
      <c r="AG998">
        <v>21</v>
      </c>
      <c r="AH998">
        <v>7</v>
      </c>
      <c r="AI998">
        <v>9</v>
      </c>
      <c r="AJ998">
        <v>1</v>
      </c>
      <c r="AK998">
        <v>10</v>
      </c>
      <c r="AL998" t="s">
        <v>425</v>
      </c>
      <c r="AM998" t="s">
        <v>278</v>
      </c>
      <c r="AN998" t="s">
        <v>426</v>
      </c>
      <c r="AO998" t="s">
        <v>19005</v>
      </c>
      <c r="AP998" t="s">
        <v>19006</v>
      </c>
      <c r="AQ998" t="s">
        <v>74</v>
      </c>
      <c r="AR998" t="s">
        <v>19007</v>
      </c>
      <c r="AS998" t="s">
        <v>19008</v>
      </c>
      <c r="AT998" t="s">
        <v>16620</v>
      </c>
      <c r="AU998">
        <v>2018</v>
      </c>
      <c r="AV998">
        <v>67</v>
      </c>
      <c r="AW998" t="s">
        <v>74</v>
      </c>
      <c r="AX998" t="s">
        <v>74</v>
      </c>
      <c r="AY998" t="s">
        <v>74</v>
      </c>
      <c r="AZ998" t="s">
        <v>74</v>
      </c>
      <c r="BA998" t="s">
        <v>74</v>
      </c>
      <c r="BB998">
        <v>71</v>
      </c>
      <c r="BC998">
        <v>82</v>
      </c>
      <c r="BD998" t="s">
        <v>74</v>
      </c>
      <c r="BE998" t="s">
        <v>19009</v>
      </c>
      <c r="BF998" t="str">
        <f>HYPERLINK("http://dx.doi.org/10.1016/j.apergo.2017.09.008","http://dx.doi.org/10.1016/j.apergo.2017.09.008")</f>
        <v>http://dx.doi.org/10.1016/j.apergo.2017.09.008</v>
      </c>
      <c r="BG998" t="s">
        <v>74</v>
      </c>
      <c r="BH998" t="s">
        <v>74</v>
      </c>
      <c r="BI998">
        <v>12</v>
      </c>
      <c r="BJ998" t="s">
        <v>19010</v>
      </c>
      <c r="BK998" t="s">
        <v>484</v>
      </c>
      <c r="BL998" t="s">
        <v>19011</v>
      </c>
      <c r="BM998" t="s">
        <v>19012</v>
      </c>
      <c r="BN998">
        <v>29122202</v>
      </c>
      <c r="BO998" t="s">
        <v>74</v>
      </c>
      <c r="BP998" t="s">
        <v>74</v>
      </c>
      <c r="BQ998" t="s">
        <v>74</v>
      </c>
      <c r="BR998" t="s">
        <v>105</v>
      </c>
      <c r="BS998" t="s">
        <v>19013</v>
      </c>
      <c r="BT998" t="str">
        <f>HYPERLINK("https%3A%2F%2Fwww.webofscience.com%2Fwos%2Fwoscc%2Ffull-record%2FWOS:000416880400007","View Full Record in Web of Science")</f>
        <v>View Full Record in Web of Science</v>
      </c>
    </row>
    <row r="999" spans="1:72" x14ac:dyDescent="0.15">
      <c r="A999" t="s">
        <v>72</v>
      </c>
      <c r="B999" t="s">
        <v>19014</v>
      </c>
      <c r="C999" t="s">
        <v>74</v>
      </c>
      <c r="D999" t="s">
        <v>74</v>
      </c>
      <c r="E999" t="s">
        <v>74</v>
      </c>
      <c r="F999" t="s">
        <v>19015</v>
      </c>
      <c r="G999" t="s">
        <v>74</v>
      </c>
      <c r="H999" t="s">
        <v>74</v>
      </c>
      <c r="I999" t="s">
        <v>19016</v>
      </c>
      <c r="J999" t="s">
        <v>5861</v>
      </c>
      <c r="K999" t="s">
        <v>74</v>
      </c>
      <c r="L999" t="s">
        <v>74</v>
      </c>
      <c r="M999" t="s">
        <v>78</v>
      </c>
      <c r="N999" t="s">
        <v>79</v>
      </c>
      <c r="O999" t="s">
        <v>74</v>
      </c>
      <c r="P999" t="s">
        <v>74</v>
      </c>
      <c r="Q999" t="s">
        <v>74</v>
      </c>
      <c r="R999" t="s">
        <v>74</v>
      </c>
      <c r="S999" t="s">
        <v>74</v>
      </c>
      <c r="T999" t="s">
        <v>19017</v>
      </c>
      <c r="U999" t="s">
        <v>19018</v>
      </c>
      <c r="V999" t="s">
        <v>19019</v>
      </c>
      <c r="W999" t="s">
        <v>19020</v>
      </c>
      <c r="X999" t="s">
        <v>19021</v>
      </c>
      <c r="Y999" t="s">
        <v>19022</v>
      </c>
      <c r="Z999" t="s">
        <v>19023</v>
      </c>
      <c r="AA999" t="s">
        <v>19024</v>
      </c>
      <c r="AB999" t="s">
        <v>19025</v>
      </c>
      <c r="AC999" t="s">
        <v>19026</v>
      </c>
      <c r="AD999" t="s">
        <v>19027</v>
      </c>
      <c r="AE999" t="s">
        <v>19028</v>
      </c>
      <c r="AF999" t="s">
        <v>74</v>
      </c>
      <c r="AG999">
        <v>55</v>
      </c>
      <c r="AH999">
        <v>16</v>
      </c>
      <c r="AI999">
        <v>17</v>
      </c>
      <c r="AJ999">
        <v>0</v>
      </c>
      <c r="AK999">
        <v>22</v>
      </c>
      <c r="AL999" t="s">
        <v>914</v>
      </c>
      <c r="AM999" t="s">
        <v>452</v>
      </c>
      <c r="AN999" t="s">
        <v>915</v>
      </c>
      <c r="AO999" t="s">
        <v>5868</v>
      </c>
      <c r="AP999" t="s">
        <v>5869</v>
      </c>
      <c r="AQ999" t="s">
        <v>74</v>
      </c>
      <c r="AR999" t="s">
        <v>5870</v>
      </c>
      <c r="AS999" t="s">
        <v>5871</v>
      </c>
      <c r="AT999" t="s">
        <v>16620</v>
      </c>
      <c r="AU999">
        <v>2018</v>
      </c>
      <c r="AV999">
        <v>198</v>
      </c>
      <c r="AW999" t="s">
        <v>74</v>
      </c>
      <c r="AX999" t="s">
        <v>74</v>
      </c>
      <c r="AY999" t="s">
        <v>74</v>
      </c>
      <c r="AZ999" t="s">
        <v>74</v>
      </c>
      <c r="BA999" t="s">
        <v>74</v>
      </c>
      <c r="BB999">
        <v>117</v>
      </c>
      <c r="BC999">
        <v>128</v>
      </c>
      <c r="BD999" t="s">
        <v>74</v>
      </c>
      <c r="BE999" t="s">
        <v>19029</v>
      </c>
      <c r="BF999" t="str">
        <f>HYPERLINK("http://dx.doi.org/10.1016/j.fishres.2017.10.007","http://dx.doi.org/10.1016/j.fishres.2017.10.007")</f>
        <v>http://dx.doi.org/10.1016/j.fishres.2017.10.007</v>
      </c>
      <c r="BG999" t="s">
        <v>74</v>
      </c>
      <c r="BH999" t="s">
        <v>74</v>
      </c>
      <c r="BI999">
        <v>12</v>
      </c>
      <c r="BJ999" t="s">
        <v>5873</v>
      </c>
      <c r="BK999" t="s">
        <v>101</v>
      </c>
      <c r="BL999" t="s">
        <v>5873</v>
      </c>
      <c r="BM999" t="s">
        <v>19030</v>
      </c>
      <c r="BN999" t="s">
        <v>74</v>
      </c>
      <c r="BO999" t="s">
        <v>341</v>
      </c>
      <c r="BP999" t="s">
        <v>74</v>
      </c>
      <c r="BQ999" t="s">
        <v>74</v>
      </c>
      <c r="BR999" t="s">
        <v>105</v>
      </c>
      <c r="BS999" t="s">
        <v>19031</v>
      </c>
      <c r="BT999" t="str">
        <f>HYPERLINK("https%3A%2F%2Fwww.webofscience.com%2Fwos%2Fwoscc%2Ffull-record%2FWOS:000416194200013","View Full Record in Web of Science")</f>
        <v>View Full Record in Web of Science</v>
      </c>
    </row>
    <row r="1000" spans="1:72" x14ac:dyDescent="0.15">
      <c r="A1000" t="s">
        <v>72</v>
      </c>
      <c r="B1000" t="s">
        <v>19032</v>
      </c>
      <c r="C1000" t="s">
        <v>74</v>
      </c>
      <c r="D1000" t="s">
        <v>74</v>
      </c>
      <c r="E1000" t="s">
        <v>74</v>
      </c>
      <c r="F1000" t="s">
        <v>19033</v>
      </c>
      <c r="G1000" t="s">
        <v>74</v>
      </c>
      <c r="H1000" t="s">
        <v>74</v>
      </c>
      <c r="I1000" t="s">
        <v>19034</v>
      </c>
      <c r="J1000" t="s">
        <v>19035</v>
      </c>
      <c r="K1000" t="s">
        <v>74</v>
      </c>
      <c r="L1000" t="s">
        <v>74</v>
      </c>
      <c r="M1000" t="s">
        <v>78</v>
      </c>
      <c r="N1000" t="s">
        <v>79</v>
      </c>
      <c r="O1000" t="s">
        <v>74</v>
      </c>
      <c r="P1000" t="s">
        <v>74</v>
      </c>
      <c r="Q1000" t="s">
        <v>74</v>
      </c>
      <c r="R1000" t="s">
        <v>74</v>
      </c>
      <c r="S1000" t="s">
        <v>74</v>
      </c>
      <c r="T1000" t="s">
        <v>19036</v>
      </c>
      <c r="U1000" t="s">
        <v>19037</v>
      </c>
      <c r="V1000" t="s">
        <v>19038</v>
      </c>
      <c r="W1000" t="s">
        <v>19039</v>
      </c>
      <c r="X1000" t="s">
        <v>19040</v>
      </c>
      <c r="Y1000" t="s">
        <v>3832</v>
      </c>
      <c r="Z1000" t="s">
        <v>3833</v>
      </c>
      <c r="AA1000" t="s">
        <v>19041</v>
      </c>
      <c r="AB1000" t="s">
        <v>3835</v>
      </c>
      <c r="AC1000" t="s">
        <v>3836</v>
      </c>
      <c r="AD1000" t="s">
        <v>3837</v>
      </c>
      <c r="AE1000" t="s">
        <v>7661</v>
      </c>
      <c r="AF1000" t="s">
        <v>74</v>
      </c>
      <c r="AG1000">
        <v>38</v>
      </c>
      <c r="AH1000">
        <v>6</v>
      </c>
      <c r="AI1000">
        <v>7</v>
      </c>
      <c r="AJ1000">
        <v>2</v>
      </c>
      <c r="AK1000">
        <v>54</v>
      </c>
      <c r="AL1000" t="s">
        <v>19042</v>
      </c>
      <c r="AM1000" t="s">
        <v>2153</v>
      </c>
      <c r="AN1000" t="s">
        <v>19043</v>
      </c>
      <c r="AO1000" t="s">
        <v>74</v>
      </c>
      <c r="AP1000" t="s">
        <v>19044</v>
      </c>
      <c r="AQ1000" t="s">
        <v>74</v>
      </c>
      <c r="AR1000" t="s">
        <v>19045</v>
      </c>
      <c r="AS1000" t="s">
        <v>19046</v>
      </c>
      <c r="AT1000" t="s">
        <v>16620</v>
      </c>
      <c r="AU1000">
        <v>2018</v>
      </c>
      <c r="AV1000">
        <v>255</v>
      </c>
      <c r="AW1000" t="s">
        <v>74</v>
      </c>
      <c r="AX1000">
        <v>3</v>
      </c>
      <c r="AY1000" t="s">
        <v>74</v>
      </c>
      <c r="AZ1000" t="s">
        <v>74</v>
      </c>
      <c r="BA1000" t="s">
        <v>74</v>
      </c>
      <c r="BB1000">
        <v>3332</v>
      </c>
      <c r="BC1000">
        <v>3343</v>
      </c>
      <c r="BD1000" t="s">
        <v>74</v>
      </c>
      <c r="BE1000" t="s">
        <v>19047</v>
      </c>
      <c r="BF1000" t="str">
        <f>HYPERLINK("http://dx.doi.org/10.1016/j.snb.2017.09.160","http://dx.doi.org/10.1016/j.snb.2017.09.160")</f>
        <v>http://dx.doi.org/10.1016/j.snb.2017.09.160</v>
      </c>
      <c r="BG1000" t="s">
        <v>74</v>
      </c>
      <c r="BH1000" t="s">
        <v>74</v>
      </c>
      <c r="BI1000">
        <v>12</v>
      </c>
      <c r="BJ1000" t="s">
        <v>19048</v>
      </c>
      <c r="BK1000" t="s">
        <v>101</v>
      </c>
      <c r="BL1000" t="s">
        <v>19049</v>
      </c>
      <c r="BM1000" t="s">
        <v>19050</v>
      </c>
      <c r="BN1000" t="s">
        <v>74</v>
      </c>
      <c r="BO1000" t="s">
        <v>74</v>
      </c>
      <c r="BP1000" t="s">
        <v>74</v>
      </c>
      <c r="BQ1000" t="s">
        <v>74</v>
      </c>
      <c r="BR1000" t="s">
        <v>105</v>
      </c>
      <c r="BS1000" t="s">
        <v>19051</v>
      </c>
      <c r="BT1000" t="str">
        <f>HYPERLINK("https%3A%2F%2Fwww.webofscience.com%2Fwos%2Fwoscc%2Ffull-record%2FWOS:000414686500105","View Full Record in Web of Science")</f>
        <v>View Full Record in Web of Science</v>
      </c>
    </row>
    <row r="1001" spans="1:72" x14ac:dyDescent="0.15">
      <c r="A1001" t="s">
        <v>72</v>
      </c>
      <c r="B1001" t="s">
        <v>19052</v>
      </c>
      <c r="C1001" t="s">
        <v>74</v>
      </c>
      <c r="D1001" t="s">
        <v>74</v>
      </c>
      <c r="E1001" t="s">
        <v>74</v>
      </c>
      <c r="F1001" t="s">
        <v>19053</v>
      </c>
      <c r="G1001" t="s">
        <v>74</v>
      </c>
      <c r="H1001" t="s">
        <v>74</v>
      </c>
      <c r="I1001" t="s">
        <v>19054</v>
      </c>
      <c r="J1001" t="s">
        <v>2298</v>
      </c>
      <c r="K1001" t="s">
        <v>74</v>
      </c>
      <c r="L1001" t="s">
        <v>74</v>
      </c>
      <c r="M1001" t="s">
        <v>78</v>
      </c>
      <c r="N1001" t="s">
        <v>79</v>
      </c>
      <c r="O1001" t="s">
        <v>74</v>
      </c>
      <c r="P1001" t="s">
        <v>74</v>
      </c>
      <c r="Q1001" t="s">
        <v>74</v>
      </c>
      <c r="R1001" t="s">
        <v>74</v>
      </c>
      <c r="S1001" t="s">
        <v>74</v>
      </c>
      <c r="T1001" t="s">
        <v>74</v>
      </c>
      <c r="U1001" t="s">
        <v>19055</v>
      </c>
      <c r="V1001" t="s">
        <v>19056</v>
      </c>
      <c r="W1001" t="s">
        <v>19057</v>
      </c>
      <c r="X1001" t="s">
        <v>19058</v>
      </c>
      <c r="Y1001" t="s">
        <v>19059</v>
      </c>
      <c r="Z1001" t="s">
        <v>19060</v>
      </c>
      <c r="AA1001" t="s">
        <v>19061</v>
      </c>
      <c r="AB1001" t="s">
        <v>19062</v>
      </c>
      <c r="AC1001" t="s">
        <v>19063</v>
      </c>
      <c r="AD1001" t="s">
        <v>19064</v>
      </c>
      <c r="AE1001" t="s">
        <v>19065</v>
      </c>
      <c r="AF1001" t="s">
        <v>74</v>
      </c>
      <c r="AG1001">
        <v>62</v>
      </c>
      <c r="AH1001">
        <v>40</v>
      </c>
      <c r="AI1001">
        <v>41</v>
      </c>
      <c r="AJ1001">
        <v>2</v>
      </c>
      <c r="AK1001">
        <v>20</v>
      </c>
      <c r="AL1001" t="s">
        <v>2310</v>
      </c>
      <c r="AM1001" t="s">
        <v>2311</v>
      </c>
      <c r="AN1001" t="s">
        <v>2312</v>
      </c>
      <c r="AO1001" t="s">
        <v>2313</v>
      </c>
      <c r="AP1001" t="s">
        <v>74</v>
      </c>
      <c r="AQ1001" t="s">
        <v>74</v>
      </c>
      <c r="AR1001" t="s">
        <v>2298</v>
      </c>
      <c r="AS1001" t="s">
        <v>2314</v>
      </c>
      <c r="AT1001" t="s">
        <v>19066</v>
      </c>
      <c r="AU1001">
        <v>2018</v>
      </c>
      <c r="AV1001">
        <v>13</v>
      </c>
      <c r="AW1001">
        <v>1</v>
      </c>
      <c r="AX1001" t="s">
        <v>74</v>
      </c>
      <c r="AY1001" t="s">
        <v>74</v>
      </c>
      <c r="AZ1001" t="s">
        <v>74</v>
      </c>
      <c r="BA1001" t="s">
        <v>74</v>
      </c>
      <c r="BB1001" t="s">
        <v>74</v>
      </c>
      <c r="BC1001" t="s">
        <v>74</v>
      </c>
      <c r="BD1001" t="s">
        <v>19067</v>
      </c>
      <c r="BE1001" t="s">
        <v>19068</v>
      </c>
      <c r="BF1001" t="str">
        <f>HYPERLINK("http://dx.doi.org/10.1371/journal.pone.0189947","http://dx.doi.org/10.1371/journal.pone.0189947")</f>
        <v>http://dx.doi.org/10.1371/journal.pone.0189947</v>
      </c>
      <c r="BG1001" t="s">
        <v>74</v>
      </c>
      <c r="BH1001" t="s">
        <v>74</v>
      </c>
      <c r="BI1001">
        <v>18</v>
      </c>
      <c r="BJ1001" t="s">
        <v>1670</v>
      </c>
      <c r="BK1001" t="s">
        <v>101</v>
      </c>
      <c r="BL1001" t="s">
        <v>1671</v>
      </c>
      <c r="BM1001" t="s">
        <v>19069</v>
      </c>
      <c r="BN1001">
        <v>29385175</v>
      </c>
      <c r="BO1001" t="s">
        <v>636</v>
      </c>
      <c r="BP1001" t="s">
        <v>74</v>
      </c>
      <c r="BQ1001" t="s">
        <v>74</v>
      </c>
      <c r="BR1001" t="s">
        <v>105</v>
      </c>
      <c r="BS1001" t="s">
        <v>19070</v>
      </c>
      <c r="BT1001" t="str">
        <f>HYPERLINK("https%3A%2F%2Fwww.webofscience.com%2Fwos%2Fwoscc%2Ffull-record%2FWOS:000423668400012","View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2024-07-28T15:23:51Z</dcterms:created>
  <dcterms:modified xsi:type="dcterms:W3CDTF">2024-07-28T15:23:51Z</dcterms:modified>
</cp:coreProperties>
</file>